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10095" yWindow="75" windowWidth="11670" windowHeight="9060" tabRatio="883"/>
  </bookViews>
  <sheets>
    <sheet name="Analitics tab 2014" sheetId="16" r:id="rId1"/>
    <sheet name="2014 - plan" sheetId="29" r:id="rId2"/>
    <sheet name="2014 - execution " sheetId="31" r:id="rId3"/>
    <sheet name="2013 - execution" sheetId="15" r:id="rId4"/>
    <sheet name="2013 - plan" sheetId="14" state="hidden" r:id="rId5"/>
    <sheet name="2012 - execution " sheetId="26" r:id="rId6"/>
    <sheet name="2012 - plan" sheetId="22" state="hidden" r:id="rId7"/>
    <sheet name="Public debt tab" sheetId="18" r:id="rId8"/>
    <sheet name="MasterSheet" sheetId="13" r:id="rId9"/>
    <sheet name="Data for 2011" sheetId="17" state="hidden" r:id="rId10"/>
  </sheets>
  <externalReferences>
    <externalReference r:id="rId11"/>
    <externalReference r:id="rId12"/>
  </externalReferences>
  <definedNames>
    <definedName name="_END94" localSheetId="6">#REF!</definedName>
    <definedName name="_iva1" localSheetId="5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6" hidden="1">#REF!</definedName>
    <definedName name="_Regression_Out" localSheetId="2" hidden="1">#REF!</definedName>
    <definedName name="_Regression_Out" localSheetId="1" hidden="1">#REF!</definedName>
    <definedName name="_Regression_Out" hidden="1">#REF!</definedName>
    <definedName name="_Regression_X" localSheetId="6" hidden="1">#REF!</definedName>
    <definedName name="_Regression_X" localSheetId="2" hidden="1">#REF!</definedName>
    <definedName name="_Regression_X" localSheetId="1" hidden="1">#REF!</definedName>
    <definedName name="_Regression_X" hidden="1">#REF!</definedName>
    <definedName name="_Regression_Y" localSheetId="6" hidden="1">#REF!</definedName>
    <definedName name="_Regression_Y" localSheetId="2" hidden="1">#REF!</definedName>
    <definedName name="_Regression_Y" localSheetId="1" hidden="1">#REF!</definedName>
    <definedName name="_Regression_Y" hidden="1">#REF!</definedName>
    <definedName name="_SUM2" localSheetId="6">#REF!</definedName>
    <definedName name="_tab1" localSheetId="6">#REF!</definedName>
    <definedName name="_tab10" localSheetId="6">#REF!</definedName>
    <definedName name="_tab11" localSheetId="6">#REF!</definedName>
    <definedName name="_tab12" localSheetId="6">#REF!</definedName>
    <definedName name="_tab13" localSheetId="6">#REF!</definedName>
    <definedName name="_tab14" localSheetId="6">#REF!</definedName>
    <definedName name="_tab15" localSheetId="6">#REF!</definedName>
    <definedName name="_tab16" localSheetId="6">#REF!</definedName>
    <definedName name="_tab17" localSheetId="6">#REF!</definedName>
    <definedName name="_tab18" localSheetId="6">#REF!</definedName>
    <definedName name="_tab19" localSheetId="6">#REF!</definedName>
    <definedName name="_tab20" localSheetId="6">#REF!</definedName>
    <definedName name="_tab21" localSheetId="6">#REF!</definedName>
    <definedName name="_tab22" localSheetId="6">#REF!</definedName>
    <definedName name="_tab23" localSheetId="6">#REF!</definedName>
    <definedName name="_tab24" localSheetId="6">#REF!</definedName>
    <definedName name="_tab25" localSheetId="6">#REF!</definedName>
    <definedName name="_tab26" localSheetId="6">#REF!</definedName>
    <definedName name="_tab27" localSheetId="6">#REF!</definedName>
    <definedName name="_tab28" localSheetId="6">#REF!</definedName>
    <definedName name="_tab29" localSheetId="6">#REF!</definedName>
    <definedName name="_tab3" localSheetId="6">#REF!</definedName>
    <definedName name="_tab30" localSheetId="6">#REF!</definedName>
    <definedName name="_tab31" localSheetId="6">#REF!</definedName>
    <definedName name="_tab32" localSheetId="6">#REF!</definedName>
    <definedName name="_tab34" localSheetId="6">#REF!</definedName>
    <definedName name="_tab35" localSheetId="6">#REF!</definedName>
    <definedName name="_tab36" localSheetId="6">#REF!</definedName>
    <definedName name="_tab37" localSheetId="6">#REF!</definedName>
    <definedName name="_tab38" localSheetId="6">#REF!</definedName>
    <definedName name="_tab39" localSheetId="6">#REF!</definedName>
    <definedName name="_tab4" localSheetId="6">#REF!</definedName>
    <definedName name="_tab41" localSheetId="6">#REF!</definedName>
    <definedName name="_tab42" localSheetId="6">#REF!</definedName>
    <definedName name="_tab43" localSheetId="6">#REF!</definedName>
    <definedName name="_tab44" localSheetId="6">#REF!</definedName>
    <definedName name="_tab49" localSheetId="6">#REF!</definedName>
    <definedName name="_tab5" localSheetId="6">#REF!</definedName>
    <definedName name="_tab7" localSheetId="6">#REF!</definedName>
    <definedName name="_tab8" localSheetId="6">#REF!</definedName>
    <definedName name="_tab9" localSheetId="6">#REF!</definedName>
    <definedName name="_WB2" localSheetId="6">#REF!</definedName>
    <definedName name="Batumi_debt" localSheetId="6">[1]debt_sust!#REF!</definedName>
    <definedName name="BCA" localSheetId="6">#REF!</definedName>
    <definedName name="BCA_NGDP" localSheetId="6">#REF!</definedName>
    <definedName name="BE" localSheetId="6">#REF!</definedName>
    <definedName name="BEA" localSheetId="6">#REF!</definedName>
    <definedName name="BED" localSheetId="6">#REF!</definedName>
    <definedName name="BEI" localSheetId="6">#REF!</definedName>
    <definedName name="BER" localSheetId="6">#REF!</definedName>
    <definedName name="BF" localSheetId="6">#REF!</definedName>
    <definedName name="BFD" localSheetId="6">#REF!</definedName>
    <definedName name="BFDA" localSheetId="6">#REF!</definedName>
    <definedName name="BFDI" localSheetId="6">#REF!</definedName>
    <definedName name="BFDIL" localSheetId="6">#REF!</definedName>
    <definedName name="BFL_D" localSheetId="6">#REF!</definedName>
    <definedName name="BFO" localSheetId="6">#REF!</definedName>
    <definedName name="BFOA" localSheetId="6">#REF!</definedName>
    <definedName name="BFOAG" localSheetId="6">#REF!</definedName>
    <definedName name="BFOL" localSheetId="6">#REF!</definedName>
    <definedName name="BFOL_B" localSheetId="6">#REF!</definedName>
    <definedName name="BFOL_G" localSheetId="6">#REF!</definedName>
    <definedName name="BFOL_L" localSheetId="6">#REF!</definedName>
    <definedName name="BFOL_O" localSheetId="6">#REF!</definedName>
    <definedName name="BFOL_S" localSheetId="6">#REF!</definedName>
    <definedName name="BFOLB" localSheetId="6">#REF!</definedName>
    <definedName name="BFOLG_L" localSheetId="6">#REF!</definedName>
    <definedName name="BFP" localSheetId="6">#REF!</definedName>
    <definedName name="BFPA" localSheetId="6">#REF!</definedName>
    <definedName name="BFPAG" localSheetId="6">#REF!</definedName>
    <definedName name="BFPL" localSheetId="6">#REF!</definedName>
    <definedName name="BFPLBN" localSheetId="6">#REF!</definedName>
    <definedName name="BFPLD" localSheetId="6">#REF!</definedName>
    <definedName name="BFPLD_G" localSheetId="6">#REF!</definedName>
    <definedName name="BFPLE" localSheetId="6">#REF!</definedName>
    <definedName name="BFPLE_G" localSheetId="6">#REF!</definedName>
    <definedName name="BFPLMM" localSheetId="6">#REF!</definedName>
    <definedName name="BFRA" localSheetId="6">#REF!</definedName>
    <definedName name="BFUND" localSheetId="6">#REF!</definedName>
    <definedName name="BGS" localSheetId="6">#REF!</definedName>
    <definedName name="BI" localSheetId="6">#REF!</definedName>
    <definedName name="BIP" localSheetId="6">#REF!</definedName>
    <definedName name="BK" localSheetId="6">#REF!</definedName>
    <definedName name="BKFA" localSheetId="6">#REF!</definedName>
    <definedName name="BM" localSheetId="6">#REF!</definedName>
    <definedName name="BMG" localSheetId="6">#REF!</definedName>
    <definedName name="BMII" localSheetId="6">#REF!</definedName>
    <definedName name="BMII_7" localSheetId="6">#REF!</definedName>
    <definedName name="BMS" localSheetId="6">#REF!</definedName>
    <definedName name="BOP" localSheetId="6">#REF!</definedName>
    <definedName name="BRASS" localSheetId="6">#REF!</definedName>
    <definedName name="BTR" localSheetId="6">#REF!</definedName>
    <definedName name="BTRG" localSheetId="6">#REF!</definedName>
    <definedName name="BX" localSheetId="6">#REF!</definedName>
    <definedName name="BXG" localSheetId="6">#REF!</definedName>
    <definedName name="BXS" localSheetId="6">#REF!</definedName>
    <definedName name="CCODE" localSheetId="6">#REF!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6">#REF!</definedName>
    <definedName name="CPF" localSheetId="6">#REF!</definedName>
    <definedName name="CPI_Core" localSheetId="6">#REF!</definedName>
    <definedName name="CPI_NAT_monthly" localSheetId="6">#REF!</definedName>
    <definedName name="D" localSheetId="6">#REF!</definedName>
    <definedName name="D_B" localSheetId="6">#REF!</definedName>
    <definedName name="D_G" localSheetId="6">#REF!</definedName>
    <definedName name="D_Ind" localSheetId="6">#REF!</definedName>
    <definedName name="D_L" localSheetId="6">#REF!</definedName>
    <definedName name="D_O" localSheetId="6">#REF!</definedName>
    <definedName name="D_S" localSheetId="6">#REF!</definedName>
    <definedName name="D_SRM" localSheetId="6">#REF!</definedName>
    <definedName name="D_SY" localSheetId="6">#REF!</definedName>
    <definedName name="DA" localSheetId="6">#REF!</definedName>
    <definedName name="DATES" localSheetId="6">#REF!</definedName>
    <definedName name="Dates1" localSheetId="6">#REF!</definedName>
    <definedName name="dateweo" localSheetId="6">#REF!</definedName>
    <definedName name="DB" localSheetId="6">#REF!</definedName>
    <definedName name="DE" localSheetId="5" hidden="1">{#N/A,#N/A,FALSE,"CREDIT"}</definedName>
    <definedName name="DE" hidden="1">{#N/A,#N/A,FALSE,"CREDIT"}</definedName>
    <definedName name="DEFL" localSheetId="6">#REF!</definedName>
    <definedName name="DG" localSheetId="6">#REF!</definedName>
    <definedName name="DG_S" localSheetId="6">#REF!</definedName>
    <definedName name="DO" localSheetId="6">#REF!</definedName>
    <definedName name="DS" localSheetId="6">#REF!</definedName>
    <definedName name="DSA_Assumptions" localSheetId="6">#REF!</definedName>
    <definedName name="DSI" localSheetId="6">#REF!</definedName>
    <definedName name="DSP" localSheetId="6">#REF!</definedName>
    <definedName name="DSPG" localSheetId="6">#REF!</definedName>
    <definedName name="E" localSheetId="5" hidden="1">{#N/A,#N/A,FALSE,"DEPO"}</definedName>
    <definedName name="E" hidden="1">{#N/A,#N/A,FALSE,"DEPO"}</definedName>
    <definedName name="EBRD" localSheetId="6">#REF!</definedName>
    <definedName name="EDNA" localSheetId="6">#REF!</definedName>
    <definedName name="EDSSDESCRIPTOR" localSheetId="6">#REF!</definedName>
    <definedName name="EDSSFILE" localSheetId="6">#REF!</definedName>
    <definedName name="EDSSNAME" localSheetId="6">#REF!</definedName>
    <definedName name="EDSSTABLES" localSheetId="6">#REF!</definedName>
    <definedName name="EDSSTIME" localSheetId="6">#REF!</definedName>
    <definedName name="EEE" localSheetId="5" hidden="1">{#N/A,#N/A,FALSE,"EXCISE"}</definedName>
    <definedName name="EEE" hidden="1">{#N/A,#N/A,FALSE,"EXCISE"}</definedName>
    <definedName name="EISCODE" localSheetId="6">#REF!</definedName>
    <definedName name="empty" localSheetId="6">#REF!</definedName>
    <definedName name="ert" localSheetId="6">#REF!</definedName>
    <definedName name="ESAF_QUAR_GDP" localSheetId="6">#REF!</definedName>
    <definedName name="F" localSheetId="5" hidden="1">{#N/A,#N/A,FALSE,"CB";#N/A,#N/A,FALSE,"CMB";#N/A,#N/A,FALSE,"NBFI"}</definedName>
    <definedName name="F" hidden="1">{#N/A,#N/A,FALSE,"CB";#N/A,#N/A,FALSE,"CMB";#N/A,#N/A,FALSE,"NBFI"}</definedName>
    <definedName name="Feb_98" localSheetId="6">#REF!</definedName>
    <definedName name="FFF" localSheetId="5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6">#REF!</definedName>
    <definedName name="fis_gdp" localSheetId="6">#REF!</definedName>
    <definedName name="fis_lari" localSheetId="6">#REF!</definedName>
    <definedName name="Fisc" localSheetId="6">#REF!</definedName>
    <definedName name="framework_macro" localSheetId="6">#REF!</definedName>
    <definedName name="framework_macro_new" localSheetId="6">#REF!</definedName>
    <definedName name="framework_monetary" localSheetId="6">#REF!</definedName>
    <definedName name="H" localSheetId="5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6">#REF!</definedName>
    <definedName name="IMF" localSheetId="6">#REF!</definedName>
    <definedName name="INDUST1" localSheetId="6">#REF!</definedName>
    <definedName name="INDUST2" localSheetId="6">#REF!</definedName>
    <definedName name="iva" localSheetId="5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hidden="1">{#N/A,#N/A,FALSE,"CB";#N/A,#N/A,FALSE,"CMB";#N/A,#N/A,FALSE,"NBFI"}</definedName>
    <definedName name="last_978" localSheetId="6">#REF!</definedName>
    <definedName name="MACRO_ASSUMP_2006" localSheetId="6">#REF!</definedName>
    <definedName name="MCV_B" localSheetId="6">#REF!</definedName>
    <definedName name="MCV_B1" localSheetId="6">#REF!</definedName>
    <definedName name="MCV_D" localSheetId="6">#REF!</definedName>
    <definedName name="MCV_D1" localSheetId="6">#REF!</definedName>
    <definedName name="MCV_T" localSheetId="6">#REF!</definedName>
    <definedName name="MCV_T1" localSheetId="6">#REF!</definedName>
    <definedName name="NAMES" localSheetId="6">#REF!</definedName>
    <definedName name="nameweo" localSheetId="6">#REF!</definedName>
    <definedName name="nominal" localSheetId="6">#REF!</definedName>
    <definedName name="Paym_Cap" localSheetId="6">#REF!</definedName>
    <definedName name="Payroll" localSheetId="6">#REF!</definedName>
    <definedName name="pchBM" localSheetId="6">#REF!</definedName>
    <definedName name="pchBMG" localSheetId="6">#REF!</definedName>
    <definedName name="pchBX" localSheetId="6">#REF!</definedName>
    <definedName name="pchBXG" localSheetId="6">#REF!</definedName>
    <definedName name="PCPI" localSheetId="6">#REF!</definedName>
    <definedName name="PFP" localSheetId="6">#REF!</definedName>
    <definedName name="pfp_table1" localSheetId="6">#REF!</definedName>
    <definedName name="PRICE" localSheetId="6">#REF!</definedName>
    <definedName name="PRICETAB" localSheetId="6">#REF!</definedName>
    <definedName name="_xlnm.Print_Titles" localSheetId="6">#REF!,#REF!</definedName>
    <definedName name="PRMONTH" localSheetId="6">#REF!</definedName>
    <definedName name="PRYEAR" localSheetId="6">#REF!</definedName>
    <definedName name="Q_5" localSheetId="6">#REF!</definedName>
    <definedName name="Q_6" localSheetId="6">#REF!</definedName>
    <definedName name="Q_7" localSheetId="6">#REF!</definedName>
    <definedName name="qqq" localSheetId="5" hidden="1">{#N/A,#N/A,FALSE,"EXTRABUDGT"}</definedName>
    <definedName name="qqq" hidden="1">{#N/A,#N/A,FALSE,"EXTRABUDGT"}</definedName>
    <definedName name="qwe" localSheetId="6">#REF!</definedName>
    <definedName name="rangename" localSheetId="6">[2]documentation!#REF!</definedName>
    <definedName name="RED_BOP" localSheetId="6">#REF!</definedName>
    <definedName name="red_cpi" localSheetId="6">#REF!</definedName>
    <definedName name="RED_D" localSheetId="6">#REF!</definedName>
    <definedName name="RED_DS" localSheetId="6">#REF!</definedName>
    <definedName name="red_gdp_exp" localSheetId="6">#REF!</definedName>
    <definedName name="red_govt_empl" localSheetId="6">#REF!</definedName>
    <definedName name="RED_NATCPI" localSheetId="6">#REF!</definedName>
    <definedName name="RED_TBCPI" localSheetId="6">#REF!</definedName>
    <definedName name="RED_TRD" localSheetId="6">#REF!</definedName>
    <definedName name="REGISTERALL" localSheetId="6">#REF!</definedName>
    <definedName name="right" localSheetId="6">#REF!</definedName>
    <definedName name="rindex" localSheetId="6">#REF!</definedName>
    <definedName name="rter" localSheetId="6">#REF!</definedName>
    <definedName name="SA_Tab" localSheetId="6">#REF!</definedName>
    <definedName name="sampletable" localSheetId="6">#REF!</definedName>
    <definedName name="sdf" localSheetId="6">#REF!</definedName>
    <definedName name="sds_gdp_exp_lari" localSheetId="6">#REF!</definedName>
    <definedName name="sds_gdp_origin" localSheetId="6">#REF!</definedName>
    <definedName name="sds_gpd_exp_gdp" localSheetId="6">#REF!</definedName>
    <definedName name="SECTORS" localSheetId="6">#REF!</definedName>
    <definedName name="SEI" localSheetId="6">#REF!</definedName>
    <definedName name="STFQTAB" localSheetId="6">#REF!</definedName>
    <definedName name="sum" localSheetId="6">#REF!</definedName>
    <definedName name="tab4b" localSheetId="6">#REF!</definedName>
    <definedName name="tabletemplate" localSheetId="6">#REF!</definedName>
    <definedName name="TM" localSheetId="6">#REF!</definedName>
    <definedName name="TM_D" localSheetId="6">#REF!</definedName>
    <definedName name="TM_Dpch" localSheetId="6">#REF!</definedName>
    <definedName name="TM_R" localSheetId="6">#REF!</definedName>
    <definedName name="TM_Rpch" localSheetId="6">#REF!</definedName>
    <definedName name="TMG" localSheetId="6">#REF!</definedName>
    <definedName name="TMG_D" localSheetId="6">#REF!</definedName>
    <definedName name="TMG_Dpch" localSheetId="6">#REF!</definedName>
    <definedName name="TMG_R" localSheetId="6">#REF!</definedName>
    <definedName name="TMG_Rpch" localSheetId="6">#REF!</definedName>
    <definedName name="TMGO" localSheetId="6">#REF!</definedName>
    <definedName name="TMGO_D" localSheetId="6">#REF!</definedName>
    <definedName name="TMGO_Dpch" localSheetId="6">#REF!</definedName>
    <definedName name="TMGO_R" localSheetId="6">#REF!</definedName>
    <definedName name="TMGO_Rpch" localSheetId="6">#REF!</definedName>
    <definedName name="TMGXO" localSheetId="6">#REF!</definedName>
    <definedName name="TMGXO_D" localSheetId="6">#REF!</definedName>
    <definedName name="TMGXO_Dpch" localSheetId="6">#REF!</definedName>
    <definedName name="TMGXO_R" localSheetId="6">#REF!</definedName>
    <definedName name="TMGXO_Rpch" localSheetId="6">#REF!</definedName>
    <definedName name="TMS" localSheetId="6">#REF!</definedName>
    <definedName name="Trade" localSheetId="6">#REF!</definedName>
    <definedName name="TX" localSheetId="6">#REF!</definedName>
    <definedName name="TX_D" localSheetId="6">#REF!</definedName>
    <definedName name="TX_Dpch" localSheetId="6">#REF!</definedName>
    <definedName name="TX_R" localSheetId="6">#REF!</definedName>
    <definedName name="TX_Rpch" localSheetId="6">#REF!</definedName>
    <definedName name="TXG" localSheetId="6">#REF!</definedName>
    <definedName name="TXG_D" localSheetId="6">#REF!</definedName>
    <definedName name="TXG_Dpch" localSheetId="6">#REF!</definedName>
    <definedName name="TXG_R" localSheetId="6">#REF!</definedName>
    <definedName name="TXG_Rpch" localSheetId="6">#REF!</definedName>
    <definedName name="TXGO" localSheetId="6">#REF!</definedName>
    <definedName name="TXGO_D" localSheetId="6">#REF!</definedName>
    <definedName name="TXGO_Dpch" localSheetId="6">#REF!</definedName>
    <definedName name="TXGO_R" localSheetId="6">#REF!</definedName>
    <definedName name="TXGO_Rpch" localSheetId="6">#REF!</definedName>
    <definedName name="TXGXO" localSheetId="6">#REF!</definedName>
    <definedName name="TXGXO_D" localSheetId="6">#REF!</definedName>
    <definedName name="TXGXO_Dpch" localSheetId="6">#REF!</definedName>
    <definedName name="TXGXO_R" localSheetId="6">#REF!</definedName>
    <definedName name="TXGXO_Rpch" localSheetId="6">#REF!</definedName>
    <definedName name="TXS" localSheetId="6">#REF!</definedName>
    <definedName name="uio" localSheetId="6">#REF!</definedName>
    <definedName name="unemp_96Q3" localSheetId="6">#REF!</definedName>
    <definedName name="unemp_96Q4" localSheetId="6">#REF!</definedName>
    <definedName name="unemp_97Q1" localSheetId="6">#REF!</definedName>
    <definedName name="unemp_97Q2" localSheetId="6">#REF!</definedName>
    <definedName name="unemp_nat" localSheetId="6">#REF!</definedName>
    <definedName name="unemp_urbrural" localSheetId="6">#REF!</definedName>
    <definedName name="USERNAME" localSheetId="6">#REF!</definedName>
    <definedName name="wage_govt_sector" localSheetId="6">#REF!</definedName>
    <definedName name="WEO" localSheetId="6">#REF!</definedName>
    <definedName name="WPCP33_D" localSheetId="6">#REF!</definedName>
    <definedName name="WPCP33pch" localSheetId="6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xxWRS_10" localSheetId="6">#REF!</definedName>
    <definedName name="xxWRS_6" localSheetId="6">#REF!</definedName>
    <definedName name="xxWRS_7" localSheetId="6">#REF!</definedName>
    <definedName name="xxWRS_8" localSheetId="6">#REF!</definedName>
    <definedName name="xxWRS_9" localSheetId="6">#REF!</definedName>
    <definedName name="Years" localSheetId="6">#REF!</definedName>
    <definedName name="yyy" localSheetId="5" hidden="1">{#N/A,#N/A,FALSE,"MS"}</definedName>
    <definedName name="yyy" hidden="1">{#N/A,#N/A,FALSE,"MS"}</definedName>
    <definedName name="yyyyy" localSheetId="5" hidden="1">{#N/A,#N/A,FALSE,"INTERST"}</definedName>
    <definedName name="yyyyy" hidden="1">{#N/A,#N/A,FALSE,"INTERST"}</definedName>
  </definedNames>
  <calcPr calcId="125725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P98" i="16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L98"/>
  <c r="M97"/>
  <c r="L97"/>
  <c r="M96"/>
  <c r="L96"/>
  <c r="M95"/>
  <c r="L95"/>
  <c r="M94"/>
  <c r="L94"/>
  <c r="L93"/>
  <c r="L92"/>
  <c r="M91"/>
  <c r="L91"/>
  <c r="M90"/>
  <c r="L90"/>
  <c r="M89"/>
  <c r="L89"/>
  <c r="L88"/>
  <c r="L87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L74"/>
  <c r="M73"/>
  <c r="L73"/>
  <c r="M72"/>
  <c r="L72"/>
  <c r="M71"/>
  <c r="L71"/>
  <c r="M70"/>
  <c r="L70"/>
  <c r="M69"/>
  <c r="L69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L54"/>
  <c r="L53"/>
  <c r="L52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P19"/>
  <c r="M19"/>
  <c r="L1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D67" i="31"/>
  <c r="E67"/>
  <c r="F67"/>
  <c r="M68" i="16" s="1"/>
  <c r="Y79" i="31"/>
  <c r="Y80"/>
  <c r="R81" i="29"/>
  <c r="AA42" i="18" l="1"/>
  <c r="Y42"/>
  <c r="W42"/>
  <c r="U42"/>
  <c r="S42"/>
  <c r="Q42"/>
  <c r="O42"/>
  <c r="M42"/>
  <c r="K42"/>
  <c r="I42"/>
  <c r="G42"/>
  <c r="E42"/>
  <c r="H15"/>
  <c r="F15"/>
  <c r="S32" s="1"/>
  <c r="Z42"/>
  <c r="X42"/>
  <c r="V42"/>
  <c r="T42"/>
  <c r="R42"/>
  <c r="P42"/>
  <c r="N42"/>
  <c r="L42"/>
  <c r="J42"/>
  <c r="H42"/>
  <c r="F42"/>
  <c r="D42"/>
  <c r="O73" i="15"/>
  <c r="N73"/>
  <c r="M73"/>
  <c r="L73"/>
  <c r="K73"/>
  <c r="J73"/>
  <c r="I73"/>
  <c r="H73"/>
  <c r="G73"/>
  <c r="F73"/>
  <c r="E73"/>
  <c r="D73"/>
  <c r="O67"/>
  <c r="N67"/>
  <c r="M67"/>
  <c r="L67"/>
  <c r="K67"/>
  <c r="J67"/>
  <c r="I67"/>
  <c r="H67"/>
  <c r="G67"/>
  <c r="F67"/>
  <c r="E67"/>
  <c r="D67"/>
  <c r="O53"/>
  <c r="N53"/>
  <c r="M53"/>
  <c r="L53"/>
  <c r="K53"/>
  <c r="J53"/>
  <c r="I53"/>
  <c r="H53"/>
  <c r="G53"/>
  <c r="F53"/>
  <c r="E53"/>
  <c r="D53"/>
  <c r="O52"/>
  <c r="N52"/>
  <c r="M52"/>
  <c r="L52"/>
  <c r="K52"/>
  <c r="J52"/>
  <c r="I52"/>
  <c r="H52"/>
  <c r="G52"/>
  <c r="F52"/>
  <c r="E52"/>
  <c r="D52"/>
  <c r="O50"/>
  <c r="O51" s="1"/>
  <c r="N50"/>
  <c r="N51" s="1"/>
  <c r="M50"/>
  <c r="M51" s="1"/>
  <c r="L50"/>
  <c r="L51" s="1"/>
  <c r="K50"/>
  <c r="K51" s="1"/>
  <c r="J50"/>
  <c r="J51" s="1"/>
  <c r="I50"/>
  <c r="I51" s="1"/>
  <c r="H50"/>
  <c r="H51" s="1"/>
  <c r="G50"/>
  <c r="G51" s="1"/>
  <c r="F50"/>
  <c r="F51" s="1"/>
  <c r="E50"/>
  <c r="E51" s="1"/>
  <c r="D50"/>
  <c r="D51" s="1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M22" i="18"/>
  <c r="M21"/>
  <c r="M20"/>
  <c r="K22"/>
  <c r="K21"/>
  <c r="K20"/>
  <c r="I22"/>
  <c r="I21"/>
  <c r="I20"/>
  <c r="M32" l="1"/>
  <c r="O31"/>
  <c r="O33"/>
  <c r="Q32"/>
  <c r="S31"/>
  <c r="S33"/>
  <c r="M31"/>
  <c r="M33"/>
  <c r="O32"/>
  <c r="Q31"/>
  <c r="Q33"/>
  <c r="I18" i="16"/>
  <c r="P97" i="29"/>
  <c r="P96"/>
  <c r="P95"/>
  <c r="P94"/>
  <c r="R97" i="16" l="1"/>
  <c r="R95"/>
  <c r="R91"/>
  <c r="R89"/>
  <c r="R83"/>
  <c r="R81"/>
  <c r="O80"/>
  <c r="O78"/>
  <c r="O76"/>
  <c r="R75"/>
  <c r="R67"/>
  <c r="R65"/>
  <c r="R63"/>
  <c r="R61"/>
  <c r="R60"/>
  <c r="R59"/>
  <c r="R57"/>
  <c r="R56"/>
  <c r="R55"/>
  <c r="O46"/>
  <c r="O44"/>
  <c r="O42"/>
  <c r="O40"/>
  <c r="O38"/>
  <c r="O36"/>
  <c r="O34"/>
  <c r="O32"/>
  <c r="O30"/>
  <c r="O28"/>
  <c r="O26"/>
  <c r="O24"/>
  <c r="O22"/>
  <c r="O20"/>
  <c r="O50" i="31"/>
  <c r="N50"/>
  <c r="M50"/>
  <c r="L50"/>
  <c r="K50"/>
  <c r="J50"/>
  <c r="I50"/>
  <c r="H50"/>
  <c r="G50"/>
  <c r="O51"/>
  <c r="N51"/>
  <c r="M51"/>
  <c r="L51"/>
  <c r="K51"/>
  <c r="J51"/>
  <c r="I51"/>
  <c r="H51"/>
  <c r="G51"/>
  <c r="O52"/>
  <c r="N52"/>
  <c r="M52"/>
  <c r="L52"/>
  <c r="K52"/>
  <c r="J52"/>
  <c r="I52"/>
  <c r="H52"/>
  <c r="G52"/>
  <c r="O53"/>
  <c r="N53"/>
  <c r="M53"/>
  <c r="L53"/>
  <c r="K53"/>
  <c r="J53"/>
  <c r="I53"/>
  <c r="H53"/>
  <c r="G53"/>
  <c r="F53"/>
  <c r="E53"/>
  <c r="E52" s="1"/>
  <c r="D53"/>
  <c r="D52" s="1"/>
  <c r="O67"/>
  <c r="N67"/>
  <c r="M67"/>
  <c r="L67"/>
  <c r="K67"/>
  <c r="J67"/>
  <c r="I67"/>
  <c r="H67"/>
  <c r="G67"/>
  <c r="O73"/>
  <c r="N73"/>
  <c r="M73"/>
  <c r="L73"/>
  <c r="K73"/>
  <c r="J73"/>
  <c r="I73"/>
  <c r="H73"/>
  <c r="G73"/>
  <c r="F73"/>
  <c r="M74" i="16" s="1"/>
  <c r="E73" i="31"/>
  <c r="D73"/>
  <c r="O87"/>
  <c r="N87"/>
  <c r="M87"/>
  <c r="L87"/>
  <c r="K87"/>
  <c r="J87"/>
  <c r="I87"/>
  <c r="H87"/>
  <c r="G87"/>
  <c r="F87"/>
  <c r="M88" i="16" s="1"/>
  <c r="E87" i="31"/>
  <c r="L86"/>
  <c r="H86"/>
  <c r="O85"/>
  <c r="O86" s="1"/>
  <c r="N85"/>
  <c r="N86" s="1"/>
  <c r="M85"/>
  <c r="M86" s="1"/>
  <c r="L85"/>
  <c r="K85"/>
  <c r="K86" s="1"/>
  <c r="J85"/>
  <c r="J86" s="1"/>
  <c r="I85"/>
  <c r="I86" s="1"/>
  <c r="H85"/>
  <c r="G85"/>
  <c r="G86" s="1"/>
  <c r="N91"/>
  <c r="N97" s="1"/>
  <c r="N92" s="1"/>
  <c r="L91"/>
  <c r="L97" s="1"/>
  <c r="L92" s="1"/>
  <c r="J91"/>
  <c r="J97" s="1"/>
  <c r="J92" s="1"/>
  <c r="H91"/>
  <c r="H97" s="1"/>
  <c r="H92" s="1"/>
  <c r="D44"/>
  <c r="D37"/>
  <c r="D32"/>
  <c r="D27"/>
  <c r="D19"/>
  <c r="R90" i="16"/>
  <c r="R82"/>
  <c r="R77"/>
  <c r="R73"/>
  <c r="R71"/>
  <c r="R69"/>
  <c r="R64"/>
  <c r="P96" i="31"/>
  <c r="F97" i="16" s="1"/>
  <c r="P95" i="31"/>
  <c r="F96" i="16" s="1"/>
  <c r="P94" i="31"/>
  <c r="F95" i="16" s="1"/>
  <c r="P93" i="31"/>
  <c r="F94" i="16" s="1"/>
  <c r="P90" i="31"/>
  <c r="F91" i="16" s="1"/>
  <c r="P89" i="31"/>
  <c r="F90" i="16" s="1"/>
  <c r="P88" i="31"/>
  <c r="F89" i="16" s="1"/>
  <c r="P84" i="31"/>
  <c r="F85" i="16" s="1"/>
  <c r="P83" i="31"/>
  <c r="F84" i="16" s="1"/>
  <c r="P82" i="31"/>
  <c r="F83" i="16" s="1"/>
  <c r="P81" i="31"/>
  <c r="F82" i="16" s="1"/>
  <c r="P80" i="31"/>
  <c r="F81" i="16" s="1"/>
  <c r="P79" i="31"/>
  <c r="F80" i="16" s="1"/>
  <c r="P78" i="31"/>
  <c r="F79" i="16" s="1"/>
  <c r="P77" i="31"/>
  <c r="F78" i="16" s="1"/>
  <c r="P76" i="31"/>
  <c r="F77" i="16" s="1"/>
  <c r="P75" i="31"/>
  <c r="F76" i="16" s="1"/>
  <c r="P74" i="31"/>
  <c r="F75" i="16" s="1"/>
  <c r="P72" i="31"/>
  <c r="F73" i="16" s="1"/>
  <c r="P71" i="31"/>
  <c r="F72" i="16" s="1"/>
  <c r="P70" i="31"/>
  <c r="F71" i="16" s="1"/>
  <c r="P69" i="31"/>
  <c r="F70" i="16" s="1"/>
  <c r="P68" i="31"/>
  <c r="F69" i="16" s="1"/>
  <c r="P66" i="31"/>
  <c r="F67" i="16" s="1"/>
  <c r="P65" i="31"/>
  <c r="F66" i="16" s="1"/>
  <c r="P64" i="31"/>
  <c r="F65" i="16" s="1"/>
  <c r="P63" i="31"/>
  <c r="F64" i="16" s="1"/>
  <c r="P62" i="31"/>
  <c r="F63" i="16" s="1"/>
  <c r="P61" i="31"/>
  <c r="F62" i="16" s="1"/>
  <c r="P60" i="31"/>
  <c r="F61" i="16" s="1"/>
  <c r="P59" i="31"/>
  <c r="F60" i="16" s="1"/>
  <c r="P58" i="31"/>
  <c r="F59" i="16" s="1"/>
  <c r="P57" i="31"/>
  <c r="F58" i="16" s="1"/>
  <c r="P56" i="31"/>
  <c r="F57" i="16" s="1"/>
  <c r="P55" i="31"/>
  <c r="F56" i="16" s="1"/>
  <c r="P54" i="31"/>
  <c r="F55" i="16" s="1"/>
  <c r="P18"/>
  <c r="R85"/>
  <c r="O79"/>
  <c r="O77"/>
  <c r="R49"/>
  <c r="R47"/>
  <c r="R45"/>
  <c r="R43"/>
  <c r="R41"/>
  <c r="R39"/>
  <c r="R37"/>
  <c r="R35"/>
  <c r="R33"/>
  <c r="R31"/>
  <c r="R29"/>
  <c r="R27"/>
  <c r="R25"/>
  <c r="R23"/>
  <c r="R21"/>
  <c r="Q97" i="29"/>
  <c r="Q96"/>
  <c r="Q95"/>
  <c r="Q94"/>
  <c r="Q91"/>
  <c r="Q90"/>
  <c r="Q89"/>
  <c r="Q85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0"/>
  <c r="Q49"/>
  <c r="Q48"/>
  <c r="Q47"/>
  <c r="Q46"/>
  <c r="Q44"/>
  <c r="Q43"/>
  <c r="Q42"/>
  <c r="Q41"/>
  <c r="Q40"/>
  <c r="Q39"/>
  <c r="Q37"/>
  <c r="Q36"/>
  <c r="Q35"/>
  <c r="Q34"/>
  <c r="Q32"/>
  <c r="Q31"/>
  <c r="Q30"/>
  <c r="Q29"/>
  <c r="Q27"/>
  <c r="Q26"/>
  <c r="Q25"/>
  <c r="Q24"/>
  <c r="Q23"/>
  <c r="Q22"/>
  <c r="Q21"/>
  <c r="F52" i="31" l="1"/>
  <c r="M54" i="16"/>
  <c r="R96"/>
  <c r="R88"/>
  <c r="P73" i="31"/>
  <c r="F74" i="16" s="1"/>
  <c r="E50" i="31"/>
  <c r="R54" i="16"/>
  <c r="R58"/>
  <c r="R62"/>
  <c r="R66"/>
  <c r="D50" i="31"/>
  <c r="D51" s="1"/>
  <c r="P52"/>
  <c r="F53" i="16" s="1"/>
  <c r="R74"/>
  <c r="R48"/>
  <c r="R50"/>
  <c r="R70"/>
  <c r="R72"/>
  <c r="P53" i="31"/>
  <c r="F54" i="16" s="1"/>
  <c r="P67" i="31"/>
  <c r="F68" i="16" s="1"/>
  <c r="R68"/>
  <c r="G91" i="31"/>
  <c r="G97" s="1"/>
  <c r="G92" s="1"/>
  <c r="I91"/>
  <c r="I97" s="1"/>
  <c r="I92" s="1"/>
  <c r="K91"/>
  <c r="K97" s="1"/>
  <c r="K92" s="1"/>
  <c r="M91"/>
  <c r="M97" s="1"/>
  <c r="M92" s="1"/>
  <c r="O91"/>
  <c r="O97" s="1"/>
  <c r="O92" s="1"/>
  <c r="D18"/>
  <c r="R20" i="16"/>
  <c r="R22"/>
  <c r="R24"/>
  <c r="R26"/>
  <c r="R28"/>
  <c r="R30"/>
  <c r="R32"/>
  <c r="R34"/>
  <c r="R36"/>
  <c r="R38"/>
  <c r="R40"/>
  <c r="R42"/>
  <c r="R44"/>
  <c r="R46"/>
  <c r="O21"/>
  <c r="O23"/>
  <c r="O25"/>
  <c r="O27"/>
  <c r="O29"/>
  <c r="O31"/>
  <c r="O33"/>
  <c r="O35"/>
  <c r="O37"/>
  <c r="O39"/>
  <c r="O41"/>
  <c r="O43"/>
  <c r="O45"/>
  <c r="O48"/>
  <c r="O50"/>
  <c r="O54"/>
  <c r="O56"/>
  <c r="O58"/>
  <c r="O60"/>
  <c r="O62"/>
  <c r="O64"/>
  <c r="O66"/>
  <c r="O68"/>
  <c r="O70"/>
  <c r="O72"/>
  <c r="O74"/>
  <c r="O82"/>
  <c r="O85"/>
  <c r="O89"/>
  <c r="O91"/>
  <c r="O47"/>
  <c r="O49"/>
  <c r="O55"/>
  <c r="O57"/>
  <c r="O59"/>
  <c r="O61"/>
  <c r="O63"/>
  <c r="O65"/>
  <c r="O67"/>
  <c r="O69"/>
  <c r="O71"/>
  <c r="O73"/>
  <c r="O75"/>
  <c r="O81"/>
  <c r="O83"/>
  <c r="O88"/>
  <c r="O90"/>
  <c r="F50" i="31" l="1"/>
  <c r="M53" i="16"/>
  <c r="D85" i="31"/>
  <c r="E85"/>
  <c r="E51"/>
  <c r="D13"/>
  <c r="P28"/>
  <c r="F29" i="16" s="1"/>
  <c r="P29" i="31"/>
  <c r="F30" i="16" s="1"/>
  <c r="P30" i="31"/>
  <c r="F31" i="16" s="1"/>
  <c r="P31" i="31"/>
  <c r="F32" i="16" s="1"/>
  <c r="P33" i="31"/>
  <c r="F34" i="16" s="1"/>
  <c r="P34" i="31"/>
  <c r="F35" i="16" s="1"/>
  <c r="P35" i="31"/>
  <c r="F36" i="16" s="1"/>
  <c r="P36" i="31"/>
  <c r="F37" i="16" s="1"/>
  <c r="P38" i="31"/>
  <c r="F39" i="16" s="1"/>
  <c r="P39" i="31"/>
  <c r="F40" i="16" s="1"/>
  <c r="P40" i="31"/>
  <c r="F41" i="16" s="1"/>
  <c r="P41" i="31"/>
  <c r="F42" i="16" s="1"/>
  <c r="P42" i="31"/>
  <c r="F43" i="16" s="1"/>
  <c r="P43" i="31"/>
  <c r="F44" i="16" s="1"/>
  <c r="P45" i="31"/>
  <c r="F46" i="16" s="1"/>
  <c r="P46" i="31"/>
  <c r="F47" i="16" s="1"/>
  <c r="P47" i="31"/>
  <c r="F48" i="16" s="1"/>
  <c r="P48" i="31"/>
  <c r="F49" i="16" s="1"/>
  <c r="P49" i="31"/>
  <c r="F50" i="16" s="1"/>
  <c r="P20" i="31"/>
  <c r="F21" i="16" s="1"/>
  <c r="P21" i="31"/>
  <c r="F22" i="16" s="1"/>
  <c r="P22" i="31"/>
  <c r="F23" i="16" s="1"/>
  <c r="P23" i="31"/>
  <c r="F24" i="16" s="1"/>
  <c r="P24" i="31"/>
  <c r="F25" i="16" s="1"/>
  <c r="P25" i="31"/>
  <c r="F26" i="16" s="1"/>
  <c r="P26" i="31"/>
  <c r="F27" i="16" s="1"/>
  <c r="K37" i="31"/>
  <c r="L37"/>
  <c r="M37"/>
  <c r="N37"/>
  <c r="O37"/>
  <c r="J37"/>
  <c r="F51" l="1"/>
  <c r="M52" i="16" s="1"/>
  <c r="M51"/>
  <c r="O51" s="1"/>
  <c r="O53"/>
  <c r="R53"/>
  <c r="P50" i="31"/>
  <c r="F51" i="16" s="1"/>
  <c r="P51" i="31"/>
  <c r="F52" i="16" s="1"/>
  <c r="R51"/>
  <c r="E86" i="31"/>
  <c r="E91"/>
  <c r="R52" i="16"/>
  <c r="O52"/>
  <c r="R19"/>
  <c r="O19"/>
  <c r="C98" i="31"/>
  <c r="C97"/>
  <c r="X96"/>
  <c r="C96"/>
  <c r="X95"/>
  <c r="C95"/>
  <c r="X94"/>
  <c r="C94"/>
  <c r="X93"/>
  <c r="C93"/>
  <c r="C92"/>
  <c r="C91"/>
  <c r="X90"/>
  <c r="C90"/>
  <c r="X89"/>
  <c r="C89"/>
  <c r="X88"/>
  <c r="C88"/>
  <c r="D87"/>
  <c r="C87"/>
  <c r="C86"/>
  <c r="C85"/>
  <c r="X83"/>
  <c r="C83"/>
  <c r="S82"/>
  <c r="R82"/>
  <c r="T82" s="1"/>
  <c r="C82"/>
  <c r="S81"/>
  <c r="R81"/>
  <c r="X81"/>
  <c r="C81"/>
  <c r="S80"/>
  <c r="R80"/>
  <c r="C80"/>
  <c r="S79"/>
  <c r="R79"/>
  <c r="T79" s="1"/>
  <c r="X79"/>
  <c r="C79"/>
  <c r="S77"/>
  <c r="R77"/>
  <c r="T77" s="1"/>
  <c r="C77"/>
  <c r="S76"/>
  <c r="R76"/>
  <c r="X76"/>
  <c r="C76"/>
  <c r="S75"/>
  <c r="R75"/>
  <c r="C75"/>
  <c r="S74"/>
  <c r="R74"/>
  <c r="T74" s="1"/>
  <c r="X74"/>
  <c r="C74"/>
  <c r="R73"/>
  <c r="C73"/>
  <c r="S72"/>
  <c r="R72"/>
  <c r="X72"/>
  <c r="C72"/>
  <c r="S71"/>
  <c r="R71"/>
  <c r="C71"/>
  <c r="S70"/>
  <c r="R70"/>
  <c r="T70" s="1"/>
  <c r="X70"/>
  <c r="C70"/>
  <c r="S69"/>
  <c r="R69"/>
  <c r="T69" s="1"/>
  <c r="C69"/>
  <c r="S68"/>
  <c r="R68"/>
  <c r="X68"/>
  <c r="C68"/>
  <c r="R67"/>
  <c r="X67"/>
  <c r="C67"/>
  <c r="S66"/>
  <c r="R66"/>
  <c r="X66"/>
  <c r="C66"/>
  <c r="S65"/>
  <c r="R65"/>
  <c r="X65"/>
  <c r="C65"/>
  <c r="S64"/>
  <c r="R64"/>
  <c r="X64"/>
  <c r="C64"/>
  <c r="S63"/>
  <c r="R63"/>
  <c r="T63" s="1"/>
  <c r="X63"/>
  <c r="C63"/>
  <c r="S62"/>
  <c r="R62"/>
  <c r="T62" s="1"/>
  <c r="X62"/>
  <c r="C62"/>
  <c r="S61"/>
  <c r="R61"/>
  <c r="T61" s="1"/>
  <c r="X61"/>
  <c r="C61"/>
  <c r="S60"/>
  <c r="R60"/>
  <c r="T60" s="1"/>
  <c r="X60"/>
  <c r="C60"/>
  <c r="S59"/>
  <c r="R59"/>
  <c r="T59" s="1"/>
  <c r="X59"/>
  <c r="C59"/>
  <c r="S58"/>
  <c r="R58"/>
  <c r="T58" s="1"/>
  <c r="X58"/>
  <c r="C58"/>
  <c r="S57"/>
  <c r="R57"/>
  <c r="X57"/>
  <c r="C57"/>
  <c r="S56"/>
  <c r="R56"/>
  <c r="X56"/>
  <c r="C56"/>
  <c r="S55"/>
  <c r="R55"/>
  <c r="X55"/>
  <c r="C55"/>
  <c r="S54"/>
  <c r="R54"/>
  <c r="T54" s="1"/>
  <c r="X54"/>
  <c r="C54"/>
  <c r="X53"/>
  <c r="C53"/>
  <c r="X52"/>
  <c r="C52"/>
  <c r="C51"/>
  <c r="W50"/>
  <c r="R50"/>
  <c r="X50"/>
  <c r="C50"/>
  <c r="X49"/>
  <c r="C49"/>
  <c r="X48"/>
  <c r="C48"/>
  <c r="C47"/>
  <c r="X46"/>
  <c r="C46"/>
  <c r="X45"/>
  <c r="C45"/>
  <c r="O44"/>
  <c r="N44"/>
  <c r="M44"/>
  <c r="L44"/>
  <c r="K44"/>
  <c r="J44"/>
  <c r="I44"/>
  <c r="H44"/>
  <c r="G44"/>
  <c r="F44"/>
  <c r="E44"/>
  <c r="C44"/>
  <c r="C43"/>
  <c r="X42"/>
  <c r="C42"/>
  <c r="X41"/>
  <c r="C41"/>
  <c r="X40"/>
  <c r="C40"/>
  <c r="C39"/>
  <c r="X38"/>
  <c r="C38"/>
  <c r="I37"/>
  <c r="H37"/>
  <c r="G37"/>
  <c r="F37"/>
  <c r="E37"/>
  <c r="C37"/>
  <c r="X36"/>
  <c r="C36"/>
  <c r="C35"/>
  <c r="X34"/>
  <c r="C34"/>
  <c r="X33"/>
  <c r="C33"/>
  <c r="O32"/>
  <c r="N32"/>
  <c r="M32"/>
  <c r="L32"/>
  <c r="K32"/>
  <c r="J32"/>
  <c r="I32"/>
  <c r="H32"/>
  <c r="G32"/>
  <c r="F32"/>
  <c r="E32"/>
  <c r="C32"/>
  <c r="C31"/>
  <c r="X30"/>
  <c r="C30"/>
  <c r="X29"/>
  <c r="C29"/>
  <c r="X28"/>
  <c r="C28"/>
  <c r="O27"/>
  <c r="N27"/>
  <c r="M27"/>
  <c r="L27"/>
  <c r="K27"/>
  <c r="J27"/>
  <c r="I27"/>
  <c r="H27"/>
  <c r="G27"/>
  <c r="F27"/>
  <c r="E27"/>
  <c r="P27" s="1"/>
  <c r="F28" i="16" s="1"/>
  <c r="C27" i="31"/>
  <c r="X26"/>
  <c r="C26"/>
  <c r="X25"/>
  <c r="C25"/>
  <c r="X24"/>
  <c r="C24"/>
  <c r="C23"/>
  <c r="X22"/>
  <c r="C22"/>
  <c r="X21"/>
  <c r="C21"/>
  <c r="X20"/>
  <c r="C20"/>
  <c r="O19"/>
  <c r="N19"/>
  <c r="M19"/>
  <c r="L19"/>
  <c r="K19"/>
  <c r="J19"/>
  <c r="I19"/>
  <c r="H19"/>
  <c r="G19"/>
  <c r="F19"/>
  <c r="E19"/>
  <c r="C19"/>
  <c r="K18"/>
  <c r="F18"/>
  <c r="F85" s="1"/>
  <c r="M86" i="16" s="1"/>
  <c r="O86" s="1"/>
  <c r="C18" i="31"/>
  <c r="O17"/>
  <c r="N17"/>
  <c r="M17"/>
  <c r="L17"/>
  <c r="K17"/>
  <c r="J17"/>
  <c r="I17"/>
  <c r="H17"/>
  <c r="G17"/>
  <c r="F17"/>
  <c r="E17"/>
  <c r="D17"/>
  <c r="C16"/>
  <c r="C13"/>
  <c r="D8"/>
  <c r="D7"/>
  <c r="X51" l="1"/>
  <c r="P44"/>
  <c r="F45" i="16" s="1"/>
  <c r="P37" i="31"/>
  <c r="F38" i="16" s="1"/>
  <c r="F86" i="31"/>
  <c r="M87" i="16" s="1"/>
  <c r="F91" i="31"/>
  <c r="P85"/>
  <c r="F86" i="16" s="1"/>
  <c r="E97" i="31"/>
  <c r="P87"/>
  <c r="F88" i="16" s="1"/>
  <c r="O18" i="31"/>
  <c r="P19"/>
  <c r="P32"/>
  <c r="G18"/>
  <c r="T55"/>
  <c r="T57"/>
  <c r="T64"/>
  <c r="T65"/>
  <c r="T66"/>
  <c r="T68"/>
  <c r="T71"/>
  <c r="T72"/>
  <c r="T75"/>
  <c r="T76"/>
  <c r="T80"/>
  <c r="T81"/>
  <c r="T56"/>
  <c r="R52"/>
  <c r="R53"/>
  <c r="R51"/>
  <c r="R83"/>
  <c r="X44"/>
  <c r="M18"/>
  <c r="L18"/>
  <c r="X27"/>
  <c r="J18"/>
  <c r="N18"/>
  <c r="I18"/>
  <c r="X37"/>
  <c r="H18"/>
  <c r="E18"/>
  <c r="X47"/>
  <c r="X69"/>
  <c r="X71"/>
  <c r="X73"/>
  <c r="X75"/>
  <c r="X77"/>
  <c r="X80"/>
  <c r="X82"/>
  <c r="X23"/>
  <c r="X31"/>
  <c r="X35"/>
  <c r="X39"/>
  <c r="X43"/>
  <c r="F97" l="1"/>
  <c r="M92" i="16"/>
  <c r="X32" i="31"/>
  <c r="F33" i="16"/>
  <c r="X19" i="31"/>
  <c r="F20" i="16"/>
  <c r="E92" i="31"/>
  <c r="X87"/>
  <c r="P18"/>
  <c r="D86"/>
  <c r="X85"/>
  <c r="D91"/>
  <c r="O45" i="29"/>
  <c r="N45"/>
  <c r="M45"/>
  <c r="L45"/>
  <c r="K45"/>
  <c r="J45"/>
  <c r="I45"/>
  <c r="H45"/>
  <c r="G45"/>
  <c r="F45"/>
  <c r="E45"/>
  <c r="D45"/>
  <c r="O38"/>
  <c r="N38"/>
  <c r="M38"/>
  <c r="L38"/>
  <c r="K38"/>
  <c r="J38"/>
  <c r="I38"/>
  <c r="H38"/>
  <c r="G38"/>
  <c r="F38"/>
  <c r="E38"/>
  <c r="D38"/>
  <c r="O33"/>
  <c r="N33"/>
  <c r="M33"/>
  <c r="L33"/>
  <c r="K33"/>
  <c r="J33"/>
  <c r="I33"/>
  <c r="H33"/>
  <c r="G33"/>
  <c r="F33"/>
  <c r="E33"/>
  <c r="D33"/>
  <c r="O28"/>
  <c r="N28"/>
  <c r="M28"/>
  <c r="L28"/>
  <c r="K28"/>
  <c r="J28"/>
  <c r="I28"/>
  <c r="H28"/>
  <c r="G28"/>
  <c r="F28"/>
  <c r="E28"/>
  <c r="D28"/>
  <c r="O20"/>
  <c r="O19" s="1"/>
  <c r="N20"/>
  <c r="N19" s="1"/>
  <c r="M20"/>
  <c r="M19" s="1"/>
  <c r="L20"/>
  <c r="L19" s="1"/>
  <c r="K20"/>
  <c r="K19" s="1"/>
  <c r="J20"/>
  <c r="J19" s="1"/>
  <c r="I20"/>
  <c r="I19" s="1"/>
  <c r="H20"/>
  <c r="H19" s="1"/>
  <c r="G20"/>
  <c r="G19" s="1"/>
  <c r="F20"/>
  <c r="F19" s="1"/>
  <c r="E20"/>
  <c r="E19" s="1"/>
  <c r="D20"/>
  <c r="C99"/>
  <c r="C98"/>
  <c r="C97"/>
  <c r="C96"/>
  <c r="C95"/>
  <c r="C94"/>
  <c r="C93"/>
  <c r="C92"/>
  <c r="P91"/>
  <c r="C91"/>
  <c r="P90"/>
  <c r="C90"/>
  <c r="P89"/>
  <c r="C89"/>
  <c r="O88"/>
  <c r="N88"/>
  <c r="M88"/>
  <c r="L88"/>
  <c r="K88"/>
  <c r="J88"/>
  <c r="I88"/>
  <c r="H88"/>
  <c r="G88"/>
  <c r="F88"/>
  <c r="E88"/>
  <c r="D88"/>
  <c r="C88"/>
  <c r="C87"/>
  <c r="C86"/>
  <c r="P84"/>
  <c r="Q84" s="1"/>
  <c r="C84"/>
  <c r="P83"/>
  <c r="C83"/>
  <c r="P82"/>
  <c r="C82"/>
  <c r="P81"/>
  <c r="C81"/>
  <c r="P80"/>
  <c r="C80"/>
  <c r="P78"/>
  <c r="C78"/>
  <c r="P77"/>
  <c r="C77"/>
  <c r="P76"/>
  <c r="C76"/>
  <c r="P75"/>
  <c r="C75"/>
  <c r="C74"/>
  <c r="P73"/>
  <c r="C73"/>
  <c r="P72"/>
  <c r="C72"/>
  <c r="P71"/>
  <c r="C71"/>
  <c r="P70"/>
  <c r="C70"/>
  <c r="P69"/>
  <c r="C69"/>
  <c r="C68"/>
  <c r="P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C54"/>
  <c r="C53"/>
  <c r="C52"/>
  <c r="C51"/>
  <c r="P50"/>
  <c r="C50"/>
  <c r="P49"/>
  <c r="C49"/>
  <c r="P48"/>
  <c r="C48"/>
  <c r="P47"/>
  <c r="C47"/>
  <c r="P46"/>
  <c r="C46"/>
  <c r="P45"/>
  <c r="Q45" s="1"/>
  <c r="C45"/>
  <c r="P44"/>
  <c r="C44"/>
  <c r="P43"/>
  <c r="C43"/>
  <c r="P42"/>
  <c r="C42"/>
  <c r="P41"/>
  <c r="C41"/>
  <c r="P40"/>
  <c r="C40"/>
  <c r="P39"/>
  <c r="C39"/>
  <c r="P38"/>
  <c r="Q38" s="1"/>
  <c r="C38"/>
  <c r="P37"/>
  <c r="C37"/>
  <c r="P36"/>
  <c r="C36"/>
  <c r="P35"/>
  <c r="C35"/>
  <c r="P34"/>
  <c r="C34"/>
  <c r="P33"/>
  <c r="Q33" s="1"/>
  <c r="C33"/>
  <c r="P32"/>
  <c r="C32"/>
  <c r="P31"/>
  <c r="C31"/>
  <c r="P30"/>
  <c r="C30"/>
  <c r="P29"/>
  <c r="C29"/>
  <c r="P28"/>
  <c r="Q28" s="1"/>
  <c r="C28"/>
  <c r="P27"/>
  <c r="C27"/>
  <c r="P26"/>
  <c r="C26"/>
  <c r="P25"/>
  <c r="C25"/>
  <c r="P24"/>
  <c r="C24"/>
  <c r="P23"/>
  <c r="C23"/>
  <c r="P22"/>
  <c r="C22"/>
  <c r="P21"/>
  <c r="C21"/>
  <c r="P20"/>
  <c r="Q20" s="1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F22" i="18"/>
  <c r="F20"/>
  <c r="F21"/>
  <c r="F92" i="31" l="1"/>
  <c r="M93" i="16" s="1"/>
  <c r="M98"/>
  <c r="X18" i="31"/>
  <c r="F19" i="16"/>
  <c r="D19" i="29"/>
  <c r="D97" i="31"/>
  <c r="P91"/>
  <c r="F92" i="16" s="1"/>
  <c r="P86" i="31"/>
  <c r="E86" i="29"/>
  <c r="G86"/>
  <c r="I86"/>
  <c r="K86"/>
  <c r="M86"/>
  <c r="O86"/>
  <c r="P19"/>
  <c r="Q19" s="1"/>
  <c r="P53"/>
  <c r="P74"/>
  <c r="P54"/>
  <c r="P88"/>
  <c r="Q88" s="1"/>
  <c r="Q18" i="31"/>
  <c r="X91"/>
  <c r="E92" i="29"/>
  <c r="E98" s="1"/>
  <c r="E87"/>
  <c r="G92"/>
  <c r="G98" s="1"/>
  <c r="G93" s="1"/>
  <c r="G87"/>
  <c r="I92"/>
  <c r="I98" s="1"/>
  <c r="I93" s="1"/>
  <c r="I87"/>
  <c r="K92"/>
  <c r="K98" s="1"/>
  <c r="K93" s="1"/>
  <c r="K87"/>
  <c r="M92"/>
  <c r="M98" s="1"/>
  <c r="M93" s="1"/>
  <c r="M87"/>
  <c r="O92"/>
  <c r="O98" s="1"/>
  <c r="O93" s="1"/>
  <c r="O87"/>
  <c r="P51"/>
  <c r="Q51" s="1"/>
  <c r="D86"/>
  <c r="F86"/>
  <c r="H86"/>
  <c r="J86"/>
  <c r="L86"/>
  <c r="N86"/>
  <c r="P68"/>
  <c r="E93" l="1"/>
  <c r="X86" i="31"/>
  <c r="F87" i="16"/>
  <c r="O87"/>
  <c r="O92"/>
  <c r="D92" i="31"/>
  <c r="P97"/>
  <c r="N92" i="29"/>
  <c r="N98" s="1"/>
  <c r="N93" s="1"/>
  <c r="N87"/>
  <c r="L92"/>
  <c r="L98" s="1"/>
  <c r="L93" s="1"/>
  <c r="L87"/>
  <c r="J92"/>
  <c r="J98" s="1"/>
  <c r="J93" s="1"/>
  <c r="J87"/>
  <c r="H92"/>
  <c r="H98" s="1"/>
  <c r="H93" s="1"/>
  <c r="H87"/>
  <c r="F92"/>
  <c r="F98" s="1"/>
  <c r="F93" s="1"/>
  <c r="F87"/>
  <c r="D92"/>
  <c r="D87"/>
  <c r="P86"/>
  <c r="Q86" s="1"/>
  <c r="P52"/>
  <c r="Q52" s="1"/>
  <c r="P87" l="1"/>
  <c r="Q87" s="1"/>
  <c r="X97" i="31"/>
  <c r="F98" i="16"/>
  <c r="O98"/>
  <c r="P92" i="31"/>
  <c r="D98" i="29"/>
  <c r="P92"/>
  <c r="Q92" s="1"/>
  <c r="X92" i="31" l="1"/>
  <c r="F93" i="16"/>
  <c r="O93"/>
  <c r="P98" i="29"/>
  <c r="Q98" s="1"/>
  <c r="D93"/>
  <c r="P93" l="1"/>
  <c r="Q93" s="1"/>
  <c r="Q96" i="26"/>
  <c r="Q95"/>
  <c r="Q94"/>
  <c r="Q93"/>
  <c r="Q90"/>
  <c r="Q89"/>
  <c r="Q88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O53"/>
  <c r="N53"/>
  <c r="M53"/>
  <c r="L53"/>
  <c r="K53"/>
  <c r="J53"/>
  <c r="I53"/>
  <c r="H53"/>
  <c r="G53"/>
  <c r="F53"/>
  <c r="E53"/>
  <c r="D53"/>
  <c r="O54"/>
  <c r="N54"/>
  <c r="M54"/>
  <c r="L54"/>
  <c r="K54"/>
  <c r="J54"/>
  <c r="I54"/>
  <c r="H54"/>
  <c r="G54"/>
  <c r="F54"/>
  <c r="E54"/>
  <c r="D54"/>
  <c r="P66"/>
  <c r="O68"/>
  <c r="N68"/>
  <c r="M68"/>
  <c r="L68"/>
  <c r="K68"/>
  <c r="J68"/>
  <c r="I68"/>
  <c r="H68"/>
  <c r="G68"/>
  <c r="F68"/>
  <c r="E68"/>
  <c r="D68"/>
  <c r="O74"/>
  <c r="N74"/>
  <c r="M74"/>
  <c r="L74"/>
  <c r="K74"/>
  <c r="J74"/>
  <c r="I74"/>
  <c r="H74"/>
  <c r="G74"/>
  <c r="F74"/>
  <c r="E74"/>
  <c r="D74"/>
  <c r="I87"/>
  <c r="D87"/>
  <c r="E51"/>
  <c r="F51"/>
  <c r="G51"/>
  <c r="H51"/>
  <c r="I51"/>
  <c r="J51"/>
  <c r="K51"/>
  <c r="L51"/>
  <c r="M51"/>
  <c r="N51"/>
  <c r="O51"/>
  <c r="O19"/>
  <c r="N19"/>
  <c r="M19"/>
  <c r="L19"/>
  <c r="K19"/>
  <c r="J19"/>
  <c r="I19"/>
  <c r="H19"/>
  <c r="G19"/>
  <c r="F19"/>
  <c r="E19"/>
  <c r="D19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D51" l="1"/>
  <c r="D52" s="1"/>
  <c r="N52"/>
  <c r="N85"/>
  <c r="L52"/>
  <c r="L85"/>
  <c r="J52"/>
  <c r="J85"/>
  <c r="H52"/>
  <c r="H85"/>
  <c r="F52"/>
  <c r="F85"/>
  <c r="O52"/>
  <c r="O85"/>
  <c r="M52"/>
  <c r="M85"/>
  <c r="K52"/>
  <c r="K85"/>
  <c r="I52"/>
  <c r="I85"/>
  <c r="G52"/>
  <c r="G85"/>
  <c r="E52"/>
  <c r="E85"/>
  <c r="C66" i="15"/>
  <c r="O87"/>
  <c r="N87"/>
  <c r="D85" i="26" l="1"/>
  <c r="O44" i="15"/>
  <c r="O37"/>
  <c r="O32"/>
  <c r="O27"/>
  <c r="D14" i="22"/>
  <c r="K18" i="16" l="1"/>
  <c r="D13" i="15"/>
  <c r="X24" s="1"/>
  <c r="Q94" i="16"/>
  <c r="Q90"/>
  <c r="Q75"/>
  <c r="Q77"/>
  <c r="Q57"/>
  <c r="Q49"/>
  <c r="Q70"/>
  <c r="Q23"/>
  <c r="Q25"/>
  <c r="Q27"/>
  <c r="N44" i="15"/>
  <c r="N37"/>
  <c r="N32"/>
  <c r="N27"/>
  <c r="P83"/>
  <c r="E44"/>
  <c r="F44"/>
  <c r="G44"/>
  <c r="H44"/>
  <c r="I44"/>
  <c r="J44"/>
  <c r="K44"/>
  <c r="L44"/>
  <c r="M44"/>
  <c r="D44"/>
  <c r="E37"/>
  <c r="F37"/>
  <c r="G37"/>
  <c r="H37"/>
  <c r="I37"/>
  <c r="J37"/>
  <c r="K37"/>
  <c r="L37"/>
  <c r="M37"/>
  <c r="D37"/>
  <c r="E32"/>
  <c r="F32"/>
  <c r="G32"/>
  <c r="H32"/>
  <c r="I32"/>
  <c r="J32"/>
  <c r="K32"/>
  <c r="L32"/>
  <c r="M32"/>
  <c r="D32"/>
  <c r="E27"/>
  <c r="F27"/>
  <c r="G27"/>
  <c r="H27"/>
  <c r="I27"/>
  <c r="J27"/>
  <c r="K27"/>
  <c r="L27"/>
  <c r="M27"/>
  <c r="D27"/>
  <c r="E85"/>
  <c r="R86" i="16" s="1"/>
  <c r="H85" i="15"/>
  <c r="I85"/>
  <c r="L85"/>
  <c r="M85"/>
  <c r="M87"/>
  <c r="L87"/>
  <c r="K87"/>
  <c r="J87"/>
  <c r="I87"/>
  <c r="H87"/>
  <c r="G87"/>
  <c r="F87"/>
  <c r="E87"/>
  <c r="D87"/>
  <c r="R18" i="16"/>
  <c r="D20" i="14"/>
  <c r="D28"/>
  <c r="D33"/>
  <c r="D38"/>
  <c r="D45"/>
  <c r="Q35" i="16"/>
  <c r="N72"/>
  <c r="N50"/>
  <c r="N26"/>
  <c r="P42" i="15"/>
  <c r="D54" i="14"/>
  <c r="S53" i="31" s="1"/>
  <c r="T53" s="1"/>
  <c r="D68" i="14"/>
  <c r="S67" i="31" s="1"/>
  <c r="T67" s="1"/>
  <c r="D74" i="14"/>
  <c r="S73" i="31" s="1"/>
  <c r="T73" s="1"/>
  <c r="D86" i="14"/>
  <c r="L20"/>
  <c r="L28"/>
  <c r="L33"/>
  <c r="L38"/>
  <c r="L45"/>
  <c r="P20" i="15"/>
  <c r="P21"/>
  <c r="P22"/>
  <c r="P23"/>
  <c r="P24"/>
  <c r="P25"/>
  <c r="P26"/>
  <c r="P28"/>
  <c r="P29"/>
  <c r="P30"/>
  <c r="P31"/>
  <c r="P33"/>
  <c r="P34"/>
  <c r="P35"/>
  <c r="P36"/>
  <c r="P38"/>
  <c r="P39"/>
  <c r="P40"/>
  <c r="P41"/>
  <c r="P43"/>
  <c r="P45"/>
  <c r="P46"/>
  <c r="P47"/>
  <c r="P48"/>
  <c r="P49"/>
  <c r="E20" i="14"/>
  <c r="F20"/>
  <c r="G20"/>
  <c r="H20"/>
  <c r="I20"/>
  <c r="J20"/>
  <c r="K20"/>
  <c r="E28"/>
  <c r="F28"/>
  <c r="G28"/>
  <c r="H28"/>
  <c r="I28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7" i="26"/>
  <c r="L54" i="14"/>
  <c r="L53" s="1"/>
  <c r="L68"/>
  <c r="L74"/>
  <c r="L86"/>
  <c r="P67" i="15"/>
  <c r="E54" i="14"/>
  <c r="E53" s="1"/>
  <c r="E51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/>
  <c r="J68"/>
  <c r="J74"/>
  <c r="J86"/>
  <c r="K54"/>
  <c r="K53" s="1"/>
  <c r="K68"/>
  <c r="K74"/>
  <c r="K86"/>
  <c r="P96" i="15"/>
  <c r="P95"/>
  <c r="P94"/>
  <c r="P93"/>
  <c r="P90"/>
  <c r="P89"/>
  <c r="P88"/>
  <c r="P82"/>
  <c r="P81"/>
  <c r="P80"/>
  <c r="P79"/>
  <c r="P77"/>
  <c r="P76"/>
  <c r="P75"/>
  <c r="P74"/>
  <c r="P73"/>
  <c r="P72"/>
  <c r="P71"/>
  <c r="P70"/>
  <c r="P69"/>
  <c r="P68"/>
  <c r="X68" s="1"/>
  <c r="P66"/>
  <c r="P65"/>
  <c r="P64"/>
  <c r="P63"/>
  <c r="P62"/>
  <c r="P61"/>
  <c r="P60"/>
  <c r="P59"/>
  <c r="P58"/>
  <c r="P57"/>
  <c r="P56"/>
  <c r="P55"/>
  <c r="P54"/>
  <c r="E87" i="26"/>
  <c r="F87"/>
  <c r="G87"/>
  <c r="H87"/>
  <c r="J87"/>
  <c r="K87"/>
  <c r="E33" i="18"/>
  <c r="T41"/>
  <c r="U41"/>
  <c r="V41"/>
  <c r="W41"/>
  <c r="X41"/>
  <c r="Y41"/>
  <c r="Z41"/>
  <c r="AA41"/>
  <c r="S30"/>
  <c r="R30"/>
  <c r="Q30"/>
  <c r="P30"/>
  <c r="O30"/>
  <c r="N30"/>
  <c r="M30"/>
  <c r="L30"/>
  <c r="R29"/>
  <c r="J29"/>
  <c r="P29"/>
  <c r="H29"/>
  <c r="N29"/>
  <c r="F29"/>
  <c r="L29"/>
  <c r="D29"/>
  <c r="M41"/>
  <c r="N41"/>
  <c r="O41"/>
  <c r="P62" i="26"/>
  <c r="O18" i="16"/>
  <c r="C84" i="26"/>
  <c r="J33" i="18"/>
  <c r="K33" s="1"/>
  <c r="J32"/>
  <c r="H31"/>
  <c r="I31" s="1"/>
  <c r="F31"/>
  <c r="D31"/>
  <c r="E31" s="1"/>
  <c r="K30"/>
  <c r="J30"/>
  <c r="I30"/>
  <c r="H30"/>
  <c r="G30"/>
  <c r="F30"/>
  <c r="E30"/>
  <c r="D30"/>
  <c r="D20"/>
  <c r="E20" s="1"/>
  <c r="I19"/>
  <c r="H19"/>
  <c r="G19"/>
  <c r="F19"/>
  <c r="E19"/>
  <c r="D19"/>
  <c r="W43"/>
  <c r="N46" i="16"/>
  <c r="W50" i="15"/>
  <c r="S54"/>
  <c r="S55"/>
  <c r="S56"/>
  <c r="S57"/>
  <c r="S58"/>
  <c r="S59"/>
  <c r="S60"/>
  <c r="S61"/>
  <c r="S62"/>
  <c r="S63"/>
  <c r="S64"/>
  <c r="S65"/>
  <c r="S66"/>
  <c r="S68"/>
  <c r="S69"/>
  <c r="S70"/>
  <c r="S71"/>
  <c r="S72"/>
  <c r="S74"/>
  <c r="S75"/>
  <c r="S76"/>
  <c r="S77"/>
  <c r="S79"/>
  <c r="S80"/>
  <c r="S81"/>
  <c r="S82"/>
  <c r="D67" i="16"/>
  <c r="P67" i="14"/>
  <c r="P96" i="26"/>
  <c r="P95"/>
  <c r="P94"/>
  <c r="P93"/>
  <c r="P90"/>
  <c r="P89"/>
  <c r="P88"/>
  <c r="O87"/>
  <c r="N87"/>
  <c r="M87"/>
  <c r="P83"/>
  <c r="P82"/>
  <c r="P81"/>
  <c r="P80"/>
  <c r="P79"/>
  <c r="P78"/>
  <c r="P77"/>
  <c r="P76"/>
  <c r="P75"/>
  <c r="P73"/>
  <c r="P72"/>
  <c r="P71"/>
  <c r="P70"/>
  <c r="P69"/>
  <c r="P65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O54" i="14"/>
  <c r="N54"/>
  <c r="M54"/>
  <c r="M53" s="1"/>
  <c r="O39" i="17"/>
  <c r="O72" s="1"/>
  <c r="E39"/>
  <c r="E72" s="1"/>
  <c r="F39"/>
  <c r="G39"/>
  <c r="H39"/>
  <c r="I39"/>
  <c r="I72" s="1"/>
  <c r="J39"/>
  <c r="K39"/>
  <c r="K72"/>
  <c r="L39"/>
  <c r="L72" s="1"/>
  <c r="M39"/>
  <c r="N39"/>
  <c r="P70"/>
  <c r="D39"/>
  <c r="G20" i="18"/>
  <c r="N36" i="16"/>
  <c r="Q36"/>
  <c r="N48"/>
  <c r="Q48"/>
  <c r="N56"/>
  <c r="Q56"/>
  <c r="N64"/>
  <c r="Q95"/>
  <c r="N47"/>
  <c r="Q72"/>
  <c r="N90"/>
  <c r="N94"/>
  <c r="Q22"/>
  <c r="Q26"/>
  <c r="N30"/>
  <c r="Q30"/>
  <c r="Q34"/>
  <c r="Q42"/>
  <c r="Q46"/>
  <c r="Q50"/>
  <c r="Q58"/>
  <c r="Q71"/>
  <c r="Q80"/>
  <c r="N89"/>
  <c r="Q24"/>
  <c r="N24"/>
  <c r="Q32"/>
  <c r="Q40"/>
  <c r="N40"/>
  <c r="Q44"/>
  <c r="Q60"/>
  <c r="Q69"/>
  <c r="Q82"/>
  <c r="N31"/>
  <c r="N59"/>
  <c r="Q76"/>
  <c r="Q21"/>
  <c r="N37"/>
  <c r="Q65"/>
  <c r="Q78"/>
  <c r="Q83"/>
  <c r="Q96"/>
  <c r="H18"/>
  <c r="S41" i="18"/>
  <c r="R41"/>
  <c r="T8" i="17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1"/>
  <c r="U71"/>
  <c r="V71"/>
  <c r="W71"/>
  <c r="T75"/>
  <c r="U75"/>
  <c r="V75"/>
  <c r="W75"/>
  <c r="T76"/>
  <c r="U76"/>
  <c r="V76"/>
  <c r="W76"/>
  <c r="T77"/>
  <c r="U77"/>
  <c r="V77"/>
  <c r="W77"/>
  <c r="T80"/>
  <c r="U80"/>
  <c r="V80"/>
  <c r="W80"/>
  <c r="T81"/>
  <c r="U81"/>
  <c r="V81"/>
  <c r="W81"/>
  <c r="T82"/>
  <c r="U82"/>
  <c r="V82"/>
  <c r="W82"/>
  <c r="T83"/>
  <c r="U83"/>
  <c r="V83"/>
  <c r="W83"/>
  <c r="W7"/>
  <c r="V7"/>
  <c r="U7"/>
  <c r="T7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X81" i="17"/>
  <c r="X21"/>
  <c r="L41" i="18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P8" i="17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5"/>
  <c r="P76"/>
  <c r="P77"/>
  <c r="P71"/>
  <c r="P80"/>
  <c r="P81"/>
  <c r="P82"/>
  <c r="P83"/>
  <c r="P7"/>
  <c r="C73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18" i="16"/>
  <c r="F18"/>
  <c r="O74" i="17"/>
  <c r="N74"/>
  <c r="M74"/>
  <c r="L74"/>
  <c r="K74"/>
  <c r="J74"/>
  <c r="V74" s="1"/>
  <c r="I74"/>
  <c r="H74"/>
  <c r="H78" s="1"/>
  <c r="H84" s="1"/>
  <c r="G74"/>
  <c r="F74"/>
  <c r="E74"/>
  <c r="D74"/>
  <c r="T74" s="1"/>
  <c r="K73"/>
  <c r="M72"/>
  <c r="J72"/>
  <c r="D17" i="16"/>
  <c r="D99"/>
  <c r="D98"/>
  <c r="D97"/>
  <c r="D96"/>
  <c r="D95"/>
  <c r="D94"/>
  <c r="D93"/>
  <c r="D92"/>
  <c r="D84"/>
  <c r="D91"/>
  <c r="D90"/>
  <c r="D89"/>
  <c r="D88"/>
  <c r="D87"/>
  <c r="D86"/>
  <c r="D83"/>
  <c r="D82"/>
  <c r="D81"/>
  <c r="D80"/>
  <c r="D78"/>
  <c r="D77"/>
  <c r="D76"/>
  <c r="D75"/>
  <c r="D74"/>
  <c r="D73"/>
  <c r="D72"/>
  <c r="D71"/>
  <c r="D70"/>
  <c r="D69"/>
  <c r="D68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H9"/>
  <c r="I8"/>
  <c r="C38" i="15"/>
  <c r="C16"/>
  <c r="D8"/>
  <c r="C98"/>
  <c r="C97"/>
  <c r="C96"/>
  <c r="C95"/>
  <c r="C94"/>
  <c r="C93"/>
  <c r="C92"/>
  <c r="C91"/>
  <c r="C83"/>
  <c r="C90"/>
  <c r="C89"/>
  <c r="C88"/>
  <c r="C87"/>
  <c r="C86"/>
  <c r="C85"/>
  <c r="C82"/>
  <c r="C81"/>
  <c r="C80"/>
  <c r="C79"/>
  <c r="C77"/>
  <c r="C76"/>
  <c r="C75"/>
  <c r="C74"/>
  <c r="C72"/>
  <c r="C71"/>
  <c r="C70"/>
  <c r="C69"/>
  <c r="C68"/>
  <c r="C67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O17"/>
  <c r="N17"/>
  <c r="M17"/>
  <c r="L17"/>
  <c r="K17"/>
  <c r="J17"/>
  <c r="I17"/>
  <c r="H17"/>
  <c r="G17"/>
  <c r="F17"/>
  <c r="E17"/>
  <c r="D17"/>
  <c r="C13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G72" i="17"/>
  <c r="F72"/>
  <c r="F73" s="1"/>
  <c r="Q43" i="18"/>
  <c r="X23" i="15"/>
  <c r="S67"/>
  <c r="L19" i="22"/>
  <c r="H72" i="17"/>
  <c r="X7"/>
  <c r="X68"/>
  <c r="X60"/>
  <c r="X45"/>
  <c r="X34"/>
  <c r="X26"/>
  <c r="X11"/>
  <c r="I19" i="22"/>
  <c r="I82" s="1"/>
  <c r="AA44" i="18"/>
  <c r="G22" s="1"/>
  <c r="O44"/>
  <c r="O43"/>
  <c r="G31"/>
  <c r="P86" i="14"/>
  <c r="J73" i="17"/>
  <c r="J78"/>
  <c r="S73" i="15"/>
  <c r="U74" i="17"/>
  <c r="E19" i="22"/>
  <c r="E82" s="1"/>
  <c r="X76" i="17"/>
  <c r="X64"/>
  <c r="X56"/>
  <c r="X48"/>
  <c r="X40"/>
  <c r="X30"/>
  <c r="X22"/>
  <c r="X15"/>
  <c r="P68" i="26"/>
  <c r="P38"/>
  <c r="E22" i="18"/>
  <c r="I32"/>
  <c r="G32"/>
  <c r="E32"/>
  <c r="E44"/>
  <c r="G43"/>
  <c r="I44"/>
  <c r="K43"/>
  <c r="M44"/>
  <c r="Q44"/>
  <c r="S43"/>
  <c r="U44"/>
  <c r="Y44"/>
  <c r="AA43"/>
  <c r="G21" s="1"/>
  <c r="E21"/>
  <c r="I33"/>
  <c r="G33"/>
  <c r="E43"/>
  <c r="G44"/>
  <c r="I43"/>
  <c r="K44"/>
  <c r="M43"/>
  <c r="S44"/>
  <c r="U43"/>
  <c r="W44"/>
  <c r="Y43"/>
  <c r="H73" i="17"/>
  <c r="J84"/>
  <c r="J79" s="1"/>
  <c r="Q84" i="16"/>
  <c r="P53" i="22"/>
  <c r="X34" i="15"/>
  <c r="X96"/>
  <c r="X35"/>
  <c r="X21"/>
  <c r="G73" i="17"/>
  <c r="G78"/>
  <c r="M73"/>
  <c r="D19" i="22"/>
  <c r="X20" i="15"/>
  <c r="X28"/>
  <c r="Q29" i="16"/>
  <c r="P54" i="26"/>
  <c r="X72" i="15"/>
  <c r="X58" i="17"/>
  <c r="T39"/>
  <c r="D72"/>
  <c r="D78" s="1"/>
  <c r="D84" s="1"/>
  <c r="D79" s="1"/>
  <c r="P74" i="26"/>
  <c r="P53" i="15"/>
  <c r="R53" s="1"/>
  <c r="N57" i="16"/>
  <c r="N76"/>
  <c r="N81"/>
  <c r="I19" i="14"/>
  <c r="F85" i="15"/>
  <c r="N91" i="16"/>
  <c r="N95"/>
  <c r="N96"/>
  <c r="N21"/>
  <c r="N23"/>
  <c r="N25"/>
  <c r="N27"/>
  <c r="N32"/>
  <c r="N34"/>
  <c r="N44"/>
  <c r="N62"/>
  <c r="N65"/>
  <c r="N67"/>
  <c r="N78"/>
  <c r="N80"/>
  <c r="N82"/>
  <c r="N84"/>
  <c r="Q31"/>
  <c r="Q39"/>
  <c r="Q41"/>
  <c r="Q43"/>
  <c r="Q73"/>
  <c r="Q89"/>
  <c r="Q91"/>
  <c r="N22"/>
  <c r="N29"/>
  <c r="N35"/>
  <c r="N41"/>
  <c r="N42"/>
  <c r="N49"/>
  <c r="N58"/>
  <c r="N60"/>
  <c r="N61"/>
  <c r="N66"/>
  <c r="N69"/>
  <c r="N70"/>
  <c r="N71"/>
  <c r="N75"/>
  <c r="N77"/>
  <c r="N83"/>
  <c r="Q37"/>
  <c r="Q47"/>
  <c r="Q55"/>
  <c r="Q59"/>
  <c r="D73" i="17"/>
  <c r="G84"/>
  <c r="G79" s="1"/>
  <c r="X83" i="15" l="1"/>
  <c r="X49"/>
  <c r="X57"/>
  <c r="X73"/>
  <c r="X82"/>
  <c r="X30"/>
  <c r="X43"/>
  <c r="X25"/>
  <c r="X39"/>
  <c r="X29"/>
  <c r="X46"/>
  <c r="J31" i="18"/>
  <c r="K31" s="1"/>
  <c r="P38" i="22"/>
  <c r="N19"/>
  <c r="K78" i="17"/>
  <c r="K78" i="16"/>
  <c r="P68" i="14"/>
  <c r="H51"/>
  <c r="H52" s="1"/>
  <c r="G51"/>
  <c r="G52" s="1"/>
  <c r="L51"/>
  <c r="P45"/>
  <c r="J19"/>
  <c r="P20"/>
  <c r="P45" i="26"/>
  <c r="P33"/>
  <c r="P28"/>
  <c r="P20"/>
  <c r="P33" i="14"/>
  <c r="P87" i="15"/>
  <c r="G88" i="16" s="1"/>
  <c r="J85" i="15"/>
  <c r="J86" s="1"/>
  <c r="P37"/>
  <c r="M19" i="14"/>
  <c r="N19"/>
  <c r="F78" i="17"/>
  <c r="F84" s="1"/>
  <c r="F79" s="1"/>
  <c r="P74"/>
  <c r="M78"/>
  <c r="F51" i="22"/>
  <c r="F52" s="1"/>
  <c r="H51"/>
  <c r="H52" s="1"/>
  <c r="N51"/>
  <c r="N52" s="1"/>
  <c r="G51"/>
  <c r="G52" s="1"/>
  <c r="O51"/>
  <c r="O52" s="1"/>
  <c r="P73"/>
  <c r="L51"/>
  <c r="L52" s="1"/>
  <c r="X83" i="17"/>
  <c r="X82"/>
  <c r="X80"/>
  <c r="X77"/>
  <c r="X75"/>
  <c r="X71"/>
  <c r="X69"/>
  <c r="X67"/>
  <c r="X66"/>
  <c r="X65"/>
  <c r="X63"/>
  <c r="X62"/>
  <c r="X61"/>
  <c r="X59"/>
  <c r="X57"/>
  <c r="X55"/>
  <c r="X54"/>
  <c r="X53"/>
  <c r="X52"/>
  <c r="X51"/>
  <c r="X50"/>
  <c r="X49"/>
  <c r="X47"/>
  <c r="X46"/>
  <c r="X44"/>
  <c r="X43"/>
  <c r="X42"/>
  <c r="X41"/>
  <c r="X38"/>
  <c r="X37"/>
  <c r="X36"/>
  <c r="X35"/>
  <c r="X33"/>
  <c r="X32"/>
  <c r="X31"/>
  <c r="X29"/>
  <c r="X28"/>
  <c r="X27"/>
  <c r="X25"/>
  <c r="X24"/>
  <c r="X23"/>
  <c r="X20"/>
  <c r="X19"/>
  <c r="X18"/>
  <c r="X17"/>
  <c r="X16"/>
  <c r="X14"/>
  <c r="X13"/>
  <c r="X12"/>
  <c r="X10"/>
  <c r="X9"/>
  <c r="X8"/>
  <c r="W39"/>
  <c r="E19" i="14"/>
  <c r="H19"/>
  <c r="K19"/>
  <c r="L19"/>
  <c r="P54"/>
  <c r="P20" i="22"/>
  <c r="P67"/>
  <c r="D51"/>
  <c r="D52" s="1"/>
  <c r="P74" i="14"/>
  <c r="P28"/>
  <c r="L78" i="17"/>
  <c r="L84" s="1"/>
  <c r="L79" s="1"/>
  <c r="L73"/>
  <c r="V73" s="1"/>
  <c r="V72"/>
  <c r="U72"/>
  <c r="I73"/>
  <c r="U73" s="1"/>
  <c r="I78"/>
  <c r="I84" s="1"/>
  <c r="I79" s="1"/>
  <c r="E73"/>
  <c r="T72"/>
  <c r="E78"/>
  <c r="E84" s="1"/>
  <c r="H79"/>
  <c r="E89" i="22"/>
  <c r="E95" s="1"/>
  <c r="E90" s="1"/>
  <c r="E83"/>
  <c r="M84" i="17"/>
  <c r="L86" i="15"/>
  <c r="L91"/>
  <c r="L97" s="1"/>
  <c r="N82" i="22"/>
  <c r="L82"/>
  <c r="H84" i="14"/>
  <c r="F86" i="15"/>
  <c r="F91"/>
  <c r="F97" s="1"/>
  <c r="K84" i="17"/>
  <c r="K79" s="1"/>
  <c r="V79" s="1"/>
  <c r="O73"/>
  <c r="O78"/>
  <c r="O84" s="1"/>
  <c r="O79" s="1"/>
  <c r="T84"/>
  <c r="T73"/>
  <c r="J82" i="22"/>
  <c r="J83" s="1"/>
  <c r="O53" i="14"/>
  <c r="O85" i="15"/>
  <c r="J63" i="16"/>
  <c r="G19" i="14"/>
  <c r="P67" i="26"/>
  <c r="X95" i="15"/>
  <c r="F19" i="22"/>
  <c r="F82" s="1"/>
  <c r="O19"/>
  <c r="O82" s="1"/>
  <c r="U39" i="17"/>
  <c r="K64" i="16"/>
  <c r="X31" i="15"/>
  <c r="X66"/>
  <c r="X54"/>
  <c r="X48"/>
  <c r="X22"/>
  <c r="P61" i="26"/>
  <c r="K32" i="18"/>
  <c r="W74" i="17"/>
  <c r="X74" s="1"/>
  <c r="V39"/>
  <c r="R83" i="15"/>
  <c r="N72" i="17"/>
  <c r="P72" s="1"/>
  <c r="G19" i="22"/>
  <c r="G82" s="1"/>
  <c r="M19"/>
  <c r="M82" s="1"/>
  <c r="M89" s="1"/>
  <c r="M95" s="1"/>
  <c r="M90" s="1"/>
  <c r="R58" i="15"/>
  <c r="T58" s="1"/>
  <c r="P64" i="26"/>
  <c r="J61" i="16"/>
  <c r="K51" i="14"/>
  <c r="F19"/>
  <c r="G74" i="16"/>
  <c r="G85" i="15"/>
  <c r="G86" s="1"/>
  <c r="K62" i="16"/>
  <c r="J51" i="14"/>
  <c r="J52" s="1"/>
  <c r="S53" i="15"/>
  <c r="T53" s="1"/>
  <c r="X36"/>
  <c r="K19" i="22"/>
  <c r="K82" s="1"/>
  <c r="K83" s="1"/>
  <c r="P28"/>
  <c r="M51" i="14"/>
  <c r="M84" s="1"/>
  <c r="U78" i="17"/>
  <c r="D53" i="14"/>
  <c r="S52" i="31" s="1"/>
  <c r="T52" s="1"/>
  <c r="P39" i="17"/>
  <c r="X41" i="15"/>
  <c r="X33"/>
  <c r="X38"/>
  <c r="X26"/>
  <c r="X94"/>
  <c r="P87" i="26"/>
  <c r="Q87" s="1"/>
  <c r="O19" i="14"/>
  <c r="P38"/>
  <c r="P45" i="22"/>
  <c r="P63" i="26"/>
  <c r="K66" i="16"/>
  <c r="I51" i="14"/>
  <c r="I52" s="1"/>
  <c r="R57" i="15"/>
  <c r="T57" s="1"/>
  <c r="R69"/>
  <c r="T69" s="1"/>
  <c r="X65"/>
  <c r="R54"/>
  <c r="T54" s="1"/>
  <c r="X74"/>
  <c r="R70"/>
  <c r="T70" s="1"/>
  <c r="X77"/>
  <c r="X61"/>
  <c r="X69"/>
  <c r="R73"/>
  <c r="T73" s="1"/>
  <c r="R82"/>
  <c r="T82" s="1"/>
  <c r="X70"/>
  <c r="R61"/>
  <c r="T61" s="1"/>
  <c r="X81"/>
  <c r="R56"/>
  <c r="T56" s="1"/>
  <c r="K69" i="16"/>
  <c r="R68" i="15"/>
  <c r="T68" s="1"/>
  <c r="X89"/>
  <c r="X64"/>
  <c r="R76"/>
  <c r="T76" s="1"/>
  <c r="R60"/>
  <c r="T60" s="1"/>
  <c r="R72"/>
  <c r="T72" s="1"/>
  <c r="X60"/>
  <c r="R81"/>
  <c r="T81" s="1"/>
  <c r="R64"/>
  <c r="T64" s="1"/>
  <c r="X93"/>
  <c r="X90"/>
  <c r="R80"/>
  <c r="T80" s="1"/>
  <c r="X80"/>
  <c r="K71" i="16"/>
  <c r="G71"/>
  <c r="J71"/>
  <c r="X63" i="15"/>
  <c r="R75"/>
  <c r="T75" s="1"/>
  <c r="X62"/>
  <c r="X59"/>
  <c r="R55"/>
  <c r="T55" s="1"/>
  <c r="R71"/>
  <c r="T71" s="1"/>
  <c r="R74"/>
  <c r="T74" s="1"/>
  <c r="G69" i="16"/>
  <c r="R79" i="15"/>
  <c r="T79" s="1"/>
  <c r="X75"/>
  <c r="X55"/>
  <c r="X71"/>
  <c r="X58"/>
  <c r="R59"/>
  <c r="T59" s="1"/>
  <c r="R62"/>
  <c r="T62" s="1"/>
  <c r="R66"/>
  <c r="T66" s="1"/>
  <c r="N89" i="22"/>
  <c r="N95" s="1"/>
  <c r="N90" s="1"/>
  <c r="N83"/>
  <c r="I83"/>
  <c r="I89"/>
  <c r="I95" s="1"/>
  <c r="I90" s="1"/>
  <c r="F83"/>
  <c r="F89"/>
  <c r="F95" s="1"/>
  <c r="F90" s="1"/>
  <c r="P19"/>
  <c r="K89"/>
  <c r="K95" s="1"/>
  <c r="K90" s="1"/>
  <c r="M83"/>
  <c r="O83"/>
  <c r="O89"/>
  <c r="O95" s="1"/>
  <c r="O90" s="1"/>
  <c r="I52"/>
  <c r="P52" s="1"/>
  <c r="N74" i="16"/>
  <c r="K52" i="14"/>
  <c r="K84"/>
  <c r="N68" i="16"/>
  <c r="N54"/>
  <c r="F51" i="14"/>
  <c r="F52" s="1"/>
  <c r="E52"/>
  <c r="E84"/>
  <c r="L52"/>
  <c r="L84"/>
  <c r="N53"/>
  <c r="N39" i="16"/>
  <c r="N43"/>
  <c r="N55"/>
  <c r="N73"/>
  <c r="Q68"/>
  <c r="Q74"/>
  <c r="Q64"/>
  <c r="Q54"/>
  <c r="Q63"/>
  <c r="Q66"/>
  <c r="Q81"/>
  <c r="Q61"/>
  <c r="G81"/>
  <c r="J81"/>
  <c r="K81"/>
  <c r="H81"/>
  <c r="J97"/>
  <c r="K97"/>
  <c r="G97"/>
  <c r="H97"/>
  <c r="M86" i="15"/>
  <c r="M91"/>
  <c r="M97" s="1"/>
  <c r="M92" s="1"/>
  <c r="E86"/>
  <c r="R87" i="16" s="1"/>
  <c r="E91" i="15"/>
  <c r="K82" i="16"/>
  <c r="H82"/>
  <c r="G82"/>
  <c r="J82"/>
  <c r="N45"/>
  <c r="Q45"/>
  <c r="X87" i="15"/>
  <c r="P32"/>
  <c r="X32" s="1"/>
  <c r="P44"/>
  <c r="X44" s="1"/>
  <c r="N85"/>
  <c r="G50" i="16"/>
  <c r="H50"/>
  <c r="J50"/>
  <c r="K50"/>
  <c r="K48"/>
  <c r="J48"/>
  <c r="G48"/>
  <c r="H48"/>
  <c r="H46"/>
  <c r="J46"/>
  <c r="K46"/>
  <c r="G46"/>
  <c r="K37"/>
  <c r="J37"/>
  <c r="G37"/>
  <c r="H37"/>
  <c r="K35"/>
  <c r="H35"/>
  <c r="G35"/>
  <c r="J35"/>
  <c r="J21"/>
  <c r="H21"/>
  <c r="K21"/>
  <c r="G21"/>
  <c r="N33"/>
  <c r="Q33"/>
  <c r="J49"/>
  <c r="H49"/>
  <c r="G49"/>
  <c r="K49"/>
  <c r="J47"/>
  <c r="G47"/>
  <c r="K47"/>
  <c r="H47"/>
  <c r="H36"/>
  <c r="G36"/>
  <c r="J36"/>
  <c r="K36"/>
  <c r="G34"/>
  <c r="K34"/>
  <c r="J34"/>
  <c r="H34"/>
  <c r="I91" i="15"/>
  <c r="I97" s="1"/>
  <c r="I92" s="1"/>
  <c r="I86"/>
  <c r="P27"/>
  <c r="P19"/>
  <c r="K85"/>
  <c r="K91" s="1"/>
  <c r="K97" s="1"/>
  <c r="K92" s="1"/>
  <c r="H91"/>
  <c r="H97" s="1"/>
  <c r="H86"/>
  <c r="G70" i="16"/>
  <c r="J70"/>
  <c r="K70"/>
  <c r="H70"/>
  <c r="K74"/>
  <c r="J74"/>
  <c r="H74"/>
  <c r="G78"/>
  <c r="H78"/>
  <c r="J78"/>
  <c r="J95"/>
  <c r="K95"/>
  <c r="G95"/>
  <c r="X67" i="15"/>
  <c r="R67"/>
  <c r="T67" s="1"/>
  <c r="J44" i="16"/>
  <c r="K44"/>
  <c r="H44"/>
  <c r="G44"/>
  <c r="H41"/>
  <c r="K41"/>
  <c r="J41"/>
  <c r="G41"/>
  <c r="J39"/>
  <c r="K39"/>
  <c r="G39"/>
  <c r="H39"/>
  <c r="H32"/>
  <c r="J32"/>
  <c r="K32"/>
  <c r="G32"/>
  <c r="G30"/>
  <c r="K30"/>
  <c r="H30"/>
  <c r="J30"/>
  <c r="H26"/>
  <c r="J26"/>
  <c r="G26"/>
  <c r="K26"/>
  <c r="G24"/>
  <c r="K24"/>
  <c r="J24"/>
  <c r="H24"/>
  <c r="J22"/>
  <c r="H22"/>
  <c r="K22"/>
  <c r="G22"/>
  <c r="G91" i="15"/>
  <c r="G97" s="1"/>
  <c r="X37"/>
  <c r="N28" i="16"/>
  <c r="Q38"/>
  <c r="N38"/>
  <c r="G73"/>
  <c r="H73"/>
  <c r="J73"/>
  <c r="K73"/>
  <c r="K77"/>
  <c r="G77"/>
  <c r="H77"/>
  <c r="J77"/>
  <c r="K94"/>
  <c r="G94"/>
  <c r="J94"/>
  <c r="K96"/>
  <c r="G96"/>
  <c r="J96"/>
  <c r="P52" i="15"/>
  <c r="K42" i="16"/>
  <c r="G42"/>
  <c r="J42"/>
  <c r="H42"/>
  <c r="H40"/>
  <c r="K40"/>
  <c r="J40"/>
  <c r="G40"/>
  <c r="J31"/>
  <c r="G31"/>
  <c r="K31"/>
  <c r="H31"/>
  <c r="H29"/>
  <c r="G29"/>
  <c r="K29"/>
  <c r="J29"/>
  <c r="K27"/>
  <c r="G27"/>
  <c r="H27"/>
  <c r="J27"/>
  <c r="K25"/>
  <c r="G25"/>
  <c r="H25"/>
  <c r="J25"/>
  <c r="K23"/>
  <c r="G23"/>
  <c r="H23"/>
  <c r="J23"/>
  <c r="G43"/>
  <c r="H43"/>
  <c r="J43"/>
  <c r="K43"/>
  <c r="N20"/>
  <c r="Q20"/>
  <c r="K54"/>
  <c r="X53" i="15"/>
  <c r="H71" i="16"/>
  <c r="X42" i="15"/>
  <c r="X56"/>
  <c r="X76"/>
  <c r="X19"/>
  <c r="X88"/>
  <c r="X40"/>
  <c r="X45"/>
  <c r="X47"/>
  <c r="X79"/>
  <c r="R77"/>
  <c r="T77" s="1"/>
  <c r="N63" i="16"/>
  <c r="R65" i="15"/>
  <c r="T65" s="1"/>
  <c r="R63"/>
  <c r="T63" s="1"/>
  <c r="L92"/>
  <c r="G89" i="16"/>
  <c r="K89"/>
  <c r="H89"/>
  <c r="J89"/>
  <c r="H91"/>
  <c r="K91"/>
  <c r="G91"/>
  <c r="J91"/>
  <c r="J90"/>
  <c r="H90"/>
  <c r="G90"/>
  <c r="K90"/>
  <c r="N88"/>
  <c r="Q88"/>
  <c r="G56"/>
  <c r="J56"/>
  <c r="H56"/>
  <c r="K56"/>
  <c r="G58"/>
  <c r="J58"/>
  <c r="H58"/>
  <c r="K58"/>
  <c r="G60"/>
  <c r="J60"/>
  <c r="K60"/>
  <c r="H60"/>
  <c r="H62"/>
  <c r="G62"/>
  <c r="H64"/>
  <c r="G64"/>
  <c r="G66"/>
  <c r="H66"/>
  <c r="K72"/>
  <c r="G72"/>
  <c r="H72"/>
  <c r="J72"/>
  <c r="K76"/>
  <c r="G76"/>
  <c r="H76"/>
  <c r="J76"/>
  <c r="G83"/>
  <c r="J83"/>
  <c r="H83"/>
  <c r="F92" i="15"/>
  <c r="J55" i="16"/>
  <c r="K55"/>
  <c r="G55"/>
  <c r="H55"/>
  <c r="H57"/>
  <c r="K57"/>
  <c r="J57"/>
  <c r="G57"/>
  <c r="G59"/>
  <c r="K59"/>
  <c r="J59"/>
  <c r="H59"/>
  <c r="G61"/>
  <c r="H61"/>
  <c r="G63"/>
  <c r="H63"/>
  <c r="K65"/>
  <c r="J65"/>
  <c r="G65"/>
  <c r="H65"/>
  <c r="G67"/>
  <c r="H67"/>
  <c r="G75"/>
  <c r="K75"/>
  <c r="H75"/>
  <c r="J75"/>
  <c r="J80"/>
  <c r="G80"/>
  <c r="D19" i="14"/>
  <c r="J91" i="15" l="1"/>
  <c r="J97" s="1"/>
  <c r="J92" s="1"/>
  <c r="K86"/>
  <c r="E97"/>
  <c r="R92" i="16"/>
  <c r="P51" i="22"/>
  <c r="S52" i="15"/>
  <c r="G84" i="14"/>
  <c r="D85" i="15"/>
  <c r="F84" i="14"/>
  <c r="F85" s="1"/>
  <c r="J88" i="16"/>
  <c r="K88"/>
  <c r="H88"/>
  <c r="G20"/>
  <c r="K63"/>
  <c r="J64"/>
  <c r="K61"/>
  <c r="X39" i="17"/>
  <c r="I84" i="14"/>
  <c r="P53"/>
  <c r="U79" i="17"/>
  <c r="H82" i="22"/>
  <c r="D82"/>
  <c r="P53" i="26"/>
  <c r="O51" i="14"/>
  <c r="K86" i="26"/>
  <c r="K91"/>
  <c r="K97" s="1"/>
  <c r="K92" s="1"/>
  <c r="L89" i="22"/>
  <c r="L95" s="1"/>
  <c r="L90" s="1"/>
  <c r="L83"/>
  <c r="J86" i="26"/>
  <c r="J91"/>
  <c r="J97" s="1"/>
  <c r="J92" s="1"/>
  <c r="E79" i="17"/>
  <c r="D51" i="14"/>
  <c r="E86" i="26"/>
  <c r="E91"/>
  <c r="E97" s="1"/>
  <c r="E92" s="1"/>
  <c r="L86"/>
  <c r="L91"/>
  <c r="L97" s="1"/>
  <c r="L92" s="1"/>
  <c r="J84" i="14"/>
  <c r="J66" i="16"/>
  <c r="J62"/>
  <c r="X27" i="15"/>
  <c r="P18"/>
  <c r="Q18" s="1"/>
  <c r="G45" i="16"/>
  <c r="M52" i="14"/>
  <c r="J89" i="22"/>
  <c r="J95" s="1"/>
  <c r="J90" s="1"/>
  <c r="V84" i="17"/>
  <c r="F86" i="26"/>
  <c r="F91"/>
  <c r="F97" s="1"/>
  <c r="F92" s="1"/>
  <c r="O91" i="15"/>
  <c r="O86"/>
  <c r="N91"/>
  <c r="N86"/>
  <c r="Q62" i="16"/>
  <c r="W72" i="17"/>
  <c r="X72" s="1"/>
  <c r="N73"/>
  <c r="W73" s="1"/>
  <c r="X73" s="1"/>
  <c r="N78"/>
  <c r="P78" s="1"/>
  <c r="H85" i="14"/>
  <c r="H90"/>
  <c r="H96" s="1"/>
  <c r="H91" s="1"/>
  <c r="H91" i="26"/>
  <c r="H97" s="1"/>
  <c r="H92" s="1"/>
  <c r="H86"/>
  <c r="M79" i="17"/>
  <c r="Q28" i="16"/>
  <c r="P19" i="26"/>
  <c r="O84" i="14"/>
  <c r="H54" i="16"/>
  <c r="T78" i="17"/>
  <c r="V78"/>
  <c r="U84"/>
  <c r="P73"/>
  <c r="H69" i="16"/>
  <c r="J69"/>
  <c r="J84"/>
  <c r="G84"/>
  <c r="G54"/>
  <c r="J54"/>
  <c r="G83" i="22"/>
  <c r="G89"/>
  <c r="L90" i="14"/>
  <c r="L96" s="1"/>
  <c r="L91" s="1"/>
  <c r="L85"/>
  <c r="E90"/>
  <c r="E96" s="1"/>
  <c r="E91" s="1"/>
  <c r="E85"/>
  <c r="N51"/>
  <c r="F90"/>
  <c r="F96" s="1"/>
  <c r="F91" s="1"/>
  <c r="K90"/>
  <c r="K96" s="1"/>
  <c r="K91" s="1"/>
  <c r="K85"/>
  <c r="O90"/>
  <c r="O85"/>
  <c r="M90"/>
  <c r="M96" s="1"/>
  <c r="M91" s="1"/>
  <c r="M85"/>
  <c r="G86" i="26"/>
  <c r="G91"/>
  <c r="I91"/>
  <c r="I97" s="1"/>
  <c r="I92" s="1"/>
  <c r="I86"/>
  <c r="P51"/>
  <c r="J20" i="16"/>
  <c r="K20"/>
  <c r="H20"/>
  <c r="K45"/>
  <c r="J45"/>
  <c r="P51" i="15"/>
  <c r="P50"/>
  <c r="K33" i="16"/>
  <c r="G33"/>
  <c r="J33"/>
  <c r="H33"/>
  <c r="D86" i="15"/>
  <c r="R52"/>
  <c r="T52" s="1"/>
  <c r="X52"/>
  <c r="G38" i="16"/>
  <c r="H38"/>
  <c r="J38"/>
  <c r="K38"/>
  <c r="K28"/>
  <c r="H28"/>
  <c r="J28"/>
  <c r="G28"/>
  <c r="G92" i="15"/>
  <c r="G68" i="16"/>
  <c r="J68"/>
  <c r="K68"/>
  <c r="H68"/>
  <c r="H92" i="15"/>
  <c r="P19" i="14"/>
  <c r="E92" i="15" l="1"/>
  <c r="R93" i="16" s="1"/>
  <c r="R98"/>
  <c r="G85" i="14"/>
  <c r="G90"/>
  <c r="G96" s="1"/>
  <c r="G91" s="1"/>
  <c r="P85" i="15"/>
  <c r="X85" s="1"/>
  <c r="D91"/>
  <c r="D52" i="14"/>
  <c r="S51" i="31" s="1"/>
  <c r="T51" s="1"/>
  <c r="S50"/>
  <c r="T50" s="1"/>
  <c r="H45" i="16"/>
  <c r="H83" i="22"/>
  <c r="H89"/>
  <c r="H95" s="1"/>
  <c r="H90" s="1"/>
  <c r="M91" i="26"/>
  <c r="M97" s="1"/>
  <c r="M92" s="1"/>
  <c r="M86"/>
  <c r="I85" i="14"/>
  <c r="I90"/>
  <c r="I96" s="1"/>
  <c r="I91" s="1"/>
  <c r="D89" i="22"/>
  <c r="D95" s="1"/>
  <c r="D90" s="1"/>
  <c r="D83"/>
  <c r="P83" s="1"/>
  <c r="X18" i="15"/>
  <c r="P82" i="22"/>
  <c r="Q53" i="16"/>
  <c r="J90" i="14"/>
  <c r="J96" s="1"/>
  <c r="J91" s="1"/>
  <c r="J85"/>
  <c r="S51" i="15"/>
  <c r="S50"/>
  <c r="D84" i="14"/>
  <c r="P84" s="1"/>
  <c r="O96"/>
  <c r="N84" i="17"/>
  <c r="W78"/>
  <c r="X78" s="1"/>
  <c r="T79"/>
  <c r="O52" i="14"/>
  <c r="G95" i="22"/>
  <c r="P89"/>
  <c r="H19" i="16"/>
  <c r="G19"/>
  <c r="N53"/>
  <c r="N84" i="14"/>
  <c r="N52"/>
  <c r="P51"/>
  <c r="N86" i="26"/>
  <c r="N91"/>
  <c r="Q51" i="16"/>
  <c r="G97" i="26"/>
  <c r="P52"/>
  <c r="N19" i="16"/>
  <c r="Q19"/>
  <c r="R50" i="15"/>
  <c r="X50"/>
  <c r="X51"/>
  <c r="R51"/>
  <c r="T51" s="1"/>
  <c r="K19" i="16"/>
  <c r="J19"/>
  <c r="G53"/>
  <c r="H53"/>
  <c r="J53"/>
  <c r="K53"/>
  <c r="D97" i="15"/>
  <c r="O97"/>
  <c r="P86"/>
  <c r="Q52" i="16" l="1"/>
  <c r="D85" i="14"/>
  <c r="G86" i="16"/>
  <c r="O91" i="14"/>
  <c r="O86" i="26"/>
  <c r="O91"/>
  <c r="N79" i="17"/>
  <c r="W84"/>
  <c r="X84" s="1"/>
  <c r="P84"/>
  <c r="J52" i="16"/>
  <c r="D90" i="14"/>
  <c r="D96" s="1"/>
  <c r="T50" i="15"/>
  <c r="D86" i="26"/>
  <c r="D91"/>
  <c r="P85"/>
  <c r="O92" i="15"/>
  <c r="G90" i="22"/>
  <c r="P90" s="1"/>
  <c r="P95"/>
  <c r="P52" i="14"/>
  <c r="N51" i="16"/>
  <c r="N86"/>
  <c r="N85" i="14"/>
  <c r="N90"/>
  <c r="G92" i="26"/>
  <c r="N97"/>
  <c r="N97" i="15"/>
  <c r="N92" s="1"/>
  <c r="Q86" i="16"/>
  <c r="N87"/>
  <c r="P91" i="15"/>
  <c r="X86"/>
  <c r="D92"/>
  <c r="K51" i="16"/>
  <c r="J51"/>
  <c r="G51"/>
  <c r="H51"/>
  <c r="K86"/>
  <c r="J86"/>
  <c r="K52"/>
  <c r="G52"/>
  <c r="H52"/>
  <c r="P90" i="14"/>
  <c r="H86" i="16"/>
  <c r="P85" i="14"/>
  <c r="Q92" i="16" l="1"/>
  <c r="O97" i="26"/>
  <c r="D97"/>
  <c r="D92" s="1"/>
  <c r="P91"/>
  <c r="Q91" s="1"/>
  <c r="W79" i="17"/>
  <c r="X79" s="1"/>
  <c r="P79"/>
  <c r="J87" i="16"/>
  <c r="P86" i="26"/>
  <c r="X91" i="15"/>
  <c r="G92" i="16"/>
  <c r="P97" i="15"/>
  <c r="P92"/>
  <c r="Q97" i="16"/>
  <c r="N97"/>
  <c r="N52"/>
  <c r="N96" i="14"/>
  <c r="P96" s="1"/>
  <c r="N92" i="26"/>
  <c r="N92" i="16"/>
  <c r="K87"/>
  <c r="G87"/>
  <c r="H87"/>
  <c r="D91" i="14"/>
  <c r="Q87" i="16" l="1"/>
  <c r="O92" i="26"/>
  <c r="Q98" i="16"/>
  <c r="P97" i="26"/>
  <c r="Q97" s="1"/>
  <c r="X97" i="15"/>
  <c r="X92"/>
  <c r="J92" i="16"/>
  <c r="H92"/>
  <c r="K92"/>
  <c r="N98"/>
  <c r="N91" i="14"/>
  <c r="P91"/>
  <c r="J98" i="16" l="1"/>
  <c r="P92" i="26"/>
  <c r="Q92" s="1"/>
  <c r="Q93" i="16"/>
  <c r="G98"/>
  <c r="N93"/>
  <c r="G93"/>
  <c r="J93" l="1"/>
  <c r="K93"/>
</calcChain>
</file>

<file path=xl/sharedStrings.xml><?xml version="1.0" encoding="utf-8"?>
<sst xmlns="http://schemas.openxmlformats.org/spreadsheetml/2006/main" count="1396" uniqueCount="432">
  <si>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</si>
  <si>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</si>
  <si>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</si>
  <si>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</si>
  <si>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</si>
  <si>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</si>
  <si>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</si>
  <si>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</si>
  <si>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</si>
  <si>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</si>
  <si>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</si>
  <si>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</si>
  <si>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</si>
  <si>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</si>
  <si>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</si>
  <si>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</si>
  <si>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</si>
  <si>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</si>
  <si>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</si>
  <si>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</si>
  <si>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</si>
  <si>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</si>
  <si>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</si>
  <si>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</si>
  <si>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</si>
  <si>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</si>
  <si>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</si>
  <si>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</si>
  <si>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</si>
  <si>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</si>
  <si>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</si>
  <si>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</si>
  <si>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</si>
  <si>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</si>
  <si>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</si>
  <si>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</si>
  <si>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</si>
  <si>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</si>
  <si>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</si>
  <si>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</si>
  <si>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</si>
  <si>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</si>
  <si>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</si>
  <si>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</si>
  <si>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</si>
  <si>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</si>
  <si>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</si>
  <si>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</si>
  <si>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</si>
  <si>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</si>
  <si>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</si>
  <si>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</si>
  <si>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</si>
  <si>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</si>
  <si>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</si>
  <si>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</si>
  <si>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</si>
  <si>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</si>
  <si>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</si>
  <si>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</si>
  <si>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</si>
  <si>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</si>
  <si>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</si>
  <si>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</si>
  <si>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</si>
  <si>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</si>
  <si>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</si>
  <si>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</si>
  <si>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</si>
  <si>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</si>
  <si>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</si>
  <si>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</si>
  <si>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</si>
  <si>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</si>
  <si>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</si>
  <si>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</si>
  <si>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</si>
  <si>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</si>
  <si>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</si>
  <si>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</si>
  <si>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</si>
  <si>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</si>
  <si>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</si>
  <si>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</si>
  <si>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</si>
  <si>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</si>
  <si>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</si>
  <si>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</si>
  <si>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</si>
  <si>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</si>
  <si>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</si>
  <si>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</si>
  <si>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</si>
  <si>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</si>
  <si>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</si>
  <si>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</si>
  <si>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</si>
  <si>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</si>
  <si>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</si>
  <si>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</si>
  <si>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</si>
  <si>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</si>
  <si>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</si>
  <si>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</si>
  <si>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</si>
  <si>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</si>
  <si>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</si>
  <si>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</si>
  <si>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</si>
  <si>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</si>
  <si>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</si>
  <si>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</si>
  <si>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</si>
  <si>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</si>
  <si>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</si>
  <si>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</si>
  <si>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</si>
  <si>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</si>
  <si>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</si>
  <si>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</si>
  <si>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</si>
  <si>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</si>
  <si>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</si>
  <si>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</si>
  <si>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</si>
  <si>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</si>
  <si>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</si>
  <si>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</si>
  <si>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</si>
  <si>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</si>
  <si>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</si>
  <si>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</si>
  <si>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</si>
  <si>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</si>
  <si>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</si>
  <si>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</si>
  <si>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</si>
  <si>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</si>
  <si>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</si>
  <si>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</si>
  <si>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</si>
  <si>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</si>
  <si>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</si>
  <si>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</si>
  <si>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</si>
  <si>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</si>
  <si>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</si>
  <si>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</si>
  <si>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</si>
  <si>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</si>
  <si>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</si>
  <si>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</si>
  <si>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</si>
  <si>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</si>
  <si>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</si>
  <si>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</si>
  <si>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</si>
  <si>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</si>
  <si>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</si>
  <si>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</si>
  <si>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</si>
  <si>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</si>
  <si>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</si>
  <si>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</si>
  <si>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</si>
  <si>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</si>
  <si>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</si>
  <si>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</si>
  <si>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</si>
  <si>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</si>
  <si>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</si>
  <si>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</si>
  <si>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</si>
  <si>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</si>
  <si>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</si>
  <si>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</si>
  <si>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</si>
  <si>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</si>
  <si>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</si>
  <si>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</si>
  <si>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</si>
  <si>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</si>
  <si>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</si>
  <si>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</si>
  <si>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</si>
  <si>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</si>
  <si>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</si>
  <si>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</si>
  <si>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</si>
  <si>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</si>
  <si>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</si>
  <si>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</si>
  <si>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</si>
  <si>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</si>
  <si>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</si>
  <si>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</si>
  <si>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</si>
  <si>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</si>
  <si>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</si>
  <si>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</si>
  <si>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</si>
  <si>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</si>
  <si>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</si>
  <si>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</si>
  <si>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</si>
  <si>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</si>
  <si>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</si>
  <si>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</si>
  <si>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</si>
  <si>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</si>
  <si>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</si>
  <si>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</si>
  <si>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</si>
  <si>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</si>
  <si>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</si>
  <si>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</si>
  <si>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</si>
  <si>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</si>
  <si>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</si>
  <si>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</si>
  <si>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</si>
  <si>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</si>
  <si>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</si>
  <si>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</si>
  <si>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</si>
  <si>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</si>
  <si>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</si>
  <si>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</si>
  <si>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</si>
  <si>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</si>
  <si>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</si>
  <si>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</si>
  <si>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</si>
  <si>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</si>
  <si>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</si>
  <si>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</si>
  <si>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</si>
  <si>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</si>
  <si>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</si>
  <si>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</si>
  <si>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</si>
  <si>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</si>
  <si>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</si>
  <si>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</si>
  <si>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</si>
  <si>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</si>
  <si>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</si>
  <si>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</si>
  <si>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</si>
  <si>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</si>
  <si>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</si>
  <si>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</si>
  <si>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</si>
  <si>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</si>
  <si>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</si>
  <si>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</si>
  <si>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</si>
  <si>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</si>
  <si>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</si>
  <si>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</si>
  <si>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</si>
  <si>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</si>
  <si>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</si>
  <si>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</si>
  <si>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</si>
  <si>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</si>
  <si>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</si>
  <si>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</si>
  <si>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</si>
  <si>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</si>
  <si>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</si>
  <si>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</si>
  <si>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</si>
  <si>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</si>
  <si>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</si>
  <si>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</si>
  <si>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</si>
  <si>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</si>
  <si>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</si>
  <si>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</si>
  <si>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</si>
  <si>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</si>
  <si>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</si>
  <si>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</si>
  <si>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</si>
  <si>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</si>
  <si>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</si>
  <si>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</si>
  <si>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</si>
  <si>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</si>
  <si>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</si>
  <si>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</si>
  <si>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</si>
  <si>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</si>
  <si>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</si>
  <si>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</si>
  <si>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</si>
  <si>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</si>
  <si>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</si>
  <si>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</si>
  <si>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</si>
  <si>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</si>
  <si>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</si>
  <si>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</si>
  <si>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</si>
  <si>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</si>
  <si>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</si>
  <si>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</si>
  <si>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</si>
  <si>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</si>
  <si>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</si>
  <si>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</si>
  <si>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</si>
  <si>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</si>
  <si>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</si>
  <si>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</si>
  <si>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</si>
  <si>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</si>
  <si>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</si>
  <si>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</si>
  <si>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</si>
  <si>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</si>
  <si>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</si>
  <si>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</si>
  <si>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</si>
  <si>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</si>
  <si>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</si>
  <si>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</si>
  <si>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</si>
  <si>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</si>
  <si>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</si>
  <si>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</si>
  <si>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</si>
  <si>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</si>
  <si>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</si>
  <si>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</si>
  <si>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</si>
  <si>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</si>
  <si>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</si>
  <si>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</si>
  <si>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</si>
  <si>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</si>
  <si>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</si>
  <si>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</si>
  <si>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</si>
  <si>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</si>
  <si>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</si>
  <si>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</si>
  <si>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</si>
  <si>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</si>
  <si>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</si>
  <si>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</si>
  <si>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</si>
  <si>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</si>
  <si>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</si>
  <si>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</si>
  <si>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</si>
  <si>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</si>
  <si>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</si>
  <si>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</si>
  <si>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</si>
  <si>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</si>
  <si>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</si>
  <si>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</si>
  <si>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</si>
  <si>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</si>
  <si>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</si>
  <si>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</si>
  <si>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</si>
  <si>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</si>
  <si>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</si>
  <si>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</si>
  <si>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</si>
  <si>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</si>
  <si>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</si>
  <si>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</si>
  <si>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</si>
  <si>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</si>
  <si>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</si>
  <si>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</si>
  <si>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</si>
  <si>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</si>
  <si>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</si>
  <si>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</si>
  <si>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</si>
  <si>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</si>
  <si>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</si>
  <si>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</si>
  <si>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</si>
  <si>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</si>
  <si>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</si>
  <si>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</si>
  <si>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</si>
  <si>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</si>
  <si>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</si>
  <si>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</si>
  <si>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</si>
  <si>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</si>
  <si>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</si>
  <si>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</si>
  <si>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</si>
  <si>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</si>
  <si>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</si>
  <si>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</si>
  <si>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</si>
  <si>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</si>
  <si>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</si>
  <si>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</si>
  <si>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</si>
  <si>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</si>
  <si>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</si>
  <si>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</si>
  <si>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</si>
  <si>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</si>
  <si>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</si>
  <si>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</si>
  <si>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</si>
  <si>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</si>
  <si>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</si>
  <si>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</si>
  <si>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</si>
  <si>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</si>
  <si>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</si>
  <si>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</si>
  <si>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</si>
  <si>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 xml:space="preserve"> Januar 2014</t>
  </si>
  <si>
    <t>Transferi budžetu države</t>
  </si>
  <si>
    <t>Neto povećenje obaveza</t>
  </si>
  <si>
    <t>Plan 2014</t>
  </si>
  <si>
    <t>Plan for 2014</t>
  </si>
  <si>
    <t>Jan - Mar 2014</t>
  </si>
  <si>
    <t>Mar 2014</t>
  </si>
</sst>
</file>

<file path=xl/styles.xml><?xml version="1.0" encoding="utf-8"?>
<styleSheet xmlns="http://schemas.openxmlformats.org/spreadsheetml/2006/main">
  <numFmts count="14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,,"/>
    <numFmt numFmtId="176" formatCode="#,##0.0,,"/>
  </numFmts>
  <fonts count="5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12" borderId="0" applyNumberFormat="0" applyBorder="0" applyAlignment="0" applyProtection="0"/>
    <xf numFmtId="0" fontId="6" fillId="0" borderId="0"/>
    <xf numFmtId="0" fontId="1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1" fillId="12" borderId="0" applyNumberFormat="0" applyBorder="0" applyAlignment="0" applyProtection="0"/>
  </cellStyleXfs>
  <cellXfs count="646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8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18" fillId="2" borderId="0" xfId="0" applyFont="1" applyFill="1" applyAlignment="1"/>
    <xf numFmtId="0" fontId="16" fillId="2" borderId="0" xfId="0" applyFont="1" applyFill="1"/>
    <xf numFmtId="0" fontId="4" fillId="2" borderId="0" xfId="22" applyFont="1" applyFill="1" applyBorder="1"/>
    <xf numFmtId="0" fontId="6" fillId="2" borderId="0" xfId="0" applyFont="1" applyFill="1" applyBorder="1"/>
    <xf numFmtId="166" fontId="4" fillId="2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166" fontId="18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20" xfId="22" applyFont="1" applyFill="1" applyBorder="1" applyAlignment="1">
      <alignment vertical="center"/>
    </xf>
    <xf numFmtId="166" fontId="18" fillId="2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4" fillId="2" borderId="15" xfId="0" applyFont="1" applyFill="1" applyBorder="1"/>
    <xf numFmtId="0" fontId="6" fillId="2" borderId="36" xfId="0" applyFont="1" applyFill="1" applyBorder="1"/>
    <xf numFmtId="0" fontId="4" fillId="2" borderId="36" xfId="0" applyFont="1" applyFill="1" applyBorder="1"/>
    <xf numFmtId="4" fontId="4" fillId="2" borderId="30" xfId="0" applyNumberFormat="1" applyFon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/>
    </xf>
    <xf numFmtId="164" fontId="6" fillId="2" borderId="31" xfId="0" applyNumberFormat="1" applyFont="1" applyFill="1" applyBorder="1" applyAlignment="1">
      <alignment horizontal="right" vertical="center"/>
    </xf>
    <xf numFmtId="164" fontId="6" fillId="2" borderId="32" xfId="22" applyNumberFormat="1" applyFont="1" applyFill="1" applyBorder="1" applyAlignment="1">
      <alignment vertical="center"/>
    </xf>
    <xf numFmtId="164" fontId="4" fillId="2" borderId="32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6" fillId="2" borderId="32" xfId="0" applyNumberFormat="1" applyFont="1" applyFill="1" applyBorder="1" applyAlignment="1">
      <alignment horizontal="right"/>
    </xf>
    <xf numFmtId="164" fontId="6" fillId="2" borderId="29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0" fontId="4" fillId="4" borderId="7" xfId="0" applyFont="1" applyFill="1" applyBorder="1"/>
    <xf numFmtId="164" fontId="4" fillId="4" borderId="2" xfId="0" applyNumberFormat="1" applyFont="1" applyFill="1" applyBorder="1" applyAlignment="1">
      <alignment horizontal="right"/>
    </xf>
    <xf numFmtId="164" fontId="4" fillId="4" borderId="28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4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wrapText="1"/>
    </xf>
    <xf numFmtId="164" fontId="4" fillId="2" borderId="8" xfId="0" applyNumberFormat="1" applyFont="1" applyFill="1" applyBorder="1" applyAlignment="1">
      <alignment horizontal="right" vertical="center"/>
    </xf>
    <xf numFmtId="164" fontId="4" fillId="2" borderId="33" xfId="0" applyNumberFormat="1" applyFont="1" applyFill="1" applyBorder="1" applyAlignment="1">
      <alignment horizontal="right" vertical="center"/>
    </xf>
    <xf numFmtId="164" fontId="4" fillId="2" borderId="43" xfId="0" applyNumberFormat="1" applyFont="1" applyFill="1" applyBorder="1" applyAlignment="1">
      <alignment horizontal="right" vertical="center"/>
    </xf>
    <xf numFmtId="164" fontId="4" fillId="2" borderId="18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164" fontId="4" fillId="2" borderId="39" xfId="0" applyNumberFormat="1" applyFont="1" applyFill="1" applyBorder="1" applyAlignment="1">
      <alignment horizontal="right" vertical="center"/>
    </xf>
    <xf numFmtId="2" fontId="22" fillId="2" borderId="0" xfId="0" applyNumberFormat="1" applyFont="1" applyFill="1" applyBorder="1" applyAlignment="1">
      <alignment wrapText="1"/>
    </xf>
    <xf numFmtId="0" fontId="22" fillId="2" borderId="0" xfId="0" applyFont="1" applyFill="1"/>
    <xf numFmtId="0" fontId="0" fillId="2" borderId="13" xfId="0" applyFill="1" applyBorder="1"/>
    <xf numFmtId="0" fontId="0" fillId="2" borderId="36" xfId="0" applyFill="1" applyBorder="1"/>
    <xf numFmtId="0" fontId="0" fillId="2" borderId="16" xfId="0" applyFill="1" applyBorder="1"/>
    <xf numFmtId="0" fontId="4" fillId="2" borderId="36" xfId="0" applyFont="1" applyFill="1" applyBorder="1" applyAlignment="1">
      <alignment wrapText="1"/>
    </xf>
    <xf numFmtId="0" fontId="4" fillId="2" borderId="17" xfId="0" applyFont="1" applyFill="1" applyBorder="1"/>
    <xf numFmtId="164" fontId="4" fillId="4" borderId="2" xfId="0" applyNumberFormat="1" applyFont="1" applyFill="1" applyBorder="1"/>
    <xf numFmtId="164" fontId="4" fillId="2" borderId="13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44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45" xfId="0" applyNumberFormat="1" applyFont="1" applyFill="1" applyBorder="1" applyAlignment="1">
      <alignment horizontal="right" vertical="center"/>
    </xf>
    <xf numFmtId="164" fontId="0" fillId="2" borderId="11" xfId="0" applyNumberFormat="1" applyFill="1" applyBorder="1"/>
    <xf numFmtId="164" fontId="6" fillId="2" borderId="8" xfId="0" applyNumberFormat="1" applyFont="1" applyFill="1" applyBorder="1" applyAlignment="1">
      <alignment horizontal="right"/>
    </xf>
    <xf numFmtId="164" fontId="6" fillId="2" borderId="33" xfId="0" applyNumberFormat="1" applyFont="1" applyFill="1" applyBorder="1" applyAlignment="1">
      <alignment horizontal="right"/>
    </xf>
    <xf numFmtId="164" fontId="6" fillId="2" borderId="43" xfId="0" applyNumberFormat="1" applyFont="1" applyFill="1" applyBorder="1" applyAlignment="1">
      <alignment horizontal="right"/>
    </xf>
    <xf numFmtId="164" fontId="4" fillId="4" borderId="17" xfId="0" applyNumberFormat="1" applyFont="1" applyFill="1" applyBorder="1" applyAlignment="1">
      <alignment horizontal="right" vertical="center"/>
    </xf>
    <xf numFmtId="164" fontId="4" fillId="4" borderId="43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45" xfId="0" applyNumberFormat="1" applyFont="1" applyFill="1" applyBorder="1" applyAlignment="1">
      <alignment horizontal="right" vertical="center"/>
    </xf>
    <xf numFmtId="0" fontId="23" fillId="2" borderId="0" xfId="22" applyFont="1" applyFill="1" applyBorder="1" applyAlignment="1">
      <alignment vertical="center"/>
    </xf>
    <xf numFmtId="166" fontId="25" fillId="2" borderId="0" xfId="0" applyNumberFormat="1" applyFont="1" applyFill="1" applyBorder="1" applyAlignment="1">
      <alignment horizontal="center" vertical="center"/>
    </xf>
    <xf numFmtId="166" fontId="25" fillId="2" borderId="0" xfId="0" applyNumberFormat="1" applyFont="1" applyFill="1" applyBorder="1" applyAlignment="1" applyProtection="1">
      <alignment horizontal="center" vertical="center"/>
      <protection hidden="1"/>
    </xf>
    <xf numFmtId="166" fontId="25" fillId="2" borderId="13" xfId="0" applyNumberFormat="1" applyFont="1" applyFill="1" applyBorder="1" applyAlignment="1" applyProtection="1">
      <alignment vertical="center"/>
      <protection hidden="1"/>
    </xf>
    <xf numFmtId="166" fontId="25" fillId="2" borderId="0" xfId="0" applyNumberFormat="1" applyFont="1" applyFill="1" applyBorder="1" applyAlignment="1" applyProtection="1">
      <alignment vertical="center"/>
      <protection hidden="1"/>
    </xf>
    <xf numFmtId="166" fontId="18" fillId="2" borderId="0" xfId="0" applyNumberFormat="1" applyFont="1" applyFill="1" applyBorder="1" applyAlignment="1" applyProtection="1">
      <alignment vertical="center"/>
      <protection hidden="1"/>
    </xf>
    <xf numFmtId="166" fontId="18" fillId="2" borderId="11" xfId="0" applyNumberFormat="1" applyFont="1" applyFill="1" applyBorder="1" applyAlignment="1" applyProtection="1">
      <alignment vertical="center"/>
      <protection hidden="1"/>
    </xf>
    <xf numFmtId="0" fontId="24" fillId="5" borderId="3" xfId="22" applyFont="1" applyFill="1" applyBorder="1" applyAlignment="1">
      <alignment vertical="center"/>
    </xf>
    <xf numFmtId="0" fontId="4" fillId="4" borderId="46" xfId="0" applyFont="1" applyFill="1" applyBorder="1" applyAlignment="1">
      <alignment horizontal="center" vertical="center"/>
    </xf>
    <xf numFmtId="164" fontId="4" fillId="4" borderId="47" xfId="0" applyNumberFormat="1" applyFont="1" applyFill="1" applyBorder="1" applyAlignment="1">
      <alignment horizontal="right"/>
    </xf>
    <xf numFmtId="164" fontId="4" fillId="2" borderId="44" xfId="0" applyNumberFormat="1" applyFont="1" applyFill="1" applyBorder="1" applyAlignment="1">
      <alignment horizontal="right"/>
    </xf>
    <xf numFmtId="164" fontId="6" fillId="2" borderId="44" xfId="0" applyNumberFormat="1" applyFont="1" applyFill="1" applyBorder="1" applyAlignment="1">
      <alignment horizontal="right"/>
    </xf>
    <xf numFmtId="164" fontId="4" fillId="4" borderId="3" xfId="0" applyNumberFormat="1" applyFont="1" applyFill="1" applyBorder="1"/>
    <xf numFmtId="164" fontId="6" fillId="2" borderId="4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/>
    <xf numFmtId="164" fontId="26" fillId="2" borderId="0" xfId="0" applyNumberFormat="1" applyFont="1" applyFill="1" applyBorder="1"/>
    <xf numFmtId="164" fontId="4" fillId="4" borderId="7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4" fillId="2" borderId="37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6" fillId="2" borderId="8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left" vertical="center" wrapText="1"/>
    </xf>
    <xf numFmtId="0" fontId="23" fillId="9" borderId="3" xfId="22" applyFont="1" applyFill="1" applyBorder="1" applyAlignment="1">
      <alignment vertical="center"/>
    </xf>
    <xf numFmtId="2" fontId="4" fillId="10" borderId="3" xfId="0" applyNumberFormat="1" applyFont="1" applyFill="1" applyBorder="1" applyAlignment="1">
      <alignment horizontal="left" vertical="center" wrapText="1"/>
    </xf>
    <xf numFmtId="164" fontId="4" fillId="10" borderId="2" xfId="0" applyNumberFormat="1" applyFont="1" applyFill="1" applyBorder="1" applyAlignment="1">
      <alignment horizontal="right" vertical="center"/>
    </xf>
    <xf numFmtId="4" fontId="4" fillId="10" borderId="23" xfId="0" applyNumberFormat="1" applyFont="1" applyFill="1" applyBorder="1" applyAlignment="1">
      <alignment horizontal="right" vertical="center"/>
    </xf>
    <xf numFmtId="0" fontId="4" fillId="10" borderId="34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left" vertical="center" wrapText="1"/>
    </xf>
    <xf numFmtId="164" fontId="4" fillId="2" borderId="29" xfId="0" applyNumberFormat="1" applyFont="1" applyFill="1" applyBorder="1" applyAlignment="1">
      <alignment horizontal="right" vertical="center"/>
    </xf>
    <xf numFmtId="164" fontId="4" fillId="4" borderId="47" xfId="0" applyNumberFormat="1" applyFont="1" applyFill="1" applyBorder="1" applyAlignment="1">
      <alignment horizontal="right" vertical="center"/>
    </xf>
    <xf numFmtId="164" fontId="4" fillId="11" borderId="44" xfId="0" applyNumberFormat="1" applyFont="1" applyFill="1" applyBorder="1" applyAlignment="1">
      <alignment horizontal="right"/>
    </xf>
    <xf numFmtId="164" fontId="6" fillId="11" borderId="44" xfId="0" applyNumberFormat="1" applyFont="1" applyFill="1" applyBorder="1" applyAlignment="1">
      <alignment horizontal="right"/>
    </xf>
    <xf numFmtId="164" fontId="4" fillId="11" borderId="45" xfId="0" applyNumberFormat="1" applyFont="1" applyFill="1" applyBorder="1" applyAlignment="1">
      <alignment horizontal="right" vertical="center"/>
    </xf>
    <xf numFmtId="164" fontId="4" fillId="11" borderId="44" xfId="0" applyNumberFormat="1" applyFont="1" applyFill="1" applyBorder="1" applyAlignment="1">
      <alignment horizontal="right" vertical="center"/>
    </xf>
    <xf numFmtId="164" fontId="6" fillId="11" borderId="45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 vertical="center"/>
    </xf>
    <xf numFmtId="164" fontId="0" fillId="2" borderId="18" xfId="0" applyNumberFormat="1" applyFill="1" applyBorder="1"/>
    <xf numFmtId="164" fontId="4" fillId="4" borderId="30" xfId="0" applyNumberFormat="1" applyFont="1" applyFill="1" applyBorder="1"/>
    <xf numFmtId="164" fontId="0" fillId="2" borderId="30" xfId="0" applyNumberFormat="1" applyFill="1" applyBorder="1"/>
    <xf numFmtId="164" fontId="6" fillId="2" borderId="39" xfId="0" applyNumberFormat="1" applyFont="1" applyFill="1" applyBorder="1" applyAlignment="1">
      <alignment horizontal="right"/>
    </xf>
    <xf numFmtId="164" fontId="4" fillId="4" borderId="39" xfId="0" applyNumberFormat="1" applyFont="1" applyFill="1" applyBorder="1" applyAlignment="1">
      <alignment horizontal="right" vertical="center"/>
    </xf>
    <xf numFmtId="175" fontId="4" fillId="4" borderId="23" xfId="0" applyNumberFormat="1" applyFont="1" applyFill="1" applyBorder="1" applyAlignment="1">
      <alignment horizontal="right"/>
    </xf>
    <xf numFmtId="164" fontId="0" fillId="2" borderId="0" xfId="0" applyNumberFormat="1" applyFill="1"/>
    <xf numFmtId="0" fontId="17" fillId="0" borderId="0" xfId="22" applyFont="1" applyFill="1" applyBorder="1" applyAlignment="1">
      <alignment vertical="center"/>
    </xf>
    <xf numFmtId="0" fontId="17" fillId="0" borderId="0" xfId="22" applyFont="1" applyFill="1" applyAlignment="1">
      <alignment vertical="center"/>
    </xf>
    <xf numFmtId="0" fontId="17" fillId="0" borderId="0" xfId="22" applyFont="1" applyFill="1" applyBorder="1" applyAlignment="1">
      <alignment horizontal="center" vertical="center"/>
    </xf>
    <xf numFmtId="2" fontId="17" fillId="0" borderId="0" xfId="22" applyNumberFormat="1" applyFont="1" applyFill="1" applyBorder="1" applyAlignment="1">
      <alignment vertical="center"/>
    </xf>
    <xf numFmtId="2" fontId="17" fillId="0" borderId="0" xfId="22" applyNumberFormat="1" applyFont="1" applyFill="1" applyBorder="1" applyAlignment="1">
      <alignment horizontal="left" vertical="center"/>
    </xf>
    <xf numFmtId="49" fontId="17" fillId="0" borderId="0" xfId="22" applyNumberFormat="1" applyFont="1" applyFill="1" applyBorder="1" applyAlignment="1">
      <alignment vertical="center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2" applyFont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6" fontId="17" fillId="0" borderId="0" xfId="0" applyNumberFormat="1" applyFont="1" applyFill="1" applyBorder="1" applyAlignment="1">
      <alignment horizontal="left" vertical="center"/>
    </xf>
    <xf numFmtId="17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4" fontId="17" fillId="0" borderId="0" xfId="22" applyNumberFormat="1" applyFont="1" applyFill="1" applyBorder="1" applyAlignment="1">
      <alignment vertical="center"/>
    </xf>
    <xf numFmtId="4" fontId="29" fillId="0" borderId="0" xfId="22" applyNumberFormat="1" applyFont="1" applyFill="1" applyBorder="1" applyAlignment="1">
      <alignment vertical="center"/>
    </xf>
    <xf numFmtId="164" fontId="29" fillId="0" borderId="0" xfId="22" applyNumberFormat="1" applyFont="1" applyFill="1" applyBorder="1" applyAlignment="1">
      <alignment vertical="center"/>
    </xf>
    <xf numFmtId="49" fontId="17" fillId="0" borderId="0" xfId="22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175" fontId="0" fillId="2" borderId="0" xfId="0" applyNumberFormat="1" applyFill="1"/>
    <xf numFmtId="164" fontId="6" fillId="2" borderId="0" xfId="0" applyNumberFormat="1" applyFont="1" applyFill="1"/>
    <xf numFmtId="4" fontId="4" fillId="2" borderId="18" xfId="0" applyNumberFormat="1" applyFont="1" applyFill="1" applyBorder="1" applyAlignment="1">
      <alignment horizontal="right" vertical="center"/>
    </xf>
    <xf numFmtId="0" fontId="0" fillId="0" borderId="0" xfId="0" applyFill="1" applyBorder="1"/>
    <xf numFmtId="2" fontId="28" fillId="0" borderId="0" xfId="0" applyNumberFormat="1" applyFont="1" applyFill="1"/>
    <xf numFmtId="0" fontId="0" fillId="0" borderId="0" xfId="0" applyAlignment="1"/>
    <xf numFmtId="0" fontId="4" fillId="4" borderId="7" xfId="0" applyFont="1" applyFill="1" applyBorder="1" applyAlignment="1"/>
    <xf numFmtId="0" fontId="4" fillId="2" borderId="15" xfId="0" applyFont="1" applyFill="1" applyBorder="1" applyAlignment="1"/>
    <xf numFmtId="0" fontId="6" fillId="2" borderId="36" xfId="0" applyFont="1" applyFill="1" applyBorder="1" applyAlignment="1"/>
    <xf numFmtId="0" fontId="4" fillId="2" borderId="36" xfId="0" applyFont="1" applyFill="1" applyBorder="1" applyAlignment="1"/>
    <xf numFmtId="0" fontId="4" fillId="2" borderId="16" xfId="0" applyFont="1" applyFill="1" applyBorder="1" applyAlignment="1"/>
    <xf numFmtId="0" fontId="0" fillId="2" borderId="36" xfId="0" applyFill="1" applyBorder="1" applyAlignment="1"/>
    <xf numFmtId="0" fontId="0" fillId="2" borderId="16" xfId="0" applyFill="1" applyBorder="1" applyAlignment="1"/>
    <xf numFmtId="0" fontId="4" fillId="2" borderId="17" xfId="0" applyFont="1" applyFill="1" applyBorder="1" applyAlignment="1"/>
    <xf numFmtId="17" fontId="6" fillId="0" borderId="0" xfId="0" applyNumberFormat="1" applyFont="1"/>
    <xf numFmtId="4" fontId="6" fillId="2" borderId="0" xfId="0" applyNumberFormat="1" applyFont="1" applyFill="1"/>
    <xf numFmtId="164" fontId="6" fillId="13" borderId="44" xfId="0" applyNumberFormat="1" applyFont="1" applyFill="1" applyBorder="1" applyAlignment="1">
      <alignment horizontal="right"/>
    </xf>
    <xf numFmtId="0" fontId="24" fillId="5" borderId="3" xfId="38" applyFont="1" applyFill="1" applyBorder="1" applyAlignment="1">
      <alignment vertical="center"/>
    </xf>
    <xf numFmtId="0" fontId="23" fillId="2" borderId="0" xfId="38" applyFont="1" applyFill="1" applyBorder="1" applyAlignment="1">
      <alignment vertical="center"/>
    </xf>
    <xf numFmtId="4" fontId="4" fillId="2" borderId="0" xfId="0" applyNumberFormat="1" applyFont="1" applyFill="1" applyBorder="1"/>
    <xf numFmtId="164" fontId="6" fillId="14" borderId="32" xfId="22" applyNumberFormat="1" applyFont="1" applyFill="1" applyBorder="1" applyAlignment="1">
      <alignment vertical="center"/>
    </xf>
    <xf numFmtId="0" fontId="32" fillId="2" borderId="0" xfId="0" applyFont="1" applyFill="1"/>
    <xf numFmtId="2" fontId="4" fillId="2" borderId="0" xfId="0" applyNumberFormat="1" applyFont="1" applyFill="1" applyBorder="1"/>
    <xf numFmtId="4" fontId="0" fillId="2" borderId="0" xfId="0" applyNumberFormat="1" applyFill="1" applyBorder="1"/>
    <xf numFmtId="0" fontId="6" fillId="0" borderId="0" xfId="0" applyFont="1" applyFill="1" applyBorder="1"/>
    <xf numFmtId="164" fontId="4" fillId="10" borderId="37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6" fillId="2" borderId="17" xfId="0" applyNumberFormat="1" applyFont="1" applyFill="1" applyBorder="1" applyAlignment="1">
      <alignment horizontal="right" vertical="center"/>
    </xf>
    <xf numFmtId="4" fontId="4" fillId="10" borderId="30" xfId="0" applyNumberFormat="1" applyFont="1" applyFill="1" applyBorder="1" applyAlignment="1">
      <alignment horizontal="right" vertical="center"/>
    </xf>
    <xf numFmtId="164" fontId="4" fillId="10" borderId="31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left" vertical="center" wrapText="1"/>
    </xf>
    <xf numFmtId="4" fontId="4" fillId="10" borderId="35" xfId="0" applyNumberFormat="1" applyFont="1" applyFill="1" applyBorder="1" applyAlignment="1">
      <alignment horizontal="right" vertical="center"/>
    </xf>
    <xf numFmtId="0" fontId="4" fillId="10" borderId="45" xfId="0" applyFont="1" applyFill="1" applyBorder="1" applyAlignment="1">
      <alignment horizontal="center" vertical="center" wrapText="1"/>
    </xf>
    <xf numFmtId="4" fontId="4" fillId="10" borderId="20" xfId="0" applyNumberFormat="1" applyFont="1" applyFill="1" applyBorder="1" applyAlignment="1">
      <alignment horizontal="right" vertical="center"/>
    </xf>
    <xf numFmtId="17" fontId="17" fillId="0" borderId="0" xfId="0" applyNumberFormat="1" applyFont="1" applyAlignment="1">
      <alignment vertical="center"/>
    </xf>
    <xf numFmtId="164" fontId="6" fillId="2" borderId="13" xfId="0" applyNumberFormat="1" applyFont="1" applyFill="1" applyBorder="1" applyAlignment="1">
      <alignment horizontal="right" vertical="center"/>
    </xf>
    <xf numFmtId="164" fontId="6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0" xfId="0" applyNumberFormat="1" applyFont="1"/>
    <xf numFmtId="164" fontId="6" fillId="0" borderId="5" xfId="0" applyNumberFormat="1" applyFont="1" applyBorder="1" applyAlignment="1">
      <alignment horizontal="right" vertical="center"/>
    </xf>
    <xf numFmtId="0" fontId="21" fillId="2" borderId="0" xfId="0" applyFont="1" applyFill="1" applyBorder="1"/>
    <xf numFmtId="4" fontId="34" fillId="2" borderId="0" xfId="0" applyNumberFormat="1" applyFont="1" applyFill="1" applyBorder="1"/>
    <xf numFmtId="4" fontId="34" fillId="2" borderId="0" xfId="0" applyNumberFormat="1" applyFont="1" applyFill="1"/>
    <xf numFmtId="4" fontId="34" fillId="0" borderId="0" xfId="0" applyNumberFormat="1" applyFont="1"/>
    <xf numFmtId="166" fontId="3" fillId="2" borderId="0" xfId="0" applyNumberFormat="1" applyFont="1" applyFill="1" applyProtection="1">
      <protection hidden="1"/>
    </xf>
    <xf numFmtId="166" fontId="35" fillId="0" borderId="0" xfId="0" applyNumberFormat="1" applyFont="1" applyFill="1" applyProtection="1">
      <protection hidden="1"/>
    </xf>
    <xf numFmtId="164" fontId="6" fillId="0" borderId="6" xfId="0" applyNumberFormat="1" applyFont="1" applyBorder="1" applyAlignment="1">
      <alignment horizontal="right" vertical="center"/>
    </xf>
    <xf numFmtId="166" fontId="35" fillId="0" borderId="0" xfId="0" applyNumberFormat="1" applyFont="1" applyFill="1" applyBorder="1" applyProtection="1">
      <protection hidden="1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wrapText="1" indent="1"/>
    </xf>
    <xf numFmtId="165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167" fontId="6" fillId="2" borderId="0" xfId="27" applyNumberFormat="1" applyFont="1" applyFill="1" applyBorder="1" applyAlignment="1">
      <alignment wrapText="1"/>
    </xf>
    <xf numFmtId="4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/>
    <xf numFmtId="164" fontId="6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wrapText="1"/>
    </xf>
    <xf numFmtId="4" fontId="4" fillId="2" borderId="35" xfId="0" applyNumberFormat="1" applyFont="1" applyFill="1" applyBorder="1" applyAlignment="1">
      <alignment horizontal="right" vertical="center"/>
    </xf>
    <xf numFmtId="4" fontId="4" fillId="2" borderId="39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right" vertical="center"/>
    </xf>
    <xf numFmtId="164" fontId="6" fillId="2" borderId="56" xfId="0" applyNumberFormat="1" applyFont="1" applyFill="1" applyBorder="1" applyAlignment="1">
      <alignment horizontal="right" vertical="center"/>
    </xf>
    <xf numFmtId="4" fontId="4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1" xfId="0" applyFont="1" applyBorder="1"/>
    <xf numFmtId="0" fontId="19" fillId="2" borderId="21" xfId="0" applyFont="1" applyFill="1" applyBorder="1" applyAlignment="1">
      <alignment horizontal="left" vertical="center"/>
    </xf>
    <xf numFmtId="166" fontId="18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9" fillId="4" borderId="34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39" fillId="4" borderId="7" xfId="0" applyFont="1" applyFill="1" applyBorder="1"/>
    <xf numFmtId="164" fontId="40" fillId="4" borderId="7" xfId="0" applyNumberFormat="1" applyFont="1" applyFill="1" applyBorder="1" applyAlignment="1">
      <alignment horizontal="right"/>
    </xf>
    <xf numFmtId="164" fontId="40" fillId="4" borderId="7" xfId="0" applyNumberFormat="1" applyFont="1" applyFill="1" applyBorder="1" applyAlignment="1">
      <alignment horizontal="center"/>
    </xf>
    <xf numFmtId="2" fontId="40" fillId="4" borderId="7" xfId="0" applyNumberFormat="1" applyFont="1" applyFill="1" applyBorder="1" applyAlignment="1">
      <alignment horizontal="center"/>
    </xf>
    <xf numFmtId="0" fontId="39" fillId="2" borderId="15" xfId="0" applyFont="1" applyFill="1" applyBorder="1"/>
    <xf numFmtId="164" fontId="39" fillId="0" borderId="31" xfId="37" applyNumberFormat="1" applyFont="1" applyFill="1" applyBorder="1" applyAlignment="1">
      <alignment horizontal="right"/>
    </xf>
    <xf numFmtId="164" fontId="39" fillId="0" borderId="37" xfId="37" applyNumberFormat="1" applyFont="1" applyFill="1" applyBorder="1" applyAlignment="1">
      <alignment horizontal="right"/>
    </xf>
    <xf numFmtId="164" fontId="39" fillId="0" borderId="38" xfId="37" applyNumberFormat="1" applyFont="1" applyFill="1" applyBorder="1" applyAlignment="1">
      <alignment horizontal="right"/>
    </xf>
    <xf numFmtId="164" fontId="39" fillId="0" borderId="56" xfId="0" applyNumberFormat="1" applyFont="1" applyFill="1" applyBorder="1" applyAlignment="1">
      <alignment horizontal="right"/>
    </xf>
    <xf numFmtId="164" fontId="39" fillId="0" borderId="35" xfId="0" applyNumberFormat="1" applyFont="1" applyFill="1" applyBorder="1" applyAlignment="1">
      <alignment horizontal="right"/>
    </xf>
    <xf numFmtId="164" fontId="40" fillId="0" borderId="15" xfId="0" applyNumberFormat="1" applyFont="1" applyFill="1" applyBorder="1" applyAlignment="1">
      <alignment horizontal="center"/>
    </xf>
    <xf numFmtId="2" fontId="40" fillId="0" borderId="15" xfId="0" applyNumberFormat="1" applyFont="1" applyFill="1" applyBorder="1" applyAlignment="1">
      <alignment horizontal="center"/>
    </xf>
    <xf numFmtId="0" fontId="41" fillId="2" borderId="36" xfId="0" applyFont="1" applyFill="1" applyBorder="1"/>
    <xf numFmtId="164" fontId="41" fillId="2" borderId="32" xfId="0" applyNumberFormat="1" applyFont="1" applyFill="1" applyBorder="1" applyAlignment="1">
      <alignment horizontal="right"/>
    </xf>
    <xf numFmtId="164" fontId="41" fillId="2" borderId="29" xfId="0" applyNumberFormat="1" applyFont="1" applyFill="1" applyBorder="1" applyAlignment="1">
      <alignment horizontal="right"/>
    </xf>
    <xf numFmtId="164" fontId="41" fillId="2" borderId="11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center"/>
    </xf>
    <xf numFmtId="2" fontId="41" fillId="2" borderId="11" xfId="0" applyNumberFormat="1" applyFont="1" applyFill="1" applyBorder="1" applyAlignment="1">
      <alignment horizontal="center"/>
    </xf>
    <xf numFmtId="0" fontId="39" fillId="2" borderId="36" xfId="0" applyFont="1" applyFill="1" applyBorder="1"/>
    <xf numFmtId="164" fontId="39" fillId="0" borderId="32" xfId="37" applyNumberFormat="1" applyFont="1" applyFill="1" applyBorder="1" applyAlignment="1">
      <alignment horizontal="right"/>
    </xf>
    <xf numFmtId="164" fontId="39" fillId="0" borderId="14" xfId="37" applyNumberFormat="1" applyFont="1" applyFill="1" applyBorder="1" applyAlignment="1">
      <alignment horizontal="right"/>
    </xf>
    <xf numFmtId="164" fontId="39" fillId="0" borderId="29" xfId="37" applyNumberFormat="1" applyFont="1" applyFill="1" applyBorder="1" applyAlignment="1">
      <alignment horizontal="right"/>
    </xf>
    <xf numFmtId="164" fontId="39" fillId="0" borderId="11" xfId="37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/>
    </xf>
    <xf numFmtId="2" fontId="40" fillId="0" borderId="36" xfId="0" applyNumberFormat="1" applyFont="1" applyFill="1" applyBorder="1" applyAlignment="1">
      <alignment horizontal="center"/>
    </xf>
    <xf numFmtId="164" fontId="39" fillId="2" borderId="11" xfId="37" applyNumberFormat="1" applyFont="1" applyFill="1" applyBorder="1" applyAlignment="1">
      <alignment horizontal="right"/>
    </xf>
    <xf numFmtId="164" fontId="42" fillId="2" borderId="9" xfId="39" applyNumberFormat="1" applyFont="1" applyFill="1" applyBorder="1" applyAlignment="1">
      <alignment horizontal="right" wrapText="1"/>
    </xf>
    <xf numFmtId="0" fontId="39" fillId="2" borderId="16" xfId="0" applyFont="1" applyFill="1" applyBorder="1" applyAlignment="1">
      <alignment wrapText="1"/>
    </xf>
    <xf numFmtId="164" fontId="39" fillId="0" borderId="8" xfId="37" applyNumberFormat="1" applyFont="1" applyFill="1" applyBorder="1" applyAlignment="1">
      <alignment horizontal="right" vertical="center"/>
    </xf>
    <xf numFmtId="164" fontId="39" fillId="0" borderId="43" xfId="37" applyNumberFormat="1" applyFont="1" applyFill="1" applyBorder="1" applyAlignment="1">
      <alignment horizontal="right" vertical="center"/>
    </xf>
    <xf numFmtId="164" fontId="39" fillId="0" borderId="33" xfId="37" applyNumberFormat="1" applyFont="1" applyFill="1" applyBorder="1" applyAlignment="1">
      <alignment horizontal="right" vertical="center"/>
    </xf>
    <xf numFmtId="164" fontId="39" fillId="0" borderId="45" xfId="0" applyNumberFormat="1" applyFont="1" applyFill="1" applyBorder="1" applyAlignment="1">
      <alignment horizontal="right" vertical="center"/>
    </xf>
    <xf numFmtId="164" fontId="39" fillId="0" borderId="39" xfId="0" applyNumberFormat="1" applyFont="1" applyFill="1" applyBorder="1" applyAlignment="1">
      <alignment horizontal="right" vertical="center"/>
    </xf>
    <xf numFmtId="164" fontId="40" fillId="0" borderId="16" xfId="0" applyNumberFormat="1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164" fontId="39" fillId="4" borderId="7" xfId="0" applyNumberFormat="1" applyFont="1" applyFill="1" applyBorder="1"/>
    <xf numFmtId="164" fontId="39" fillId="2" borderId="32" xfId="0" applyNumberFormat="1" applyFont="1" applyFill="1" applyBorder="1" applyAlignment="1">
      <alignment horizontal="right" vertical="center"/>
    </xf>
    <xf numFmtId="164" fontId="39" fillId="2" borderId="14" xfId="0" applyNumberFormat="1" applyFont="1" applyFill="1" applyBorder="1" applyAlignment="1">
      <alignment horizontal="right" vertical="center"/>
    </xf>
    <xf numFmtId="164" fontId="39" fillId="2" borderId="29" xfId="0" applyNumberFormat="1" applyFont="1" applyFill="1" applyBorder="1" applyAlignment="1">
      <alignment horizontal="right" vertical="center"/>
    </xf>
    <xf numFmtId="164" fontId="39" fillId="2" borderId="37" xfId="0" applyNumberFormat="1" applyFont="1" applyFill="1" applyBorder="1" applyAlignment="1">
      <alignment horizontal="right" vertical="center"/>
    </xf>
    <xf numFmtId="164" fontId="39" fillId="2" borderId="11" xfId="0" applyNumberFormat="1" applyFont="1" applyFill="1" applyBorder="1" applyAlignment="1">
      <alignment horizontal="right" vertical="center"/>
    </xf>
    <xf numFmtId="164" fontId="40" fillId="2" borderId="36" xfId="0" applyNumberFormat="1" applyFont="1" applyFill="1" applyBorder="1" applyAlignment="1">
      <alignment horizontal="center" vertical="center"/>
    </xf>
    <xf numFmtId="2" fontId="40" fillId="2" borderId="36" xfId="0" applyNumberFormat="1" applyFont="1" applyFill="1" applyBorder="1" applyAlignment="1">
      <alignment horizontal="center" vertical="center"/>
    </xf>
    <xf numFmtId="164" fontId="39" fillId="0" borderId="32" xfId="0" applyNumberFormat="1" applyFont="1" applyFill="1" applyBorder="1" applyAlignment="1">
      <alignment horizontal="right" vertical="center"/>
    </xf>
    <xf numFmtId="164" fontId="39" fillId="0" borderId="14" xfId="0" applyNumberFormat="1" applyFont="1" applyFill="1" applyBorder="1" applyAlignment="1">
      <alignment horizontal="right" vertical="center"/>
    </xf>
    <xf numFmtId="2" fontId="40" fillId="0" borderId="36" xfId="0" applyNumberFormat="1" applyFont="1" applyFill="1" applyBorder="1" applyAlignment="1">
      <alignment horizontal="center" vertical="center"/>
    </xf>
    <xf numFmtId="164" fontId="41" fillId="2" borderId="14" xfId="0" applyNumberFormat="1" applyFont="1" applyFill="1" applyBorder="1" applyAlignment="1">
      <alignment horizontal="right"/>
    </xf>
    <xf numFmtId="164" fontId="43" fillId="2" borderId="36" xfId="0" applyNumberFormat="1" applyFont="1" applyFill="1" applyBorder="1" applyAlignment="1">
      <alignment horizontal="center"/>
    </xf>
    <xf numFmtId="2" fontId="43" fillId="2" borderId="36" xfId="0" applyNumberFormat="1" applyFont="1" applyFill="1" applyBorder="1" applyAlignment="1">
      <alignment horizontal="center"/>
    </xf>
    <xf numFmtId="164" fontId="40" fillId="2" borderId="36" xfId="0" applyNumberFormat="1" applyFont="1" applyFill="1" applyBorder="1" applyAlignment="1">
      <alignment horizontal="center"/>
    </xf>
    <xf numFmtId="2" fontId="40" fillId="2" borderId="36" xfId="0" applyNumberFormat="1" applyFont="1" applyFill="1" applyBorder="1" applyAlignment="1">
      <alignment horizontal="center"/>
    </xf>
    <xf numFmtId="0" fontId="39" fillId="0" borderId="36" xfId="0" applyFont="1" applyFill="1" applyBorder="1"/>
    <xf numFmtId="164" fontId="41" fillId="2" borderId="29" xfId="0" applyNumberFormat="1" applyFont="1" applyFill="1" applyBorder="1" applyAlignment="1">
      <alignment horizontal="right" vertical="center"/>
    </xf>
    <xf numFmtId="0" fontId="39" fillId="2" borderId="36" xfId="0" applyFont="1" applyFill="1" applyBorder="1" applyAlignment="1">
      <alignment wrapText="1"/>
    </xf>
    <xf numFmtId="0" fontId="41" fillId="2" borderId="16" xfId="0" applyFont="1" applyFill="1" applyBorder="1"/>
    <xf numFmtId="164" fontId="41" fillId="2" borderId="8" xfId="0" applyNumberFormat="1" applyFont="1" applyFill="1" applyBorder="1" applyAlignment="1">
      <alignment horizontal="right"/>
    </xf>
    <xf numFmtId="164" fontId="41" fillId="2" borderId="43" xfId="0" applyNumberFormat="1" applyFont="1" applyFill="1" applyBorder="1" applyAlignment="1">
      <alignment horizontal="right"/>
    </xf>
    <xf numFmtId="164" fontId="41" fillId="2" borderId="33" xfId="0" applyNumberFormat="1" applyFont="1" applyFill="1" applyBorder="1" applyAlignment="1">
      <alignment horizontal="right"/>
    </xf>
    <xf numFmtId="164" fontId="41" fillId="2" borderId="18" xfId="0" applyNumberFormat="1" applyFont="1" applyFill="1" applyBorder="1" applyAlignment="1">
      <alignment horizontal="right"/>
    </xf>
    <xf numFmtId="164" fontId="43" fillId="2" borderId="16" xfId="0" applyNumberFormat="1" applyFont="1" applyFill="1" applyBorder="1" applyAlignment="1">
      <alignment horizontal="center"/>
    </xf>
    <xf numFmtId="2" fontId="43" fillId="2" borderId="16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right" vertical="center"/>
    </xf>
    <xf numFmtId="164" fontId="39" fillId="4" borderId="1" xfId="0" applyNumberFormat="1" applyFont="1" applyFill="1" applyBorder="1" applyAlignment="1">
      <alignment horizontal="right" vertical="center"/>
    </xf>
    <xf numFmtId="164" fontId="39" fillId="4" borderId="28" xfId="0" applyNumberFormat="1" applyFont="1" applyFill="1" applyBorder="1" applyAlignment="1">
      <alignment horizontal="right" vertical="center"/>
    </xf>
    <xf numFmtId="164" fontId="39" fillId="4" borderId="33" xfId="0" applyNumberFormat="1" applyFont="1" applyFill="1" applyBorder="1" applyAlignment="1">
      <alignment horizontal="right" vertical="center"/>
    </xf>
    <xf numFmtId="164" fontId="39" fillId="4" borderId="21" xfId="0" applyNumberFormat="1" applyFont="1" applyFill="1" applyBorder="1" applyAlignment="1">
      <alignment horizontal="right" vertical="center"/>
    </xf>
    <xf numFmtId="164" fontId="39" fillId="4" borderId="18" xfId="0" applyNumberFormat="1" applyFont="1" applyFill="1" applyBorder="1" applyAlignment="1">
      <alignment horizontal="right" vertical="center"/>
    </xf>
    <xf numFmtId="164" fontId="40" fillId="4" borderId="15" xfId="0" applyNumberFormat="1" applyFont="1" applyFill="1" applyBorder="1" applyAlignment="1">
      <alignment horizontal="center"/>
    </xf>
    <xf numFmtId="2" fontId="40" fillId="4" borderId="15" xfId="0" applyNumberFormat="1" applyFont="1" applyFill="1" applyBorder="1" applyAlignment="1">
      <alignment horizontal="center"/>
    </xf>
    <xf numFmtId="164" fontId="43" fillId="2" borderId="15" xfId="0" applyNumberFormat="1" applyFont="1" applyFill="1" applyBorder="1" applyAlignment="1">
      <alignment horizontal="center"/>
    </xf>
    <xf numFmtId="2" fontId="43" fillId="2" borderId="15" xfId="0" applyNumberFormat="1" applyFont="1" applyFill="1" applyBorder="1" applyAlignment="1">
      <alignment horizontal="center"/>
    </xf>
    <xf numFmtId="164" fontId="41" fillId="2" borderId="63" xfId="0" applyNumberFormat="1" applyFont="1" applyFill="1" applyBorder="1" applyAlignment="1">
      <alignment horizontal="right"/>
    </xf>
    <xf numFmtId="164" fontId="41" fillId="2" borderId="60" xfId="0" applyNumberFormat="1" applyFont="1" applyFill="1" applyBorder="1" applyAlignment="1">
      <alignment horizontal="right"/>
    </xf>
    <xf numFmtId="164" fontId="41" fillId="2" borderId="65" xfId="0" applyNumberFormat="1" applyFont="1" applyFill="1" applyBorder="1" applyAlignment="1">
      <alignment horizontal="right"/>
    </xf>
    <xf numFmtId="164" fontId="41" fillId="2" borderId="67" xfId="0" applyNumberFormat="1" applyFont="1" applyFill="1" applyBorder="1" applyAlignment="1">
      <alignment horizontal="right"/>
    </xf>
    <xf numFmtId="164" fontId="43" fillId="2" borderId="64" xfId="0" applyNumberFormat="1" applyFont="1" applyFill="1" applyBorder="1" applyAlignment="1">
      <alignment horizontal="center"/>
    </xf>
    <xf numFmtId="164" fontId="41" fillId="2" borderId="44" xfId="0" applyNumberFormat="1" applyFont="1" applyFill="1" applyBorder="1" applyAlignment="1">
      <alignment horizontal="right"/>
    </xf>
    <xf numFmtId="164" fontId="43" fillId="2" borderId="12" xfId="0" applyNumberFormat="1" applyFont="1" applyFill="1" applyBorder="1" applyAlignment="1">
      <alignment horizontal="right"/>
    </xf>
    <xf numFmtId="2" fontId="43" fillId="2" borderId="59" xfId="0" applyNumberFormat="1" applyFont="1" applyFill="1" applyBorder="1" applyAlignment="1">
      <alignment horizontal="center"/>
    </xf>
    <xf numFmtId="164" fontId="41" fillId="2" borderId="31" xfId="0" applyNumberFormat="1" applyFont="1" applyFill="1" applyBorder="1" applyAlignment="1">
      <alignment horizontal="right"/>
    </xf>
    <xf numFmtId="164" fontId="41" fillId="2" borderId="37" xfId="0" applyNumberFormat="1" applyFont="1" applyFill="1" applyBorder="1" applyAlignment="1">
      <alignment horizontal="right"/>
    </xf>
    <xf numFmtId="164" fontId="41" fillId="2" borderId="35" xfId="0" applyNumberFormat="1" applyFont="1" applyFill="1" applyBorder="1" applyAlignment="1">
      <alignment horizontal="right"/>
    </xf>
    <xf numFmtId="164" fontId="41" fillId="2" borderId="9" xfId="0" applyNumberFormat="1" applyFont="1" applyFill="1" applyBorder="1" applyAlignment="1">
      <alignment horizontal="right"/>
    </xf>
    <xf numFmtId="164" fontId="41" fillId="2" borderId="39" xfId="0" applyNumberFormat="1" applyFont="1" applyFill="1" applyBorder="1" applyAlignment="1">
      <alignment horizontal="right"/>
    </xf>
    <xf numFmtId="164" fontId="41" fillId="2" borderId="38" xfId="0" applyNumberFormat="1" applyFont="1" applyFill="1" applyBorder="1" applyAlignment="1">
      <alignment horizontal="right"/>
    </xf>
    <xf numFmtId="0" fontId="39" fillId="2" borderId="17" xfId="0" applyFont="1" applyFill="1" applyBorder="1"/>
    <xf numFmtId="164" fontId="39" fillId="2" borderId="8" xfId="0" applyNumberFormat="1" applyFont="1" applyFill="1" applyBorder="1" applyAlignment="1">
      <alignment horizontal="right" vertical="center"/>
    </xf>
    <xf numFmtId="164" fontId="39" fillId="2" borderId="43" xfId="0" applyNumberFormat="1" applyFont="1" applyFill="1" applyBorder="1" applyAlignment="1">
      <alignment horizontal="right" vertical="center"/>
    </xf>
    <xf numFmtId="164" fontId="39" fillId="2" borderId="33" xfId="0" applyNumberFormat="1" applyFont="1" applyFill="1" applyBorder="1" applyAlignment="1">
      <alignment horizontal="right" vertical="center"/>
    </xf>
    <xf numFmtId="164" fontId="39" fillId="2" borderId="18" xfId="0" applyNumberFormat="1" applyFont="1" applyFill="1" applyBorder="1" applyAlignment="1">
      <alignment horizontal="right" vertical="center"/>
    </xf>
    <xf numFmtId="164" fontId="40" fillId="2" borderId="16" xfId="0" applyNumberFormat="1" applyFont="1" applyFill="1" applyBorder="1" applyAlignment="1">
      <alignment horizontal="center" vertical="center"/>
    </xf>
    <xf numFmtId="2" fontId="40" fillId="2" borderId="16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164" fontId="41" fillId="2" borderId="0" xfId="0" applyNumberFormat="1" applyFont="1" applyFill="1"/>
    <xf numFmtId="0" fontId="39" fillId="4" borderId="46" xfId="0" applyFont="1" applyFill="1" applyBorder="1" applyAlignment="1">
      <alignment horizontal="center" vertical="center"/>
    </xf>
    <xf numFmtId="0" fontId="39" fillId="4" borderId="3" xfId="0" applyFont="1" applyFill="1" applyBorder="1"/>
    <xf numFmtId="164" fontId="40" fillId="4" borderId="2" xfId="0" applyNumberFormat="1" applyFont="1" applyFill="1" applyBorder="1" applyAlignment="1">
      <alignment horizontal="right"/>
    </xf>
    <xf numFmtId="164" fontId="40" fillId="4" borderId="7" xfId="40" applyNumberFormat="1" applyFont="1" applyFill="1" applyBorder="1" applyAlignment="1">
      <alignment horizontal="right"/>
    </xf>
    <xf numFmtId="164" fontId="41" fillId="4" borderId="0" xfId="0" applyNumberFormat="1" applyFont="1" applyFill="1"/>
    <xf numFmtId="0" fontId="41" fillId="4" borderId="0" xfId="0" applyFont="1" applyFill="1"/>
    <xf numFmtId="0" fontId="39" fillId="2" borderId="19" xfId="0" applyFont="1" applyFill="1" applyBorder="1"/>
    <xf numFmtId="164" fontId="39" fillId="0" borderId="35" xfId="37" applyNumberFormat="1" applyFont="1" applyFill="1" applyBorder="1" applyAlignment="1">
      <alignment horizontal="right"/>
    </xf>
    <xf numFmtId="164" fontId="39" fillId="0" borderId="37" xfId="44" applyNumberFormat="1" applyFont="1" applyFill="1" applyBorder="1" applyAlignment="1">
      <alignment horizontal="right"/>
    </xf>
    <xf numFmtId="0" fontId="41" fillId="2" borderId="13" xfId="0" applyFont="1" applyFill="1" applyBorder="1"/>
    <xf numFmtId="164" fontId="41" fillId="2" borderId="9" xfId="40" applyNumberFormat="1" applyFont="1" applyFill="1" applyBorder="1" applyAlignment="1">
      <alignment horizontal="right"/>
    </xf>
    <xf numFmtId="164" fontId="41" fillId="2" borderId="11" xfId="0" applyNumberFormat="1" applyFont="1" applyFill="1" applyBorder="1" applyAlignment="1">
      <alignment horizontal="center"/>
    </xf>
    <xf numFmtId="0" fontId="39" fillId="2" borderId="13" xfId="0" applyFont="1" applyFill="1" applyBorder="1"/>
    <xf numFmtId="164" fontId="39" fillId="0" borderId="9" xfId="37" applyNumberFormat="1" applyFont="1" applyFill="1" applyBorder="1" applyAlignment="1">
      <alignment horizontal="right"/>
    </xf>
    <xf numFmtId="164" fontId="39" fillId="2" borderId="14" xfId="40" applyNumberFormat="1" applyFont="1" applyFill="1" applyBorder="1" applyAlignment="1">
      <alignment horizontal="right"/>
    </xf>
    <xf numFmtId="2" fontId="41" fillId="2" borderId="0" xfId="0" applyNumberFormat="1" applyFont="1" applyFill="1"/>
    <xf numFmtId="164" fontId="41" fillId="0" borderId="32" xfId="37" applyNumberFormat="1" applyFont="1" applyFill="1" applyBorder="1" applyAlignment="1">
      <alignment horizontal="right"/>
    </xf>
    <xf numFmtId="164" fontId="41" fillId="0" borderId="14" xfId="37" applyNumberFormat="1" applyFont="1" applyFill="1" applyBorder="1" applyAlignment="1">
      <alignment horizontal="right"/>
    </xf>
    <xf numFmtId="164" fontId="41" fillId="0" borderId="9" xfId="37" applyNumberFormat="1" applyFont="1" applyFill="1" applyBorder="1" applyAlignment="1">
      <alignment horizontal="right"/>
    </xf>
    <xf numFmtId="0" fontId="39" fillId="2" borderId="17" xfId="0" applyFont="1" applyFill="1" applyBorder="1" applyAlignment="1">
      <alignment wrapText="1"/>
    </xf>
    <xf numFmtId="164" fontId="39" fillId="0" borderId="43" xfId="0" applyNumberFormat="1" applyFont="1" applyFill="1" applyBorder="1" applyAlignment="1">
      <alignment horizontal="right" vertical="center"/>
    </xf>
    <xf numFmtId="164" fontId="39" fillId="2" borderId="39" xfId="40" applyNumberFormat="1" applyFont="1" applyFill="1" applyBorder="1" applyAlignment="1">
      <alignment horizontal="right"/>
    </xf>
    <xf numFmtId="0" fontId="41" fillId="2" borderId="0" xfId="0" applyFont="1" applyFill="1" applyBorder="1"/>
    <xf numFmtId="164" fontId="39" fillId="4" borderId="2" xfId="0" applyNumberFormat="1" applyFont="1" applyFill="1" applyBorder="1"/>
    <xf numFmtId="164" fontId="39" fillId="4" borderId="3" xfId="0" applyNumberFormat="1" applyFont="1" applyFill="1" applyBorder="1"/>
    <xf numFmtId="164" fontId="41" fillId="2" borderId="0" xfId="0" applyNumberFormat="1" applyFont="1" applyFill="1" applyBorder="1"/>
    <xf numFmtId="164" fontId="39" fillId="2" borderId="31" xfId="0" applyNumberFormat="1" applyFont="1" applyFill="1" applyBorder="1" applyAlignment="1">
      <alignment horizontal="right"/>
    </xf>
    <xf numFmtId="164" fontId="39" fillId="2" borderId="37" xfId="0" applyNumberFormat="1" applyFont="1" applyFill="1" applyBorder="1" applyAlignment="1">
      <alignment horizontal="right"/>
    </xf>
    <xf numFmtId="164" fontId="39" fillId="2" borderId="35" xfId="0" applyNumberFormat="1" applyFont="1" applyFill="1" applyBorder="1" applyAlignment="1">
      <alignment horizontal="right"/>
    </xf>
    <xf numFmtId="164" fontId="39" fillId="2" borderId="29" xfId="0" applyNumberFormat="1" applyFont="1" applyFill="1" applyBorder="1" applyAlignment="1">
      <alignment horizontal="right"/>
    </xf>
    <xf numFmtId="0" fontId="39" fillId="0" borderId="13" xfId="0" applyFont="1" applyFill="1" applyBorder="1"/>
    <xf numFmtId="164" fontId="39" fillId="2" borderId="32" xfId="0" applyNumberFormat="1" applyFont="1" applyFill="1" applyBorder="1" applyAlignment="1">
      <alignment horizontal="right"/>
    </xf>
    <xf numFmtId="164" fontId="39" fillId="2" borderId="14" xfId="0" applyNumberFormat="1" applyFont="1" applyFill="1" applyBorder="1" applyAlignment="1">
      <alignment horizontal="right"/>
    </xf>
    <xf numFmtId="164" fontId="39" fillId="2" borderId="9" xfId="0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 vertical="center"/>
    </xf>
    <xf numFmtId="164" fontId="41" fillId="0" borderId="0" xfId="0" applyNumberFormat="1" applyFont="1" applyFill="1" applyBorder="1"/>
    <xf numFmtId="0" fontId="41" fillId="0" borderId="0" xfId="0" applyFont="1" applyFill="1"/>
    <xf numFmtId="164" fontId="39" fillId="2" borderId="9" xfId="0" applyNumberFormat="1" applyFont="1" applyFill="1" applyBorder="1" applyAlignment="1">
      <alignment horizontal="right" vertical="center"/>
    </xf>
    <xf numFmtId="0" fontId="39" fillId="2" borderId="13" xfId="0" applyFont="1" applyFill="1" applyBorder="1" applyAlignment="1">
      <alignment wrapText="1"/>
    </xf>
    <xf numFmtId="0" fontId="41" fillId="2" borderId="17" xfId="0" applyFont="1" applyFill="1" applyBorder="1"/>
    <xf numFmtId="164" fontId="41" fillId="0" borderId="43" xfId="0" applyNumberFormat="1" applyFont="1" applyFill="1" applyBorder="1" applyAlignment="1">
      <alignment horizontal="right"/>
    </xf>
    <xf numFmtId="164" fontId="39" fillId="4" borderId="10" xfId="0" applyNumberFormat="1" applyFont="1" applyFill="1" applyBorder="1" applyAlignment="1">
      <alignment horizontal="right" vertical="center"/>
    </xf>
    <xf numFmtId="164" fontId="41" fillId="0" borderId="14" xfId="0" applyNumberFormat="1" applyFont="1" applyFill="1" applyBorder="1" applyAlignment="1">
      <alignment horizontal="right"/>
    </xf>
    <xf numFmtId="164" fontId="41" fillId="2" borderId="29" xfId="41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horizontal="right"/>
    </xf>
    <xf numFmtId="2" fontId="41" fillId="0" borderId="0" xfId="0" applyNumberFormat="1" applyFont="1"/>
    <xf numFmtId="164" fontId="39" fillId="2" borderId="39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vertical="top"/>
    </xf>
    <xf numFmtId="164" fontId="39" fillId="4" borderId="2" xfId="0" applyNumberFormat="1" applyFont="1" applyFill="1" applyBorder="1" applyAlignment="1">
      <alignment horizontal="right"/>
    </xf>
    <xf numFmtId="164" fontId="39" fillId="4" borderId="28" xfId="0" applyNumberFormat="1" applyFont="1" applyFill="1" applyBorder="1" applyAlignment="1">
      <alignment horizontal="right"/>
    </xf>
    <xf numFmtId="164" fontId="39" fillId="4" borderId="1" xfId="0" applyNumberFormat="1" applyFont="1" applyFill="1" applyBorder="1" applyAlignment="1">
      <alignment horizontal="right"/>
    </xf>
    <xf numFmtId="164" fontId="39" fillId="4" borderId="28" xfId="0" applyNumberFormat="1" applyFont="1" applyFill="1" applyBorder="1"/>
    <xf numFmtId="164" fontId="39" fillId="2" borderId="16" xfId="0" applyNumberFormat="1" applyFont="1" applyFill="1" applyBorder="1" applyAlignment="1">
      <alignment horizontal="right" vertical="center"/>
    </xf>
    <xf numFmtId="17" fontId="39" fillId="4" borderId="42" xfId="0" applyNumberFormat="1" applyFont="1" applyFill="1" applyBorder="1" applyAlignment="1">
      <alignment horizontal="center" vertical="center"/>
    </xf>
    <xf numFmtId="164" fontId="29" fillId="2" borderId="31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/>
    </xf>
    <xf numFmtId="164" fontId="17" fillId="2" borderId="32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 vertical="center"/>
    </xf>
    <xf numFmtId="164" fontId="17" fillId="2" borderId="8" xfId="0" applyNumberFormat="1" applyFont="1" applyFill="1" applyBorder="1" applyAlignment="1">
      <alignment horizontal="right"/>
    </xf>
    <xf numFmtId="164" fontId="17" fillId="2" borderId="31" xfId="0" applyNumberFormat="1" applyFont="1" applyFill="1" applyBorder="1" applyAlignment="1">
      <alignment horizontal="right"/>
    </xf>
    <xf numFmtId="164" fontId="29" fillId="4" borderId="7" xfId="0" applyNumberFormat="1" applyFont="1" applyFill="1" applyBorder="1"/>
    <xf numFmtId="164" fontId="29" fillId="2" borderId="8" xfId="0" applyNumberFormat="1" applyFont="1" applyFill="1" applyBorder="1" applyAlignment="1">
      <alignment horizontal="right" vertical="center"/>
    </xf>
    <xf numFmtId="164" fontId="41" fillId="2" borderId="33" xfId="41" applyNumberFormat="1" applyFont="1" applyFill="1" applyBorder="1" applyAlignment="1">
      <alignment vertical="center"/>
    </xf>
    <xf numFmtId="164" fontId="41" fillId="2" borderId="21" xfId="0" applyNumberFormat="1" applyFont="1" applyFill="1" applyBorder="1"/>
    <xf numFmtId="0" fontId="41" fillId="2" borderId="21" xfId="0" applyFont="1" applyFill="1" applyBorder="1"/>
    <xf numFmtId="164" fontId="41" fillId="2" borderId="2" xfId="0" applyNumberFormat="1" applyFont="1" applyFill="1" applyBorder="1" applyAlignment="1">
      <alignment horizontal="right"/>
    </xf>
    <xf numFmtId="164" fontId="41" fillId="0" borderId="1" xfId="0" applyNumberFormat="1" applyFont="1" applyFill="1" applyBorder="1" applyAlignment="1">
      <alignment horizontal="right"/>
    </xf>
    <xf numFmtId="164" fontId="41" fillId="2" borderId="1" xfId="0" applyNumberFormat="1" applyFont="1" applyFill="1" applyBorder="1" applyAlignment="1">
      <alignment horizontal="right"/>
    </xf>
    <xf numFmtId="164" fontId="41" fillId="2" borderId="1" xfId="41" applyNumberFormat="1" applyFont="1" applyFill="1" applyBorder="1" applyAlignment="1">
      <alignment vertical="center"/>
    </xf>
    <xf numFmtId="164" fontId="41" fillId="2" borderId="10" xfId="0" applyNumberFormat="1" applyFont="1" applyFill="1" applyBorder="1" applyAlignment="1">
      <alignment horizontal="right"/>
    </xf>
    <xf numFmtId="164" fontId="17" fillId="2" borderId="2" xfId="0" applyNumberFormat="1" applyFont="1" applyFill="1" applyBorder="1" applyAlignment="1">
      <alignment horizontal="right"/>
    </xf>
    <xf numFmtId="164" fontId="39" fillId="0" borderId="56" xfId="37" applyNumberFormat="1" applyFont="1" applyFill="1" applyBorder="1" applyAlignment="1">
      <alignment horizontal="right"/>
    </xf>
    <xf numFmtId="164" fontId="39" fillId="0" borderId="44" xfId="37" applyNumberFormat="1" applyFont="1" applyFill="1" applyBorder="1" applyAlignment="1">
      <alignment horizontal="right"/>
    </xf>
    <xf numFmtId="164" fontId="41" fillId="0" borderId="44" xfId="37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 vertical="center"/>
    </xf>
    <xf numFmtId="164" fontId="41" fillId="2" borderId="45" xfId="0" applyNumberFormat="1" applyFont="1" applyFill="1" applyBorder="1" applyAlignment="1">
      <alignment horizontal="right"/>
    </xf>
    <xf numFmtId="164" fontId="41" fillId="2" borderId="56" xfId="0" applyNumberFormat="1" applyFont="1" applyFill="1" applyBorder="1" applyAlignment="1">
      <alignment horizontal="right"/>
    </xf>
    <xf numFmtId="164" fontId="41" fillId="2" borderId="47" xfId="0" applyNumberFormat="1" applyFont="1" applyFill="1" applyBorder="1" applyAlignment="1">
      <alignment horizontal="right"/>
    </xf>
    <xf numFmtId="164" fontId="39" fillId="2" borderId="45" xfId="0" applyNumberFormat="1" applyFont="1" applyFill="1" applyBorder="1" applyAlignment="1">
      <alignment horizontal="right" vertical="center"/>
    </xf>
    <xf numFmtId="164" fontId="40" fillId="4" borderId="23" xfId="0" applyNumberFormat="1" applyFont="1" applyFill="1" applyBorder="1" applyAlignment="1">
      <alignment horizontal="center"/>
    </xf>
    <xf numFmtId="164" fontId="43" fillId="2" borderId="11" xfId="0" applyNumberFormat="1" applyFont="1" applyFill="1" applyBorder="1" applyAlignment="1">
      <alignment horizontal="center"/>
    </xf>
    <xf numFmtId="164" fontId="43" fillId="2" borderId="18" xfId="0" applyNumberFormat="1" applyFont="1" applyFill="1" applyBorder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39" fillId="0" borderId="35" xfId="44" applyNumberFormat="1" applyFont="1" applyFill="1" applyBorder="1" applyAlignment="1">
      <alignment horizontal="right"/>
    </xf>
    <xf numFmtId="164" fontId="39" fillId="2" borderId="9" xfId="40" applyNumberFormat="1" applyFont="1" applyFill="1" applyBorder="1" applyAlignment="1">
      <alignment horizontal="right"/>
    </xf>
    <xf numFmtId="164" fontId="39" fillId="4" borderId="10" xfId="0" applyNumberFormat="1" applyFont="1" applyFill="1" applyBorder="1"/>
    <xf numFmtId="164" fontId="39" fillId="4" borderId="39" xfId="0" applyNumberFormat="1" applyFont="1" applyFill="1" applyBorder="1" applyAlignment="1">
      <alignment horizontal="right" vertical="center"/>
    </xf>
    <xf numFmtId="2" fontId="43" fillId="2" borderId="7" xfId="0" applyNumberFormat="1" applyFont="1" applyFill="1" applyBorder="1" applyAlignment="1">
      <alignment horizontal="center"/>
    </xf>
    <xf numFmtId="164" fontId="41" fillId="2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2" borderId="0" xfId="0" applyFont="1" applyFill="1" applyBorder="1"/>
    <xf numFmtId="0" fontId="18" fillId="2" borderId="0" xfId="22" applyFont="1" applyFill="1" applyBorder="1" applyAlignment="1">
      <alignment vertical="center"/>
    </xf>
    <xf numFmtId="175" fontId="16" fillId="2" borderId="0" xfId="0" applyNumberFormat="1" applyFont="1" applyFill="1"/>
    <xf numFmtId="164" fontId="16" fillId="2" borderId="0" xfId="0" applyNumberFormat="1" applyFont="1" applyFill="1"/>
    <xf numFmtId="164" fontId="39" fillId="2" borderId="0" xfId="0" applyNumberFormat="1" applyFont="1" applyFill="1" applyBorder="1" applyAlignment="1">
      <alignment horizontal="right" vertical="center"/>
    </xf>
    <xf numFmtId="164" fontId="39" fillId="4" borderId="17" xfId="0" applyNumberFormat="1" applyFont="1" applyFill="1" applyBorder="1" applyAlignment="1">
      <alignment horizontal="right" vertical="center"/>
    </xf>
    <xf numFmtId="164" fontId="39" fillId="4" borderId="45" xfId="0" applyNumberFormat="1" applyFont="1" applyFill="1" applyBorder="1" applyAlignment="1">
      <alignment horizontal="right" vertical="center"/>
    </xf>
    <xf numFmtId="164" fontId="39" fillId="4" borderId="43" xfId="0" applyNumberFormat="1" applyFont="1" applyFill="1" applyBorder="1" applyAlignment="1">
      <alignment horizontal="right" vertical="center"/>
    </xf>
    <xf numFmtId="164" fontId="41" fillId="2" borderId="32" xfId="22" applyNumberFormat="1" applyFont="1" applyFill="1" applyBorder="1" applyAlignment="1">
      <alignment vertical="center"/>
    </xf>
    <xf numFmtId="164" fontId="41" fillId="14" borderId="32" xfId="22" applyNumberFormat="1" applyFont="1" applyFill="1" applyBorder="1" applyAlignment="1">
      <alignment vertical="center"/>
    </xf>
    <xf numFmtId="164" fontId="40" fillId="4" borderId="7" xfId="0" applyNumberFormat="1" applyFont="1" applyFill="1" applyBorder="1" applyAlignment="1">
      <alignment horizontal="center" vertical="center"/>
    </xf>
    <xf numFmtId="164" fontId="39" fillId="0" borderId="15" xfId="37" applyNumberFormat="1" applyFont="1" applyFill="1" applyBorder="1" applyAlignment="1">
      <alignment horizontal="center" vertical="center"/>
    </xf>
    <xf numFmtId="164" fontId="41" fillId="2" borderId="36" xfId="0" applyNumberFormat="1" applyFont="1" applyFill="1" applyBorder="1" applyAlignment="1">
      <alignment horizontal="center" vertical="center"/>
    </xf>
    <xf numFmtId="164" fontId="39" fillId="0" borderId="36" xfId="37" applyNumberFormat="1" applyFont="1" applyFill="1" applyBorder="1" applyAlignment="1">
      <alignment horizontal="center" vertical="center"/>
    </xf>
    <xf numFmtId="164" fontId="41" fillId="0" borderId="36" xfId="37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4" fontId="43" fillId="2" borderId="36" xfId="0" applyNumberFormat="1" applyFont="1" applyFill="1" applyBorder="1" applyAlignment="1">
      <alignment horizontal="center" vertical="center"/>
    </xf>
    <xf numFmtId="164" fontId="43" fillId="2" borderId="16" xfId="0" applyNumberFormat="1" applyFont="1" applyFill="1" applyBorder="1" applyAlignment="1">
      <alignment horizontal="center" vertical="center"/>
    </xf>
    <xf numFmtId="164" fontId="43" fillId="2" borderId="15" xfId="0" applyNumberFormat="1" applyFont="1" applyFill="1" applyBorder="1" applyAlignment="1">
      <alignment horizontal="center" vertical="center"/>
    </xf>
    <xf numFmtId="164" fontId="43" fillId="2" borderId="7" xfId="0" applyNumberFormat="1" applyFont="1" applyFill="1" applyBorder="1" applyAlignment="1">
      <alignment horizontal="center" vertical="center"/>
    </xf>
    <xf numFmtId="0" fontId="41" fillId="0" borderId="0" xfId="0" applyFont="1"/>
    <xf numFmtId="0" fontId="48" fillId="2" borderId="0" xfId="0" applyFont="1" applyFill="1" applyAlignment="1"/>
    <xf numFmtId="0" fontId="41" fillId="0" borderId="0" xfId="0" applyFont="1" applyBorder="1"/>
    <xf numFmtId="0" fontId="48" fillId="2" borderId="0" xfId="0" applyFont="1" applyFill="1" applyAlignment="1">
      <alignment horizontal="center"/>
    </xf>
    <xf numFmtId="0" fontId="39" fillId="2" borderId="0" xfId="0" applyFont="1" applyFill="1" applyBorder="1" applyAlignment="1">
      <alignment vertical="center"/>
    </xf>
    <xf numFmtId="49" fontId="39" fillId="8" borderId="34" xfId="0" applyNumberFormat="1" applyFont="1" applyFill="1" applyBorder="1" applyAlignment="1">
      <alignment horizontal="center" vertical="center"/>
    </xf>
    <xf numFmtId="0" fontId="39" fillId="8" borderId="49" xfId="0" applyNumberFormat="1" applyFont="1" applyFill="1" applyBorder="1" applyAlignment="1">
      <alignment horizontal="center" vertical="center"/>
    </xf>
    <xf numFmtId="0" fontId="39" fillId="8" borderId="34" xfId="0" applyNumberFormat="1" applyFont="1" applyFill="1" applyBorder="1" applyAlignment="1">
      <alignment horizontal="center" vertical="center" wrapText="1"/>
    </xf>
    <xf numFmtId="0" fontId="39" fillId="8" borderId="40" xfId="0" applyNumberFormat="1" applyFont="1" applyFill="1" applyBorder="1" applyAlignment="1">
      <alignment horizontal="center" vertical="center" wrapText="1"/>
    </xf>
    <xf numFmtId="0" fontId="39" fillId="8" borderId="41" xfId="0" applyNumberFormat="1" applyFont="1" applyFill="1" applyBorder="1" applyAlignment="1">
      <alignment horizontal="center" vertical="center"/>
    </xf>
    <xf numFmtId="49" fontId="39" fillId="8" borderId="41" xfId="0" applyNumberFormat="1" applyFont="1" applyFill="1" applyBorder="1" applyAlignment="1">
      <alignment horizontal="center" vertical="center"/>
    </xf>
    <xf numFmtId="0" fontId="39" fillId="8" borderId="49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39" fillId="7" borderId="3" xfId="0" applyFont="1" applyFill="1" applyBorder="1"/>
    <xf numFmtId="164" fontId="39" fillId="7" borderId="7" xfId="0" applyNumberFormat="1" applyFont="1" applyFill="1" applyBorder="1" applyAlignment="1">
      <alignment horizontal="right"/>
    </xf>
    <xf numFmtId="164" fontId="39" fillId="7" borderId="2" xfId="0" applyNumberFormat="1" applyFont="1" applyFill="1" applyBorder="1" applyAlignment="1">
      <alignment horizontal="right"/>
    </xf>
    <xf numFmtId="2" fontId="39" fillId="7" borderId="23" xfId="0" applyNumberFormat="1" applyFont="1" applyFill="1" applyBorder="1" applyAlignment="1">
      <alignment horizontal="right"/>
    </xf>
    <xf numFmtId="2" fontId="39" fillId="7" borderId="10" xfId="0" applyNumberFormat="1" applyFont="1" applyFill="1" applyBorder="1" applyAlignment="1">
      <alignment horizontal="right"/>
    </xf>
    <xf numFmtId="164" fontId="39" fillId="2" borderId="0" xfId="0" applyNumberFormat="1" applyFont="1" applyFill="1" applyBorder="1" applyAlignment="1">
      <alignment horizontal="right"/>
    </xf>
    <xf numFmtId="164" fontId="39" fillId="2" borderId="36" xfId="0" applyNumberFormat="1" applyFont="1" applyFill="1" applyBorder="1" applyAlignment="1">
      <alignment horizontal="right"/>
    </xf>
    <xf numFmtId="164" fontId="39" fillId="8" borderId="32" xfId="0" applyNumberFormat="1" applyFont="1" applyFill="1" applyBorder="1" applyAlignment="1">
      <alignment horizontal="right"/>
    </xf>
    <xf numFmtId="2" fontId="39" fillId="8" borderId="0" xfId="0" applyNumberFormat="1" applyFont="1" applyFill="1" applyBorder="1" applyAlignment="1">
      <alignment horizontal="right"/>
    </xf>
    <xf numFmtId="2" fontId="39" fillId="8" borderId="37" xfId="0" applyNumberFormat="1" applyFont="1" applyFill="1" applyBorder="1" applyAlignment="1">
      <alignment horizontal="right"/>
    </xf>
    <xf numFmtId="164" fontId="39" fillId="8" borderId="29" xfId="0" applyNumberFormat="1" applyFont="1" applyFill="1" applyBorder="1" applyAlignment="1">
      <alignment horizontal="right"/>
    </xf>
    <xf numFmtId="2" fontId="39" fillId="8" borderId="9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right"/>
    </xf>
    <xf numFmtId="164" fontId="41" fillId="8" borderId="32" xfId="0" applyNumberFormat="1" applyFont="1" applyFill="1" applyBorder="1" applyAlignment="1">
      <alignment horizontal="right"/>
    </xf>
    <xf numFmtId="2" fontId="41" fillId="8" borderId="0" xfId="0" applyNumberFormat="1" applyFont="1" applyFill="1" applyBorder="1" applyAlignment="1">
      <alignment horizontal="right"/>
    </xf>
    <xf numFmtId="164" fontId="41" fillId="8" borderId="29" xfId="0" applyNumberFormat="1" applyFont="1" applyFill="1" applyBorder="1" applyAlignment="1">
      <alignment horizontal="right"/>
    </xf>
    <xf numFmtId="2" fontId="41" fillId="8" borderId="14" xfId="0" applyNumberFormat="1" applyFont="1" applyFill="1" applyBorder="1" applyAlignment="1">
      <alignment horizontal="right"/>
    </xf>
    <xf numFmtId="2" fontId="41" fillId="8" borderId="9" xfId="0" applyNumberFormat="1" applyFont="1" applyFill="1" applyBorder="1" applyAlignment="1">
      <alignment horizontal="right"/>
    </xf>
    <xf numFmtId="0" fontId="41" fillId="2" borderId="0" xfId="26" applyFont="1" applyFill="1" applyBorder="1" applyAlignment="1">
      <alignment horizontal="center" vertical="center" wrapText="1"/>
    </xf>
    <xf numFmtId="164" fontId="39" fillId="2" borderId="0" xfId="26" applyNumberFormat="1" applyFont="1" applyFill="1" applyBorder="1" applyAlignment="1">
      <alignment wrapText="1"/>
    </xf>
    <xf numFmtId="4" fontId="39" fillId="2" borderId="0" xfId="26" applyNumberFormat="1" applyFont="1" applyFill="1" applyBorder="1" applyAlignment="1"/>
    <xf numFmtId="164" fontId="39" fillId="2" borderId="0" xfId="26" applyNumberFormat="1" applyFont="1" applyFill="1" applyBorder="1" applyAlignment="1"/>
    <xf numFmtId="2" fontId="39" fillId="8" borderId="14" xfId="0" applyNumberFormat="1" applyFont="1" applyFill="1" applyBorder="1" applyAlignment="1">
      <alignment horizontal="right"/>
    </xf>
    <xf numFmtId="164" fontId="41" fillId="2" borderId="0" xfId="26" applyNumberFormat="1" applyFont="1" applyFill="1" applyBorder="1" applyAlignment="1"/>
    <xf numFmtId="4" fontId="41" fillId="2" borderId="0" xfId="26" applyNumberFormat="1" applyFont="1" applyFill="1" applyBorder="1" applyAlignment="1"/>
    <xf numFmtId="164" fontId="39" fillId="8" borderId="8" xfId="0" applyNumberFormat="1" applyFont="1" applyFill="1" applyBorder="1" applyAlignment="1">
      <alignment horizontal="right" vertical="center"/>
    </xf>
    <xf numFmtId="2" fontId="39" fillId="8" borderId="21" xfId="0" applyNumberFormat="1" applyFont="1" applyFill="1" applyBorder="1" applyAlignment="1">
      <alignment horizontal="right" vertical="center"/>
    </xf>
    <xf numFmtId="164" fontId="39" fillId="8" borderId="33" xfId="0" applyNumberFormat="1" applyFont="1" applyFill="1" applyBorder="1" applyAlignment="1">
      <alignment horizontal="right" vertical="center"/>
    </xf>
    <xf numFmtId="2" fontId="39" fillId="8" borderId="43" xfId="0" applyNumberFormat="1" applyFont="1" applyFill="1" applyBorder="1" applyAlignment="1">
      <alignment horizontal="right" vertical="center"/>
    </xf>
    <xf numFmtId="164" fontId="39" fillId="8" borderId="29" xfId="0" applyNumberFormat="1" applyFont="1" applyFill="1" applyBorder="1" applyAlignment="1">
      <alignment horizontal="right" vertical="center"/>
    </xf>
    <xf numFmtId="2" fontId="39" fillId="8" borderId="18" xfId="0" applyNumberFormat="1" applyFont="1" applyFill="1" applyBorder="1" applyAlignment="1">
      <alignment horizontal="right" vertical="center"/>
    </xf>
    <xf numFmtId="0" fontId="39" fillId="7" borderId="7" xfId="0" applyFont="1" applyFill="1" applyBorder="1"/>
    <xf numFmtId="164" fontId="39" fillId="7" borderId="7" xfId="0" applyNumberFormat="1" applyFont="1" applyFill="1" applyBorder="1"/>
    <xf numFmtId="2" fontId="39" fillId="7" borderId="7" xfId="0" applyNumberFormat="1" applyFont="1" applyFill="1" applyBorder="1"/>
    <xf numFmtId="164" fontId="39" fillId="2" borderId="0" xfId="0" applyNumberFormat="1" applyFont="1" applyFill="1" applyBorder="1"/>
    <xf numFmtId="164" fontId="39" fillId="2" borderId="15" xfId="0" applyNumberFormat="1" applyFont="1" applyFill="1" applyBorder="1" applyAlignment="1">
      <alignment horizontal="right" vertical="center"/>
    </xf>
    <xf numFmtId="164" fontId="39" fillId="8" borderId="32" xfId="0" applyNumberFormat="1" applyFont="1" applyFill="1" applyBorder="1" applyAlignment="1">
      <alignment horizontal="right" vertical="center"/>
    </xf>
    <xf numFmtId="2" fontId="39" fillId="8" borderId="0" xfId="0" applyNumberFormat="1" applyFont="1" applyFill="1" applyBorder="1" applyAlignment="1">
      <alignment horizontal="right" vertical="center"/>
    </xf>
    <xf numFmtId="164" fontId="39" fillId="8" borderId="37" xfId="0" applyNumberFormat="1" applyFont="1" applyFill="1" applyBorder="1" applyAlignment="1">
      <alignment horizontal="right" vertical="center"/>
    </xf>
    <xf numFmtId="2" fontId="39" fillId="8" borderId="44" xfId="0" applyNumberFormat="1" applyFont="1" applyFill="1" applyBorder="1" applyAlignment="1">
      <alignment horizontal="right" vertical="center"/>
    </xf>
    <xf numFmtId="164" fontId="39" fillId="2" borderId="15" xfId="0" applyNumberFormat="1" applyFont="1" applyFill="1" applyBorder="1"/>
    <xf numFmtId="2" fontId="39" fillId="8" borderId="9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 applyAlignment="1">
      <alignment horizontal="right" vertical="center"/>
    </xf>
    <xf numFmtId="164" fontId="39" fillId="8" borderId="14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/>
    <xf numFmtId="164" fontId="41" fillId="8" borderId="14" xfId="0" applyNumberFormat="1" applyFont="1" applyFill="1" applyBorder="1" applyAlignment="1">
      <alignment horizontal="right"/>
    </xf>
    <xf numFmtId="2" fontId="41" fillId="8" borderId="44" xfId="0" applyNumberFormat="1" applyFont="1" applyFill="1" applyBorder="1" applyAlignment="1">
      <alignment horizontal="right"/>
    </xf>
    <xf numFmtId="164" fontId="41" fillId="2" borderId="36" xfId="0" applyNumberFormat="1" applyFont="1" applyFill="1" applyBorder="1"/>
    <xf numFmtId="164" fontId="49" fillId="2" borderId="0" xfId="0" applyNumberFormat="1" applyFont="1" applyFill="1" applyBorder="1" applyAlignment="1">
      <alignment horizontal="right"/>
    </xf>
    <xf numFmtId="2" fontId="41" fillId="8" borderId="11" xfId="0" applyNumberFormat="1" applyFont="1" applyFill="1" applyBorder="1" applyAlignment="1">
      <alignment horizontal="right"/>
    </xf>
    <xf numFmtId="164" fontId="39" fillId="7" borderId="7" xfId="0" applyNumberFormat="1" applyFont="1" applyFill="1" applyBorder="1" applyAlignment="1">
      <alignment horizontal="right" vertical="center"/>
    </xf>
    <xf numFmtId="164" fontId="39" fillId="7" borderId="2" xfId="0" applyNumberFormat="1" applyFont="1" applyFill="1" applyBorder="1" applyAlignment="1">
      <alignment horizontal="right" vertical="center"/>
    </xf>
    <xf numFmtId="2" fontId="39" fillId="7" borderId="28" xfId="0" applyNumberFormat="1" applyFont="1" applyFill="1" applyBorder="1" applyAlignment="1">
      <alignment horizontal="right" vertical="center"/>
    </xf>
    <xf numFmtId="2" fontId="39" fillId="7" borderId="1" xfId="0" applyNumberFormat="1" applyFont="1" applyFill="1" applyBorder="1" applyAlignment="1">
      <alignment horizontal="right" vertical="center"/>
    </xf>
    <xf numFmtId="164" fontId="39" fillId="7" borderId="28" xfId="0" applyNumberFormat="1" applyFont="1" applyFill="1" applyBorder="1" applyAlignment="1">
      <alignment horizontal="right" vertical="center"/>
    </xf>
    <xf numFmtId="2" fontId="39" fillId="7" borderId="10" xfId="0" applyNumberFormat="1" applyFont="1" applyFill="1" applyBorder="1" applyAlignment="1">
      <alignment horizontal="right" vertical="center"/>
    </xf>
    <xf numFmtId="164" fontId="41" fillId="8" borderId="36" xfId="0" applyNumberFormat="1" applyFont="1" applyFill="1" applyBorder="1" applyAlignment="1">
      <alignment horizontal="right"/>
    </xf>
    <xf numFmtId="164" fontId="41" fillId="8" borderId="37" xfId="0" applyNumberFormat="1" applyFont="1" applyFill="1" applyBorder="1" applyAlignment="1">
      <alignment horizontal="right"/>
    </xf>
    <xf numFmtId="0" fontId="41" fillId="0" borderId="16" xfId="0" applyFont="1" applyBorder="1"/>
    <xf numFmtId="0" fontId="41" fillId="2" borderId="22" xfId="0" applyFont="1" applyFill="1" applyBorder="1"/>
    <xf numFmtId="164" fontId="39" fillId="13" borderId="36" xfId="0" applyNumberFormat="1" applyFont="1" applyFill="1" applyBorder="1"/>
    <xf numFmtId="0" fontId="41" fillId="2" borderId="23" xfId="0" applyFont="1" applyFill="1" applyBorder="1"/>
    <xf numFmtId="2" fontId="39" fillId="7" borderId="23" xfId="0" applyNumberFormat="1" applyFont="1" applyFill="1" applyBorder="1"/>
    <xf numFmtId="2" fontId="39" fillId="7" borderId="1" xfId="0" applyNumberFormat="1" applyFont="1" applyFill="1" applyBorder="1"/>
    <xf numFmtId="164" fontId="39" fillId="7" borderId="28" xfId="0" applyNumberFormat="1" applyFont="1" applyFill="1" applyBorder="1" applyAlignment="1">
      <alignment horizontal="right"/>
    </xf>
    <xf numFmtId="2" fontId="39" fillId="7" borderId="3" xfId="0" applyNumberFormat="1" applyFont="1" applyFill="1" applyBorder="1"/>
    <xf numFmtId="164" fontId="39" fillId="7" borderId="36" xfId="0" applyNumberFormat="1" applyFont="1" applyFill="1" applyBorder="1"/>
    <xf numFmtId="2" fontId="39" fillId="7" borderId="22" xfId="0" applyNumberFormat="1" applyFont="1" applyFill="1" applyBorder="1"/>
    <xf numFmtId="2" fontId="39" fillId="7" borderId="7" xfId="0" applyNumberFormat="1" applyFont="1" applyFill="1" applyBorder="1" applyAlignment="1">
      <alignment horizontal="right"/>
    </xf>
    <xf numFmtId="164" fontId="41" fillId="8" borderId="0" xfId="0" applyNumberFormat="1" applyFont="1" applyFill="1" applyBorder="1" applyAlignment="1">
      <alignment horizontal="right"/>
    </xf>
    <xf numFmtId="164" fontId="41" fillId="8" borderId="9" xfId="0" applyNumberFormat="1" applyFont="1" applyFill="1" applyBorder="1" applyAlignment="1">
      <alignment horizontal="right"/>
    </xf>
    <xf numFmtId="164" fontId="41" fillId="2" borderId="16" xfId="0" applyNumberFormat="1" applyFont="1" applyFill="1" applyBorder="1"/>
    <xf numFmtId="164" fontId="39" fillId="8" borderId="21" xfId="0" applyNumberFormat="1" applyFont="1" applyFill="1" applyBorder="1" applyAlignment="1">
      <alignment horizontal="right" vertical="center"/>
    </xf>
    <xf numFmtId="2" fontId="39" fillId="8" borderId="39" xfId="0" applyNumberFormat="1" applyFont="1" applyFill="1" applyBorder="1" applyAlignment="1">
      <alignment horizontal="right" vertical="center"/>
    </xf>
    <xf numFmtId="164" fontId="40" fillId="4" borderId="28" xfId="0" applyNumberFormat="1" applyFont="1" applyFill="1" applyBorder="1" applyAlignment="1">
      <alignment horizontal="right"/>
    </xf>
    <xf numFmtId="164" fontId="41" fillId="0" borderId="29" xfId="37" applyNumberFormat="1" applyFont="1" applyFill="1" applyBorder="1" applyAlignment="1">
      <alignment horizontal="right"/>
    </xf>
    <xf numFmtId="164" fontId="39" fillId="2" borderId="38" xfId="0" applyNumberFormat="1" applyFont="1" applyFill="1" applyBorder="1" applyAlignment="1">
      <alignment horizontal="right"/>
    </xf>
    <xf numFmtId="164" fontId="41" fillId="0" borderId="33" xfId="0" applyNumberFormat="1" applyFont="1" applyFill="1" applyBorder="1" applyAlignment="1">
      <alignment horizontal="right"/>
    </xf>
    <xf numFmtId="164" fontId="41" fillId="0" borderId="29" xfId="0" applyNumberFormat="1" applyFont="1" applyFill="1" applyBorder="1" applyAlignment="1">
      <alignment horizontal="right"/>
    </xf>
    <xf numFmtId="164" fontId="41" fillId="0" borderId="28" xfId="0" applyNumberFormat="1" applyFont="1" applyFill="1" applyBorder="1" applyAlignment="1">
      <alignment horizontal="right"/>
    </xf>
    <xf numFmtId="164" fontId="39" fillId="4" borderId="23" xfId="0" applyNumberFormat="1" applyFont="1" applyFill="1" applyBorder="1"/>
    <xf numFmtId="164" fontId="39" fillId="0" borderId="33" xfId="0" applyNumberFormat="1" applyFont="1" applyFill="1" applyBorder="1" applyAlignment="1">
      <alignment horizontal="right" vertical="center"/>
    </xf>
    <xf numFmtId="164" fontId="29" fillId="2" borderId="32" xfId="41" applyNumberFormat="1" applyFont="1" applyFill="1" applyBorder="1" applyAlignment="1">
      <alignment vertical="center"/>
    </xf>
    <xf numFmtId="164" fontId="17" fillId="2" borderId="68" xfId="41" applyNumberFormat="1" applyFont="1" applyFill="1" applyBorder="1" applyAlignment="1">
      <alignment vertical="center"/>
    </xf>
    <xf numFmtId="164" fontId="17" fillId="2" borderId="8" xfId="41" applyNumberFormat="1" applyFont="1" applyFill="1" applyBorder="1" applyAlignment="1">
      <alignment vertical="center"/>
    </xf>
    <xf numFmtId="164" fontId="39" fillId="2" borderId="31" xfId="0" applyNumberFormat="1" applyFont="1" applyFill="1" applyBorder="1" applyAlignment="1">
      <alignment horizontal="right" vertical="center"/>
    </xf>
    <xf numFmtId="164" fontId="17" fillId="2" borderId="32" xfId="41" applyNumberFormat="1" applyFont="1" applyFill="1" applyBorder="1" applyAlignment="1">
      <alignment vertical="center"/>
    </xf>
    <xf numFmtId="164" fontId="40" fillId="4" borderId="36" xfId="0" applyNumberFormat="1" applyFont="1" applyFill="1" applyBorder="1" applyAlignment="1">
      <alignment horizontal="center" vertical="center"/>
    </xf>
    <xf numFmtId="164" fontId="40" fillId="4" borderId="11" xfId="0" applyNumberFormat="1" applyFont="1" applyFill="1" applyBorder="1" applyAlignment="1">
      <alignment horizontal="center"/>
    </xf>
    <xf numFmtId="164" fontId="40" fillId="4" borderId="36" xfId="0" applyNumberFormat="1" applyFont="1" applyFill="1" applyBorder="1" applyAlignment="1">
      <alignment horizontal="center"/>
    </xf>
    <xf numFmtId="2" fontId="40" fillId="4" borderId="36" xfId="0" applyNumberFormat="1" applyFont="1" applyFill="1" applyBorder="1" applyAlignment="1">
      <alignment horizontal="center"/>
    </xf>
    <xf numFmtId="164" fontId="41" fillId="0" borderId="36" xfId="0" applyNumberFormat="1" applyFont="1" applyFill="1" applyBorder="1"/>
    <xf numFmtId="0" fontId="41" fillId="0" borderId="36" xfId="0" applyFont="1" applyFill="1" applyBorder="1"/>
    <xf numFmtId="164" fontId="41" fillId="2" borderId="7" xfId="0" applyNumberFormat="1" applyFont="1" applyFill="1" applyBorder="1"/>
    <xf numFmtId="0" fontId="41" fillId="2" borderId="7" xfId="0" applyFont="1" applyFill="1" applyBorder="1"/>
    <xf numFmtId="164" fontId="39" fillId="4" borderId="47" xfId="0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 vertical="center"/>
    </xf>
    <xf numFmtId="164" fontId="41" fillId="2" borderId="13" xfId="0" applyNumberFormat="1" applyFont="1" applyFill="1" applyBorder="1" applyAlignment="1">
      <alignment horizontal="right"/>
    </xf>
    <xf numFmtId="175" fontId="39" fillId="4" borderId="7" xfId="0" applyNumberFormat="1" applyFont="1" applyFill="1" applyBorder="1" applyAlignment="1">
      <alignment horizontal="right"/>
    </xf>
    <xf numFmtId="164" fontId="39" fillId="4" borderId="15" xfId="0" applyNumberFormat="1" applyFont="1" applyFill="1" applyBorder="1"/>
    <xf numFmtId="164" fontId="41" fillId="2" borderId="15" xfId="0" applyNumberFormat="1" applyFont="1" applyFill="1" applyBorder="1"/>
    <xf numFmtId="164" fontId="39" fillId="0" borderId="36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/>
    </xf>
    <xf numFmtId="164" fontId="41" fillId="2" borderId="21" xfId="0" applyNumberFormat="1" applyFont="1" applyFill="1" applyBorder="1" applyAlignment="1">
      <alignment horizontal="right"/>
    </xf>
    <xf numFmtId="164" fontId="39" fillId="2" borderId="21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right" vertical="center"/>
    </xf>
    <xf numFmtId="0" fontId="39" fillId="8" borderId="24" xfId="0" applyNumberFormat="1" applyFont="1" applyFill="1" applyBorder="1" applyAlignment="1">
      <alignment horizontal="center" vertical="center"/>
    </xf>
    <xf numFmtId="0" fontId="39" fillId="8" borderId="26" xfId="0" applyNumberFormat="1" applyFont="1" applyFill="1" applyBorder="1" applyAlignment="1">
      <alignment horizontal="center" vertical="center"/>
    </xf>
    <xf numFmtId="0" fontId="39" fillId="8" borderId="25" xfId="0" applyNumberFormat="1" applyFont="1" applyFill="1" applyBorder="1" applyAlignment="1">
      <alignment horizontal="center" vertical="center"/>
    </xf>
    <xf numFmtId="49" fontId="39" fillId="8" borderId="24" xfId="0" applyNumberFormat="1" applyFont="1" applyFill="1" applyBorder="1" applyAlignment="1">
      <alignment horizontal="center" vertical="center"/>
    </xf>
    <xf numFmtId="49" fontId="39" fillId="8" borderId="26" xfId="0" applyNumberFormat="1" applyFont="1" applyFill="1" applyBorder="1" applyAlignment="1">
      <alignment horizontal="center" vertical="center"/>
    </xf>
    <xf numFmtId="49" fontId="39" fillId="8" borderId="25" xfId="0" applyNumberFormat="1" applyFont="1" applyFill="1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8" fillId="5" borderId="1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76" fontId="27" fillId="4" borderId="3" xfId="0" applyNumberFormat="1" applyFont="1" applyFill="1" applyBorder="1" applyAlignment="1">
      <alignment horizontal="center" vertical="center"/>
    </xf>
    <xf numFmtId="176" fontId="27" fillId="4" borderId="22" xfId="0" applyNumberFormat="1" applyFont="1" applyFill="1" applyBorder="1" applyAlignment="1">
      <alignment horizontal="center" vertical="center"/>
    </xf>
    <xf numFmtId="176" fontId="27" fillId="4" borderId="23" xfId="0" applyNumberFormat="1" applyFont="1" applyFill="1" applyBorder="1" applyAlignment="1">
      <alignment horizontal="center" vertical="center"/>
    </xf>
    <xf numFmtId="0" fontId="39" fillId="4" borderId="24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47" fillId="5" borderId="15" xfId="0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2" fontId="24" fillId="9" borderId="19" xfId="0" applyNumberFormat="1" applyFont="1" applyFill="1" applyBorder="1" applyAlignment="1">
      <alignment horizontal="center" vertical="center"/>
    </xf>
    <xf numFmtId="2" fontId="24" fillId="9" borderId="17" xfId="0" applyNumberFormat="1" applyFont="1" applyFill="1" applyBorder="1" applyAlignment="1">
      <alignment horizontal="center" vertical="center"/>
    </xf>
    <xf numFmtId="2" fontId="24" fillId="9" borderId="15" xfId="0" applyNumberFormat="1" applyFont="1" applyFill="1" applyBorder="1" applyAlignment="1">
      <alignment horizontal="center" vertical="center"/>
    </xf>
    <xf numFmtId="2" fontId="24" fillId="9" borderId="36" xfId="0" applyNumberFormat="1" applyFont="1" applyFill="1" applyBorder="1" applyAlignment="1">
      <alignment horizontal="center" vertical="center"/>
    </xf>
    <xf numFmtId="2" fontId="24" fillId="9" borderId="16" xfId="0" applyNumberFormat="1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166" fontId="18" fillId="10" borderId="3" xfId="0" applyNumberFormat="1" applyFont="1" applyFill="1" applyBorder="1" applyAlignment="1" applyProtection="1">
      <alignment horizontal="center" vertical="center"/>
      <protection hidden="1"/>
    </xf>
    <xf numFmtId="166" fontId="18" fillId="10" borderId="23" xfId="0" applyNumberFormat="1" applyFont="1" applyFill="1" applyBorder="1" applyAlignment="1" applyProtection="1">
      <alignment horizontal="center" vertical="center"/>
      <protection hidden="1"/>
    </xf>
    <xf numFmtId="166" fontId="18" fillId="10" borderId="3" xfId="0" applyNumberFormat="1" applyFont="1" applyFill="1" applyBorder="1" applyAlignment="1">
      <alignment horizontal="center" vertical="center"/>
    </xf>
    <xf numFmtId="166" fontId="18" fillId="10" borderId="23" xfId="0" applyNumberFormat="1" applyFont="1" applyFill="1" applyBorder="1" applyAlignment="1">
      <alignment horizontal="center" vertical="center"/>
    </xf>
    <xf numFmtId="0" fontId="20" fillId="10" borderId="66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textRotation="45"/>
    </xf>
    <xf numFmtId="1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45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5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581024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0"/>
          <a:ext cx="838199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581024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49"/>
  <sheetViews>
    <sheetView tabSelected="1" zoomScale="85" zoomScaleNormal="85" workbookViewId="0">
      <pane ySplit="18" topLeftCell="A19" activePane="bottomLeft" state="frozen"/>
      <selection pane="bottomLeft" activeCell="P19" sqref="P19"/>
    </sheetView>
  </sheetViews>
  <sheetFormatPr defaultRowHeight="12.75"/>
  <cols>
    <col min="1" max="3" width="9.140625" style="456" customWidth="1"/>
    <col min="4" max="4" width="44.7109375" style="456" customWidth="1"/>
    <col min="5" max="6" width="14.28515625" style="456" customWidth="1"/>
    <col min="7" max="8" width="15.42578125" style="456" customWidth="1"/>
    <col min="9" max="10" width="14.28515625" style="456" customWidth="1"/>
    <col min="11" max="11" width="13.7109375" style="456" customWidth="1"/>
    <col min="12" max="12" width="10.140625" style="456" customWidth="1"/>
    <col min="13" max="13" width="10.7109375" style="456" customWidth="1"/>
    <col min="14" max="15" width="14.28515625" style="456" customWidth="1"/>
    <col min="16" max="16" width="10.42578125" style="456" customWidth="1"/>
    <col min="17" max="17" width="12.42578125" style="456" customWidth="1"/>
    <col min="18" max="18" width="12" style="456" customWidth="1"/>
    <col min="19" max="20" width="11.7109375" style="456" customWidth="1"/>
    <col min="21" max="21" width="15.7109375" style="456" customWidth="1"/>
    <col min="22" max="16384" width="9.140625" style="456"/>
  </cols>
  <sheetData>
    <row r="1" spans="1:37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</row>
    <row r="2" spans="1:37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</row>
    <row r="3" spans="1:37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</row>
    <row r="4" spans="1:37" hidden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</row>
    <row r="5" spans="1:37" hidden="1">
      <c r="A5" s="341"/>
      <c r="B5" s="341"/>
      <c r="C5" s="341"/>
      <c r="D5" s="365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</row>
    <row r="6" spans="1:37" hidden="1">
      <c r="A6" s="341"/>
      <c r="B6" s="341"/>
      <c r="C6" s="341"/>
      <c r="D6" s="365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</row>
    <row r="7" spans="1:37" hidden="1">
      <c r="A7" s="341"/>
      <c r="B7" s="341"/>
      <c r="C7" s="341"/>
      <c r="D7" s="365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</row>
    <row r="8" spans="1:37" ht="15.75" hidden="1">
      <c r="A8" s="341"/>
      <c r="B8" s="341"/>
      <c r="C8" s="341"/>
      <c r="D8" s="365"/>
      <c r="E8" s="341"/>
      <c r="F8" s="457"/>
      <c r="G8" s="457"/>
      <c r="H8" s="457"/>
      <c r="I8" s="584" t="str">
        <f>IF(MasterSheet!$A$1=1, MasterSheet!C5,MasterSheet!B5)</f>
        <v>CRNA GORA</v>
      </c>
      <c r="J8" s="584"/>
      <c r="K8" s="584"/>
      <c r="L8" s="584"/>
      <c r="M8" s="457"/>
      <c r="N8" s="457"/>
      <c r="O8" s="457"/>
      <c r="P8" s="457"/>
      <c r="Q8" s="457"/>
      <c r="R8" s="457"/>
      <c r="S8" s="457"/>
      <c r="T8" s="457"/>
      <c r="U8" s="457"/>
      <c r="V8" s="341"/>
      <c r="W8" s="341"/>
      <c r="X8" s="341"/>
      <c r="Y8" s="341"/>
      <c r="Z8" s="341"/>
      <c r="AA8" s="365"/>
      <c r="AB8" s="341"/>
      <c r="AC8" s="341"/>
      <c r="AD8" s="341"/>
      <c r="AE8" s="341"/>
      <c r="AF8" s="341"/>
      <c r="AG8" s="341"/>
      <c r="AH8" s="341"/>
      <c r="AI8" s="341"/>
      <c r="AJ8" s="341"/>
      <c r="AK8" s="341"/>
    </row>
    <row r="9" spans="1:37" ht="15.75" hidden="1">
      <c r="A9" s="341"/>
      <c r="B9" s="341"/>
      <c r="C9" s="341"/>
      <c r="D9" s="458"/>
      <c r="E9" s="341"/>
      <c r="F9" s="341"/>
      <c r="G9" s="341"/>
      <c r="H9" s="584" t="str">
        <f>IF(MasterSheet!$A$1=1, MasterSheet!C6,MasterSheet!B6)</f>
        <v>MINISTARSTVO FINANSIJA</v>
      </c>
      <c r="I9" s="584"/>
      <c r="J9" s="584"/>
      <c r="K9" s="584"/>
      <c r="L9" s="584"/>
      <c r="M9" s="584"/>
      <c r="N9" s="459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341"/>
      <c r="AA9" s="365"/>
      <c r="AB9" s="341"/>
      <c r="AC9" s="341"/>
      <c r="AD9" s="341"/>
      <c r="AE9" s="341"/>
      <c r="AF9" s="341"/>
      <c r="AG9" s="341"/>
      <c r="AH9" s="341"/>
      <c r="AI9" s="341"/>
      <c r="AJ9" s="341"/>
      <c r="AK9" s="341"/>
    </row>
    <row r="10" spans="1:37" hidden="1">
      <c r="A10" s="341"/>
      <c r="B10" s="341"/>
      <c r="C10" s="341"/>
      <c r="D10" s="365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65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</row>
    <row r="11" spans="1:37" hidden="1">
      <c r="A11" s="341"/>
      <c r="B11" s="341"/>
      <c r="C11" s="341"/>
      <c r="D11" s="365"/>
      <c r="E11" s="341"/>
      <c r="F11" s="365"/>
      <c r="G11" s="365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65"/>
      <c r="S11" s="365"/>
      <c r="T11" s="365"/>
      <c r="U11" s="341"/>
      <c r="V11" s="341"/>
      <c r="W11" s="341"/>
      <c r="X11" s="341"/>
      <c r="Y11" s="341"/>
      <c r="Z11" s="341"/>
      <c r="AA11" s="365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</row>
    <row r="12" spans="1:37" hidden="1">
      <c r="A12" s="341"/>
      <c r="B12" s="341"/>
      <c r="C12" s="341"/>
      <c r="D12" s="365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65"/>
      <c r="Q12" s="365"/>
      <c r="R12" s="365"/>
      <c r="S12" s="365"/>
      <c r="T12" s="365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</row>
    <row r="13" spans="1:37" ht="15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1"/>
      <c r="K13" s="365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</row>
    <row r="14" spans="1:37" ht="15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</row>
    <row r="15" spans="1:37" ht="15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</row>
    <row r="16" spans="1:37" ht="15" customHeight="1" thickBo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65"/>
      <c r="U16" s="365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</row>
    <row r="17" spans="1:37" ht="21" customHeight="1" thickTop="1">
      <c r="A17" s="341"/>
      <c r="B17" s="341"/>
      <c r="C17" s="341"/>
      <c r="D17" s="582" t="str">
        <f>IF(MasterSheet!$A$1=1,MasterSheet!B430,MasterSheet!B429)</f>
        <v>Analitika ostvarenja</v>
      </c>
      <c r="E17" s="576" t="s">
        <v>430</v>
      </c>
      <c r="F17" s="577"/>
      <c r="G17" s="577"/>
      <c r="H17" s="577"/>
      <c r="I17" s="577"/>
      <c r="J17" s="577"/>
      <c r="K17" s="578"/>
      <c r="L17" s="579" t="s">
        <v>431</v>
      </c>
      <c r="M17" s="580"/>
      <c r="N17" s="580"/>
      <c r="O17" s="580"/>
      <c r="P17" s="580"/>
      <c r="Q17" s="580"/>
      <c r="R17" s="581"/>
      <c r="S17" s="460"/>
      <c r="T17" s="460"/>
      <c r="U17" s="460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</row>
    <row r="18" spans="1:37" ht="39" thickBot="1">
      <c r="A18" s="341"/>
      <c r="B18" s="341"/>
      <c r="C18" s="341"/>
      <c r="D18" s="583"/>
      <c r="E18" s="461" t="s">
        <v>336</v>
      </c>
      <c r="F18" s="462" t="str">
        <f>IF(MasterSheet!$A$1=1,MasterSheet!$C$430,MasterSheet!$C$429)</f>
        <v>Ostvarenje</v>
      </c>
      <c r="G18" s="463" t="s">
        <v>396</v>
      </c>
      <c r="H18" s="464" t="str">
        <f>+CONCATENATE(E17," / ", E17, " plan")</f>
        <v>Jan - Mar 2014 / Jan - Mar 2014 plan</v>
      </c>
      <c r="I18" s="465" t="str">
        <f>+CONCATENATE(LEFT(E17,9)," 2013")</f>
        <v>Jan - Mar 2013</v>
      </c>
      <c r="J18" s="463" t="s">
        <v>397</v>
      </c>
      <c r="K18" s="464" t="str">
        <f>+CONCATENATE(E17, " / ", I18)</f>
        <v>Jan - Mar 2014 / Jan - Mar 2013</v>
      </c>
      <c r="L18" s="466" t="s">
        <v>336</v>
      </c>
      <c r="M18" s="465" t="str">
        <f>IF(MasterSheet!$A$1=1,MasterSheet!$C$430,MasterSheet!$C$429)</f>
        <v>Ostvarenje</v>
      </c>
      <c r="N18" s="463" t="s">
        <v>396</v>
      </c>
      <c r="O18" s="467" t="str">
        <f>+CONCATENATE(L17," /    ", L17, " plan")</f>
        <v>Mar 2014 /    Mar 2014 plan</v>
      </c>
      <c r="P18" s="465" t="str">
        <f>+CONCATENATE(LEFT(L17,4),"2013")</f>
        <v>Mar 2013</v>
      </c>
      <c r="Q18" s="463" t="s">
        <v>397</v>
      </c>
      <c r="R18" s="467" t="str">
        <f>+CONCATENATE(L17, "  / ", P18)</f>
        <v>Mar 2014  / Mar 2013</v>
      </c>
      <c r="S18" s="468"/>
      <c r="T18" s="468"/>
      <c r="U18" s="468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</row>
    <row r="19" spans="1:37" ht="15" customHeight="1" thickTop="1" thickBot="1">
      <c r="A19" s="341"/>
      <c r="B19" s="341"/>
      <c r="C19" s="341"/>
      <c r="D19" s="469" t="str">
        <f>IF(MasterSheet!$A$1=1,MasterSheet!C337,MasterSheet!B337)</f>
        <v>Izvorni prihodi</v>
      </c>
      <c r="E19" s="470">
        <f>+SUM('2014 - plan'!D19:F19)</f>
        <v>231506168.90740538</v>
      </c>
      <c r="F19" s="470">
        <f>+'2014 - execution '!P18</f>
        <v>252509792.65000004</v>
      </c>
      <c r="G19" s="471">
        <f>+F19-E19</f>
        <v>21003623.742594659</v>
      </c>
      <c r="H19" s="472">
        <f>+F19/E19*100</f>
        <v>109.07259786714167</v>
      </c>
      <c r="I19" s="470">
        <f>+SUM('2013 - execution'!D18:F18)</f>
        <v>218727151.47</v>
      </c>
      <c r="J19" s="471">
        <f>+F19-I19</f>
        <v>33782641.180000037</v>
      </c>
      <c r="K19" s="472">
        <f>F19/I19*100</f>
        <v>115.44510635874741</v>
      </c>
      <c r="L19" s="470">
        <f>+'2014 - plan'!F19</f>
        <v>89318688.151918903</v>
      </c>
      <c r="M19" s="470">
        <f>+'2014 - execution '!F18</f>
        <v>100495765.61000001</v>
      </c>
      <c r="N19" s="471">
        <f>+M19-L19</f>
        <v>11177077.458081111</v>
      </c>
      <c r="O19" s="473">
        <f>+M19/L19*100-100</f>
        <v>12.513705350296249</v>
      </c>
      <c r="P19" s="470">
        <f>+'2013 - execution'!F18</f>
        <v>88296245.580000013</v>
      </c>
      <c r="Q19" s="471">
        <f>+M19-P19</f>
        <v>12199520.030000001</v>
      </c>
      <c r="R19" s="473">
        <f>M19/P19*100-100</f>
        <v>13.816578439846268</v>
      </c>
      <c r="S19" s="474"/>
      <c r="T19" s="474"/>
      <c r="U19" s="474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</row>
    <row r="20" spans="1:37" ht="15" customHeight="1" thickTop="1">
      <c r="A20" s="341"/>
      <c r="B20" s="341"/>
      <c r="C20" s="341"/>
      <c r="D20" s="349" t="str">
        <f>IF(MasterSheet!$A$1=1,MasterSheet!C338,MasterSheet!B338)</f>
        <v>Porezi</v>
      </c>
      <c r="E20" s="475">
        <f>+SUM('2014 - plan'!D20:F20)</f>
        <v>150029455.18085787</v>
      </c>
      <c r="F20" s="475">
        <f>+'2014 - execution '!P19</f>
        <v>164263222.46000001</v>
      </c>
      <c r="G20" s="476">
        <f>+F20-E20</f>
        <v>14233767.279142141</v>
      </c>
      <c r="H20" s="477">
        <f t="shared" ref="H20:H87" si="0">+F20/E20*100</f>
        <v>109.48731518219779</v>
      </c>
      <c r="I20" s="475">
        <f>+SUM('2013 - execution'!D19:F19)</f>
        <v>135661712.16</v>
      </c>
      <c r="J20" s="476">
        <f t="shared" ref="J20:J66" si="1">+F20-I20</f>
        <v>28601510.300000012</v>
      </c>
      <c r="K20" s="478">
        <f t="shared" ref="K20:K66" si="2">F20/I20*100</f>
        <v>121.08296426796331</v>
      </c>
      <c r="L20" s="475">
        <f>+'2014 - plan'!F20</f>
        <v>55661924.949411348</v>
      </c>
      <c r="M20" s="475">
        <f>+'2014 - execution '!F19</f>
        <v>66983401.860000007</v>
      </c>
      <c r="N20" s="479">
        <f t="shared" ref="N20:N86" si="3">+M20-L20</f>
        <v>11321476.910588659</v>
      </c>
      <c r="O20" s="480">
        <f t="shared" ref="O20:O83" si="4">+M20/L20*100-100</f>
        <v>20.339715022213568</v>
      </c>
      <c r="P20" s="475">
        <f>+'2013 - execution'!F19</f>
        <v>53935470.890000008</v>
      </c>
      <c r="Q20" s="476">
        <f t="shared" ref="Q20:Q86" si="5">+M20-P20</f>
        <v>13047930.969999999</v>
      </c>
      <c r="R20" s="480">
        <f t="shared" ref="R20:R83" si="6">M20/P20*100-100</f>
        <v>24.191743864832318</v>
      </c>
      <c r="S20" s="474"/>
      <c r="T20" s="474"/>
      <c r="U20" s="474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</row>
    <row r="21" spans="1:37" ht="15" customHeight="1">
      <c r="A21" s="341"/>
      <c r="B21" s="341"/>
      <c r="C21" s="341"/>
      <c r="D21" s="352" t="str">
        <f>IF(MasterSheet!$A$1=1,MasterSheet!C339,MasterSheet!B339)</f>
        <v>Porez na dohodak fizičkih lica</v>
      </c>
      <c r="E21" s="481">
        <f>+SUM('2014 - plan'!D21:F21)</f>
        <v>18817517.070446387</v>
      </c>
      <c r="F21" s="481">
        <f>+'2014 - execution '!P20</f>
        <v>18480753.43</v>
      </c>
      <c r="G21" s="482">
        <f t="shared" ref="G21:G86" si="7">+F21-E21</f>
        <v>-336763.64044638723</v>
      </c>
      <c r="H21" s="483">
        <f t="shared" si="0"/>
        <v>98.210371542719173</v>
      </c>
      <c r="I21" s="481">
        <f>+SUM('2013 - execution'!D20:F20)</f>
        <v>15752735.609999999</v>
      </c>
      <c r="J21" s="484">
        <f t="shared" si="1"/>
        <v>2728017.8200000003</v>
      </c>
      <c r="K21" s="485">
        <f t="shared" si="2"/>
        <v>117.31774015345135</v>
      </c>
      <c r="L21" s="481">
        <f>+'2014 - plan'!F21</f>
        <v>6676953.4988943152</v>
      </c>
      <c r="M21" s="481">
        <f>+'2014 - execution '!F20</f>
        <v>8194536.0300000003</v>
      </c>
      <c r="N21" s="484">
        <f t="shared" si="3"/>
        <v>1517582.531105685</v>
      </c>
      <c r="O21" s="486">
        <f t="shared" si="4"/>
        <v>22.728667068850967</v>
      </c>
      <c r="P21" s="481">
        <f>+'2013 - execution'!F20</f>
        <v>6649607.6900000004</v>
      </c>
      <c r="Q21" s="482">
        <f t="shared" si="5"/>
        <v>1544928.3399999999</v>
      </c>
      <c r="R21" s="486">
        <f t="shared" si="6"/>
        <v>23.233375742201119</v>
      </c>
      <c r="S21" s="387"/>
      <c r="T21" s="387"/>
      <c r="U21" s="387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</row>
    <row r="22" spans="1:37" ht="15" customHeight="1">
      <c r="A22" s="341"/>
      <c r="B22" s="341"/>
      <c r="C22" s="341"/>
      <c r="D22" s="352" t="str">
        <f>IF(MasterSheet!$A$1=1,MasterSheet!C340,MasterSheet!B340)</f>
        <v>Porez na dobit pravnih lica</v>
      </c>
      <c r="E22" s="481">
        <f>+SUM('2014 - plan'!D22:F22)</f>
        <v>7254668.0881606936</v>
      </c>
      <c r="F22" s="481">
        <f>+'2014 - execution '!P21</f>
        <v>14603148.550000001</v>
      </c>
      <c r="G22" s="482">
        <f t="shared" si="7"/>
        <v>7348480.4618393071</v>
      </c>
      <c r="H22" s="483">
        <f t="shared" si="0"/>
        <v>201.29313116104802</v>
      </c>
      <c r="I22" s="481">
        <f>+SUM('2013 - execution'!D21:F21)</f>
        <v>6640752.5899999999</v>
      </c>
      <c r="J22" s="484">
        <f t="shared" si="1"/>
        <v>7962395.9600000009</v>
      </c>
      <c r="K22" s="485">
        <f t="shared" si="2"/>
        <v>219.90201188928799</v>
      </c>
      <c r="L22" s="481">
        <f>+'2014 - plan'!F22</f>
        <v>5559762.3725619148</v>
      </c>
      <c r="M22" s="481">
        <f>+'2014 - execution '!F21</f>
        <v>12105724.380000001</v>
      </c>
      <c r="N22" s="484">
        <f t="shared" si="3"/>
        <v>6545962.007438086</v>
      </c>
      <c r="O22" s="486">
        <f t="shared" si="4"/>
        <v>117.73816161178368</v>
      </c>
      <c r="P22" s="481">
        <f>+'2013 - execution'!F21</f>
        <v>5089275.75</v>
      </c>
      <c r="Q22" s="482">
        <f t="shared" si="5"/>
        <v>7016448.6300000008</v>
      </c>
      <c r="R22" s="486">
        <f t="shared" si="6"/>
        <v>137.8673307297212</v>
      </c>
      <c r="S22" s="387"/>
      <c r="T22" s="387"/>
      <c r="U22" s="387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</row>
    <row r="23" spans="1:37" ht="15" customHeight="1">
      <c r="A23" s="341"/>
      <c r="B23" s="341"/>
      <c r="C23" s="341"/>
      <c r="D23" s="352" t="str">
        <f>IF(MasterSheet!$A$1=1,MasterSheet!C341,MasterSheet!B341)</f>
        <v>Porez na imovinu</v>
      </c>
      <c r="E23" s="481">
        <f>+SUM('2014 - plan'!D23:F23)</f>
        <v>399102.84175984538</v>
      </c>
      <c r="F23" s="481">
        <f>+'2014 - execution '!P22</f>
        <v>357419.75</v>
      </c>
      <c r="G23" s="482">
        <f t="shared" si="7"/>
        <v>-41683.091759845382</v>
      </c>
      <c r="H23" s="483">
        <f t="shared" si="0"/>
        <v>89.555801813877437</v>
      </c>
      <c r="I23" s="481">
        <f>+SUM('2013 - execution'!D22:F22)</f>
        <v>372237.01</v>
      </c>
      <c r="J23" s="484">
        <f t="shared" si="1"/>
        <v>-14817.260000000009</v>
      </c>
      <c r="K23" s="485">
        <f t="shared" si="2"/>
        <v>96.019401724723721</v>
      </c>
      <c r="L23" s="481">
        <f>+'2014 - plan'!F23</f>
        <v>141910.48385757531</v>
      </c>
      <c r="M23" s="481">
        <f>+'2014 - execution '!F22</f>
        <v>147063.39000000001</v>
      </c>
      <c r="N23" s="484">
        <f t="shared" si="3"/>
        <v>5152.9061424247047</v>
      </c>
      <c r="O23" s="486">
        <f t="shared" si="4"/>
        <v>3.6310961687624683</v>
      </c>
      <c r="P23" s="481">
        <f>+'2013 - execution'!F22</f>
        <v>132357.70000000001</v>
      </c>
      <c r="Q23" s="482">
        <f t="shared" si="5"/>
        <v>14705.690000000002</v>
      </c>
      <c r="R23" s="486">
        <f t="shared" si="6"/>
        <v>11.110566291194246</v>
      </c>
      <c r="S23" s="387"/>
      <c r="T23" s="387"/>
      <c r="U23" s="387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</row>
    <row r="24" spans="1:37" ht="15" customHeight="1">
      <c r="A24" s="341"/>
      <c r="B24" s="341"/>
      <c r="C24" s="341"/>
      <c r="D24" s="352" t="str">
        <f>IF(MasterSheet!$A$1=1,MasterSheet!C342,MasterSheet!B342)</f>
        <v>Porez na dodatu vrijednost</v>
      </c>
      <c r="E24" s="481">
        <f>+SUM('2014 - plan'!D24:F24)</f>
        <v>87295366.753121018</v>
      </c>
      <c r="F24" s="481">
        <f>+'2014 - execution '!P23</f>
        <v>98253466.519999996</v>
      </c>
      <c r="G24" s="482">
        <f t="shared" si="7"/>
        <v>10958099.766878977</v>
      </c>
      <c r="H24" s="483">
        <f t="shared" si="0"/>
        <v>112.55289962624184</v>
      </c>
      <c r="I24" s="481">
        <f>+SUM('2013 - execution'!D23:F23)</f>
        <v>79101769.140000001</v>
      </c>
      <c r="J24" s="484">
        <f t="shared" si="1"/>
        <v>19151697.379999995</v>
      </c>
      <c r="K24" s="485">
        <f t="shared" si="2"/>
        <v>124.21146529112887</v>
      </c>
      <c r="L24" s="481">
        <f>+'2014 - plan'!F24</f>
        <v>31780100.537285</v>
      </c>
      <c r="M24" s="481">
        <f>+'2014 - execution '!F23</f>
        <v>34924206.759999998</v>
      </c>
      <c r="N24" s="484">
        <f t="shared" si="3"/>
        <v>3144106.2227149978</v>
      </c>
      <c r="O24" s="486">
        <f t="shared" si="4"/>
        <v>9.8933174205231751</v>
      </c>
      <c r="P24" s="481">
        <f>+'2013 - execution'!F23</f>
        <v>29494568</v>
      </c>
      <c r="Q24" s="482">
        <f t="shared" si="5"/>
        <v>5429638.7599999979</v>
      </c>
      <c r="R24" s="486">
        <f t="shared" si="6"/>
        <v>18.408944860626548</v>
      </c>
      <c r="S24" s="387"/>
      <c r="T24" s="387"/>
      <c r="U24" s="387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</row>
    <row r="25" spans="1:37" ht="15" customHeight="1">
      <c r="A25" s="341"/>
      <c r="B25" s="341"/>
      <c r="C25" s="341"/>
      <c r="D25" s="352" t="str">
        <f>IF(MasterSheet!$A$1=1,MasterSheet!C343,MasterSheet!B343)</f>
        <v xml:space="preserve">Akcize </v>
      </c>
      <c r="E25" s="481">
        <f>+SUM('2014 - plan'!D25:F25)</f>
        <v>30787023.238103144</v>
      </c>
      <c r="F25" s="481">
        <f>+'2014 - execution '!P24</f>
        <v>27640146.18</v>
      </c>
      <c r="G25" s="482">
        <f t="shared" si="7"/>
        <v>-3146877.0581031442</v>
      </c>
      <c r="H25" s="483">
        <f t="shared" si="0"/>
        <v>89.77856016229444</v>
      </c>
      <c r="I25" s="481">
        <f>+SUM('2013 - execution'!D24:F24)</f>
        <v>28599206.859999999</v>
      </c>
      <c r="J25" s="484">
        <f t="shared" si="1"/>
        <v>-959060.6799999997</v>
      </c>
      <c r="K25" s="485">
        <f t="shared" si="2"/>
        <v>96.646547980526748</v>
      </c>
      <c r="L25" s="481">
        <f>+'2014 - plan'!F25</f>
        <v>9169040.4450272899</v>
      </c>
      <c r="M25" s="481">
        <f>+'2014 - execution '!F24</f>
        <v>9529436.2400000002</v>
      </c>
      <c r="N25" s="484">
        <f t="shared" si="3"/>
        <v>360395.79497271031</v>
      </c>
      <c r="O25" s="486">
        <f t="shared" si="4"/>
        <v>3.930572638799589</v>
      </c>
      <c r="P25" s="481">
        <f>+'2013 - execution'!F24</f>
        <v>10357645.699999999</v>
      </c>
      <c r="Q25" s="482">
        <f t="shared" si="5"/>
        <v>-828209.45999999903</v>
      </c>
      <c r="R25" s="486">
        <f t="shared" si="6"/>
        <v>-7.9961169168008723</v>
      </c>
      <c r="S25" s="387"/>
      <c r="T25" s="387"/>
      <c r="U25" s="387"/>
      <c r="V25" s="341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341"/>
      <c r="AH25" s="341"/>
      <c r="AI25" s="341"/>
      <c r="AJ25" s="341"/>
      <c r="AK25" s="341"/>
    </row>
    <row r="26" spans="1:37" ht="15" customHeight="1">
      <c r="A26" s="341"/>
      <c r="B26" s="341"/>
      <c r="C26" s="341"/>
      <c r="D26" s="352" t="str">
        <f>IF(MasterSheet!$A$1=1,MasterSheet!C344,MasterSheet!B344)</f>
        <v>Porez na međ. trgov. i transakcije</v>
      </c>
      <c r="E26" s="481">
        <f>+SUM('2014 - plan'!D26:F26)</f>
        <v>4559610.4571016524</v>
      </c>
      <c r="F26" s="481">
        <f>+'2014 - execution '!P25</f>
        <v>3897133.5</v>
      </c>
      <c r="G26" s="482">
        <f t="shared" si="7"/>
        <v>-662476.9571016524</v>
      </c>
      <c r="H26" s="483">
        <f t="shared" si="0"/>
        <v>85.470755378459231</v>
      </c>
      <c r="I26" s="481">
        <f>+SUM('2013 - execution'!D25:F25)</f>
        <v>4277994.3899999997</v>
      </c>
      <c r="J26" s="484">
        <f t="shared" si="1"/>
        <v>-380860.88999999966</v>
      </c>
      <c r="K26" s="485">
        <f t="shared" si="2"/>
        <v>91.097209222848008</v>
      </c>
      <c r="L26" s="481">
        <f>+'2014 - plan'!F26</f>
        <v>1982854.7670731111</v>
      </c>
      <c r="M26" s="481">
        <f>+'2014 - execution '!F25</f>
        <v>1639263.5</v>
      </c>
      <c r="N26" s="484">
        <f t="shared" si="3"/>
        <v>-343591.26707311114</v>
      </c>
      <c r="O26" s="486">
        <f t="shared" si="4"/>
        <v>-17.328110599864345</v>
      </c>
      <c r="P26" s="481">
        <f>+'2013 - execution'!F25</f>
        <v>1860387.34</v>
      </c>
      <c r="Q26" s="482">
        <f t="shared" si="5"/>
        <v>-221123.84000000008</v>
      </c>
      <c r="R26" s="486">
        <f t="shared" si="6"/>
        <v>-11.885903287215456</v>
      </c>
      <c r="S26" s="387"/>
      <c r="T26" s="387"/>
      <c r="U26" s="387"/>
      <c r="V26" s="341"/>
      <c r="W26" s="488"/>
      <c r="X26" s="488"/>
      <c r="Y26" s="489"/>
      <c r="Z26" s="488"/>
      <c r="AA26" s="489"/>
      <c r="AB26" s="488"/>
      <c r="AC26" s="488"/>
      <c r="AD26" s="489"/>
      <c r="AE26" s="488"/>
      <c r="AF26" s="489"/>
      <c r="AG26" s="341"/>
      <c r="AH26" s="341"/>
      <c r="AI26" s="341"/>
      <c r="AJ26" s="341"/>
      <c r="AK26" s="341"/>
    </row>
    <row r="27" spans="1:37" ht="15" customHeight="1">
      <c r="A27" s="341"/>
      <c r="B27" s="341"/>
      <c r="C27" s="341"/>
      <c r="D27" s="352" t="str">
        <f>IF(MasterSheet!$A$1=1,MasterSheet!C345,MasterSheet!B345)</f>
        <v>Ostali republički porezi</v>
      </c>
      <c r="E27" s="481">
        <f>+SUM('2014 - plan'!D27:F27)</f>
        <v>916166.73216512497</v>
      </c>
      <c r="F27" s="481">
        <f>+'2014 - execution '!P26</f>
        <v>1031154.53</v>
      </c>
      <c r="G27" s="482">
        <f t="shared" si="7"/>
        <v>114987.79783487506</v>
      </c>
      <c r="H27" s="483">
        <f t="shared" si="0"/>
        <v>112.55096848617619</v>
      </c>
      <c r="I27" s="481">
        <f>+SUM('2013 - execution'!D26:F26)</f>
        <v>917016.56</v>
      </c>
      <c r="J27" s="484">
        <f t="shared" si="1"/>
        <v>114137.96999999997</v>
      </c>
      <c r="K27" s="485">
        <f t="shared" si="2"/>
        <v>112.44666399481378</v>
      </c>
      <c r="L27" s="481">
        <f>+'2014 - plan'!F27</f>
        <v>351302.84471213742</v>
      </c>
      <c r="M27" s="481">
        <f>+'2014 - execution '!F26</f>
        <v>443171.56</v>
      </c>
      <c r="N27" s="484">
        <f t="shared" si="3"/>
        <v>91868.715287862578</v>
      </c>
      <c r="O27" s="486">
        <f t="shared" si="4"/>
        <v>26.150860054418601</v>
      </c>
      <c r="P27" s="481">
        <f>+'2013 - execution'!F26</f>
        <v>351628.71</v>
      </c>
      <c r="Q27" s="482">
        <f t="shared" si="5"/>
        <v>91542.849999999977</v>
      </c>
      <c r="R27" s="486">
        <f t="shared" si="6"/>
        <v>26.033952119552467</v>
      </c>
      <c r="S27" s="387"/>
      <c r="T27" s="387"/>
      <c r="U27" s="387"/>
      <c r="V27" s="341"/>
      <c r="W27" s="490"/>
      <c r="X27" s="490"/>
      <c r="Y27" s="489"/>
      <c r="Z27" s="490"/>
      <c r="AA27" s="489"/>
      <c r="AB27" s="490"/>
      <c r="AC27" s="490"/>
      <c r="AD27" s="489"/>
      <c r="AE27" s="490"/>
      <c r="AF27" s="489"/>
      <c r="AG27" s="341"/>
      <c r="AH27" s="341"/>
      <c r="AI27" s="341"/>
      <c r="AJ27" s="341"/>
      <c r="AK27" s="341"/>
    </row>
    <row r="28" spans="1:37" ht="15" customHeight="1">
      <c r="A28" s="341"/>
      <c r="B28" s="341"/>
      <c r="C28" s="341"/>
      <c r="D28" s="355" t="str">
        <f>IF(MasterSheet!$A$1=1,MasterSheet!C346,MasterSheet!B346)</f>
        <v>Doprinosi</v>
      </c>
      <c r="E28" s="481">
        <f>+SUM('2014 - plan'!D28:F28)</f>
        <v>68593570.410744473</v>
      </c>
      <c r="F28" s="475">
        <f>+'2014 - execution '!P27</f>
        <v>75014333.820000008</v>
      </c>
      <c r="G28" s="476">
        <f t="shared" si="7"/>
        <v>6420763.4092555344</v>
      </c>
      <c r="H28" s="477">
        <f t="shared" si="0"/>
        <v>109.36059075334236</v>
      </c>
      <c r="I28" s="481">
        <f>+SUM('2013 - execution'!D27:F27)</f>
        <v>68623195.439999998</v>
      </c>
      <c r="J28" s="479">
        <f t="shared" si="1"/>
        <v>6391138.3800000101</v>
      </c>
      <c r="K28" s="491">
        <f t="shared" si="2"/>
        <v>109.31337915557727</v>
      </c>
      <c r="L28" s="481">
        <f>+'2014 - plan'!F28</f>
        <v>28929880.111931738</v>
      </c>
      <c r="M28" s="481">
        <f>+'2014 - execution '!F27</f>
        <v>29711005.169999998</v>
      </c>
      <c r="N28" s="479">
        <f t="shared" si="3"/>
        <v>781125.05806826055</v>
      </c>
      <c r="O28" s="480">
        <f t="shared" si="4"/>
        <v>2.7000632392738311</v>
      </c>
      <c r="P28" s="481">
        <f>+'2013 - execution'!F27</f>
        <v>28945916.93</v>
      </c>
      <c r="Q28" s="476">
        <f t="shared" si="5"/>
        <v>765088.23999999836</v>
      </c>
      <c r="R28" s="480">
        <f t="shared" si="6"/>
        <v>2.6431646364847126</v>
      </c>
      <c r="S28" s="474"/>
      <c r="T28" s="474"/>
      <c r="U28" s="474"/>
      <c r="V28" s="341"/>
      <c r="W28" s="492"/>
      <c r="X28" s="492"/>
      <c r="Y28" s="493"/>
      <c r="Z28" s="492"/>
      <c r="AA28" s="493"/>
      <c r="AB28" s="492"/>
      <c r="AC28" s="492"/>
      <c r="AD28" s="493"/>
      <c r="AE28" s="492"/>
      <c r="AF28" s="493"/>
      <c r="AG28" s="341"/>
      <c r="AH28" s="341"/>
      <c r="AI28" s="341"/>
      <c r="AJ28" s="341"/>
      <c r="AK28" s="341"/>
    </row>
    <row r="29" spans="1:37" ht="15" customHeight="1">
      <c r="A29" s="341"/>
      <c r="B29" s="341"/>
      <c r="C29" s="341"/>
      <c r="D29" s="352" t="str">
        <f>IF(MasterSheet!$A$1=1,MasterSheet!C347,MasterSheet!B347)</f>
        <v>Doprinosi za PIO</v>
      </c>
      <c r="E29" s="481">
        <f>+SUM('2014 - plan'!D29:F29)</f>
        <v>39073248.055810295</v>
      </c>
      <c r="F29" s="481">
        <f>+'2014 - execution '!P28</f>
        <v>46630224.140000001</v>
      </c>
      <c r="G29" s="482">
        <f t="shared" si="7"/>
        <v>7556976.0841897056</v>
      </c>
      <c r="H29" s="483">
        <f t="shared" si="0"/>
        <v>119.34053722228491</v>
      </c>
      <c r="I29" s="481">
        <f>+SUM('2013 - execution'!D28:F28)</f>
        <v>40248853.579999998</v>
      </c>
      <c r="J29" s="484">
        <f t="shared" si="1"/>
        <v>6381370.5600000024</v>
      </c>
      <c r="K29" s="485">
        <f t="shared" si="2"/>
        <v>115.85478837879486</v>
      </c>
      <c r="L29" s="481">
        <f>+'2014 - plan'!F29</f>
        <v>16569177.415611617</v>
      </c>
      <c r="M29" s="481">
        <f>+'2014 - execution '!F28</f>
        <v>17730616.32</v>
      </c>
      <c r="N29" s="484">
        <f t="shared" si="3"/>
        <v>1161438.904388383</v>
      </c>
      <c r="O29" s="486">
        <f t="shared" si="4"/>
        <v>7.0096352718998816</v>
      </c>
      <c r="P29" s="481">
        <f>+'2013 - execution'!F28</f>
        <v>17067697.949999999</v>
      </c>
      <c r="Q29" s="482">
        <f t="shared" si="5"/>
        <v>662918.37000000104</v>
      </c>
      <c r="R29" s="486">
        <f t="shared" si="6"/>
        <v>3.8840526235115505</v>
      </c>
      <c r="S29" s="387"/>
      <c r="T29" s="387"/>
      <c r="U29" s="387"/>
      <c r="V29" s="341"/>
      <c r="W29" s="492"/>
      <c r="X29" s="492"/>
      <c r="Y29" s="493"/>
      <c r="Z29" s="492"/>
      <c r="AA29" s="493"/>
      <c r="AB29" s="492"/>
      <c r="AC29" s="492"/>
      <c r="AD29" s="493"/>
      <c r="AE29" s="492"/>
      <c r="AF29" s="493"/>
      <c r="AG29" s="341"/>
      <c r="AH29" s="341"/>
      <c r="AI29" s="341"/>
      <c r="AJ29" s="341"/>
      <c r="AK29" s="341"/>
    </row>
    <row r="30" spans="1:37" ht="15" customHeight="1">
      <c r="A30" s="341"/>
      <c r="B30" s="341"/>
      <c r="C30" s="341"/>
      <c r="D30" s="352" t="str">
        <f>IF(MasterSheet!$A$1=1,MasterSheet!C348,MasterSheet!B348)</f>
        <v>Doprinosi za zdravstvo</v>
      </c>
      <c r="E30" s="481">
        <f>+SUM('2014 - plan'!D30:F30)</f>
        <v>25243584.64207723</v>
      </c>
      <c r="F30" s="481">
        <f>+'2014 - execution '!P29</f>
        <v>24791584.289999999</v>
      </c>
      <c r="G30" s="482">
        <f t="shared" si="7"/>
        <v>-452000.35207723081</v>
      </c>
      <c r="H30" s="483">
        <f t="shared" si="0"/>
        <v>98.209444662927098</v>
      </c>
      <c r="I30" s="481">
        <f>+SUM('2013 - execution'!D29:F29)</f>
        <v>24522070.140000001</v>
      </c>
      <c r="J30" s="484">
        <f t="shared" si="1"/>
        <v>269514.14999999851</v>
      </c>
      <c r="K30" s="485">
        <f t="shared" si="2"/>
        <v>101.0990676907019</v>
      </c>
      <c r="L30" s="481">
        <f>+'2014 - plan'!F30</f>
        <v>10560309.670724479</v>
      </c>
      <c r="M30" s="481">
        <f>+'2014 - execution '!F29</f>
        <v>10464094.869999999</v>
      </c>
      <c r="N30" s="484">
        <f t="shared" si="3"/>
        <v>-96214.800724480301</v>
      </c>
      <c r="O30" s="486">
        <f t="shared" si="4"/>
        <v>-0.91109828901333856</v>
      </c>
      <c r="P30" s="481">
        <f>+'2013 - execution'!F29</f>
        <v>10258473.91</v>
      </c>
      <c r="Q30" s="482">
        <f t="shared" si="5"/>
        <v>205620.95999999903</v>
      </c>
      <c r="R30" s="486">
        <f t="shared" si="6"/>
        <v>2.0044010620289043</v>
      </c>
      <c r="S30" s="387"/>
      <c r="T30" s="387"/>
      <c r="U30" s="387"/>
      <c r="V30" s="341"/>
      <c r="W30" s="492"/>
      <c r="X30" s="492"/>
      <c r="Y30" s="493"/>
      <c r="Z30" s="492"/>
      <c r="AA30" s="493"/>
      <c r="AB30" s="492"/>
      <c r="AC30" s="492"/>
      <c r="AD30" s="493"/>
      <c r="AE30" s="492"/>
      <c r="AF30" s="493"/>
      <c r="AG30" s="341"/>
      <c r="AH30" s="341"/>
      <c r="AI30" s="341"/>
      <c r="AJ30" s="341"/>
      <c r="AK30" s="341"/>
    </row>
    <row r="31" spans="1:37" ht="15" customHeight="1">
      <c r="A31" s="341"/>
      <c r="B31" s="341"/>
      <c r="C31" s="341"/>
      <c r="D31" s="352" t="str">
        <f>IF(MasterSheet!$A$1=1,MasterSheet!C349,MasterSheet!B349)</f>
        <v>Doprinosi za nezaposlene</v>
      </c>
      <c r="E31" s="481">
        <f>+SUM('2014 - plan'!D31:F31)</f>
        <v>2125329.1061334657</v>
      </c>
      <c r="F31" s="481">
        <f>+'2014 - execution '!P30</f>
        <v>1985917.72</v>
      </c>
      <c r="G31" s="482">
        <f t="shared" si="7"/>
        <v>-139411.38613346568</v>
      </c>
      <c r="H31" s="483">
        <f t="shared" si="0"/>
        <v>93.440480077596462</v>
      </c>
      <c r="I31" s="481">
        <f>+SUM('2013 - execution'!D30:F30)</f>
        <v>1970339.94</v>
      </c>
      <c r="J31" s="484">
        <f t="shared" si="1"/>
        <v>15577.780000000028</v>
      </c>
      <c r="K31" s="485">
        <f t="shared" si="2"/>
        <v>100.79061382676942</v>
      </c>
      <c r="L31" s="481">
        <f>+'2014 - plan'!F31</f>
        <v>857271.67153218063</v>
      </c>
      <c r="M31" s="481">
        <f>+'2014 - execution '!F30</f>
        <v>824174.47</v>
      </c>
      <c r="N31" s="484">
        <f t="shared" si="3"/>
        <v>-33097.201532180654</v>
      </c>
      <c r="O31" s="486">
        <f t="shared" si="4"/>
        <v>-3.8607599704101716</v>
      </c>
      <c r="P31" s="481">
        <f>+'2013 - execution'!F30</f>
        <v>794755.32</v>
      </c>
      <c r="Q31" s="482">
        <f t="shared" si="5"/>
        <v>29419.150000000023</v>
      </c>
      <c r="R31" s="486">
        <f t="shared" si="6"/>
        <v>3.7016612861427518</v>
      </c>
      <c r="S31" s="387"/>
      <c r="T31" s="387"/>
      <c r="U31" s="387"/>
      <c r="V31" s="341"/>
      <c r="W31" s="492"/>
      <c r="X31" s="492"/>
      <c r="Y31" s="493"/>
      <c r="Z31" s="492"/>
      <c r="AA31" s="493"/>
      <c r="AB31" s="492"/>
      <c r="AC31" s="492"/>
      <c r="AD31" s="493"/>
      <c r="AE31" s="492"/>
      <c r="AF31" s="493"/>
      <c r="AG31" s="341"/>
      <c r="AH31" s="341"/>
      <c r="AI31" s="341"/>
      <c r="AJ31" s="341"/>
      <c r="AK31" s="341"/>
    </row>
    <row r="32" spans="1:37" ht="15" customHeight="1">
      <c r="A32" s="341"/>
      <c r="B32" s="341"/>
      <c r="C32" s="341"/>
      <c r="D32" s="352" t="str">
        <f>IF(MasterSheet!$A$1=1,MasterSheet!C350,MasterSheet!B350)</f>
        <v>Ostali doprinosi</v>
      </c>
      <c r="E32" s="481">
        <f>+SUM('2014 - plan'!D32:F32)</f>
        <v>2151408.6067234799</v>
      </c>
      <c r="F32" s="481">
        <f>+'2014 - execution '!P31</f>
        <v>1606607.67</v>
      </c>
      <c r="G32" s="482">
        <f t="shared" si="7"/>
        <v>-544800.93672348</v>
      </c>
      <c r="H32" s="483">
        <f t="shared" si="0"/>
        <v>74.677012306221428</v>
      </c>
      <c r="I32" s="481">
        <f>+SUM('2013 - execution'!D31:F31)</f>
        <v>1881931.78</v>
      </c>
      <c r="J32" s="484">
        <f t="shared" si="1"/>
        <v>-275324.1100000001</v>
      </c>
      <c r="K32" s="485">
        <f t="shared" si="2"/>
        <v>85.37013334245303</v>
      </c>
      <c r="L32" s="481">
        <f>+'2014 - plan'!F32</f>
        <v>943121.35406345711</v>
      </c>
      <c r="M32" s="481">
        <f>+'2014 - execution '!F31</f>
        <v>692119.51</v>
      </c>
      <c r="N32" s="484">
        <f t="shared" si="3"/>
        <v>-251001.8440634571</v>
      </c>
      <c r="O32" s="486">
        <f t="shared" si="4"/>
        <v>-26.613949836042906</v>
      </c>
      <c r="P32" s="481">
        <f>+'2013 - execution'!F31</f>
        <v>824989.75</v>
      </c>
      <c r="Q32" s="482">
        <f t="shared" si="5"/>
        <v>-132870.24</v>
      </c>
      <c r="R32" s="486">
        <f t="shared" si="6"/>
        <v>-16.105683737282789</v>
      </c>
      <c r="S32" s="387"/>
      <c r="T32" s="387"/>
      <c r="U32" s="387"/>
      <c r="V32" s="341"/>
      <c r="W32" s="492"/>
      <c r="X32" s="492"/>
      <c r="Y32" s="493"/>
      <c r="Z32" s="492"/>
      <c r="AA32" s="493"/>
      <c r="AB32" s="492"/>
      <c r="AC32" s="492"/>
      <c r="AD32" s="493"/>
      <c r="AE32" s="492"/>
      <c r="AF32" s="493"/>
      <c r="AG32" s="341"/>
      <c r="AH32" s="341"/>
      <c r="AI32" s="341"/>
      <c r="AJ32" s="341"/>
      <c r="AK32" s="341"/>
    </row>
    <row r="33" spans="1:37" ht="15" customHeight="1">
      <c r="A33" s="341"/>
      <c r="B33" s="341"/>
      <c r="C33" s="341"/>
      <c r="D33" s="355" t="str">
        <f>IF(MasterSheet!$A$1=1,MasterSheet!C351,MasterSheet!B351)</f>
        <v>Takse</v>
      </c>
      <c r="E33" s="481">
        <f>+SUM('2014 - plan'!D33:F33)</f>
        <v>3813497.0616141628</v>
      </c>
      <c r="F33" s="475">
        <f>+'2014 - execution '!P32</f>
        <v>4510726.7799999993</v>
      </c>
      <c r="G33" s="476">
        <f t="shared" si="7"/>
        <v>697229.71838583658</v>
      </c>
      <c r="H33" s="477">
        <f t="shared" si="0"/>
        <v>118.28321110835512</v>
      </c>
      <c r="I33" s="481">
        <f>+SUM('2013 - execution'!D32:F32)</f>
        <v>5041717.8500000006</v>
      </c>
      <c r="J33" s="479">
        <f t="shared" si="1"/>
        <v>-530991.07000000123</v>
      </c>
      <c r="K33" s="491">
        <f t="shared" si="2"/>
        <v>89.468052640034173</v>
      </c>
      <c r="L33" s="481">
        <f>+'2014 - plan'!F33</f>
        <v>1533902.3810318899</v>
      </c>
      <c r="M33" s="481">
        <f>+'2014 - execution '!F32</f>
        <v>989993.92999999993</v>
      </c>
      <c r="N33" s="479">
        <f t="shared" si="3"/>
        <v>-543908.45103189</v>
      </c>
      <c r="O33" s="480">
        <f t="shared" si="4"/>
        <v>-35.459130760719646</v>
      </c>
      <c r="P33" s="481">
        <f>+'2013 - execution'!F32</f>
        <v>2131564.3200000003</v>
      </c>
      <c r="Q33" s="476">
        <f t="shared" si="5"/>
        <v>-1141570.3900000004</v>
      </c>
      <c r="R33" s="480">
        <f t="shared" si="6"/>
        <v>-53.555521608655951</v>
      </c>
      <c r="S33" s="474"/>
      <c r="T33" s="474"/>
      <c r="U33" s="474"/>
      <c r="V33" s="341"/>
      <c r="W33" s="492"/>
      <c r="X33" s="492"/>
      <c r="Y33" s="493"/>
      <c r="Z33" s="492"/>
      <c r="AA33" s="493"/>
      <c r="AB33" s="492"/>
      <c r="AC33" s="492"/>
      <c r="AD33" s="493"/>
      <c r="AE33" s="492"/>
      <c r="AF33" s="493"/>
      <c r="AG33" s="341"/>
      <c r="AH33" s="341"/>
      <c r="AI33" s="341"/>
      <c r="AJ33" s="341"/>
      <c r="AK33" s="341"/>
    </row>
    <row r="34" spans="1:37" ht="15" customHeight="1">
      <c r="A34" s="341"/>
      <c r="B34" s="341"/>
      <c r="C34" s="341"/>
      <c r="D34" s="352" t="str">
        <f>IF(MasterSheet!$A$1=1,MasterSheet!C352,MasterSheet!B352)</f>
        <v>Administrativne takse</v>
      </c>
      <c r="E34" s="481">
        <f>+SUM('2014 - plan'!D34:F34)</f>
        <v>1422747.8069868712</v>
      </c>
      <c r="F34" s="481">
        <f>+'2014 - execution '!P33</f>
        <v>1495922.8</v>
      </c>
      <c r="G34" s="482">
        <f t="shared" si="7"/>
        <v>73174.993013128871</v>
      </c>
      <c r="H34" s="483">
        <f t="shared" si="0"/>
        <v>105.14321601156431</v>
      </c>
      <c r="I34" s="481">
        <f>+SUM('2013 - execution'!D33:F33)</f>
        <v>1376778.6500000001</v>
      </c>
      <c r="J34" s="484">
        <f t="shared" si="1"/>
        <v>119144.14999999991</v>
      </c>
      <c r="K34" s="485">
        <f t="shared" si="2"/>
        <v>108.65383480489037</v>
      </c>
      <c r="L34" s="481">
        <f>+'2014 - plan'!F34</f>
        <v>430110.48270409956</v>
      </c>
      <c r="M34" s="481">
        <f>+'2014 - execution '!F33</f>
        <v>579656.19999999995</v>
      </c>
      <c r="N34" s="484">
        <f t="shared" si="3"/>
        <v>149545.71729590039</v>
      </c>
      <c r="O34" s="486">
        <f t="shared" si="4"/>
        <v>34.769140327784669</v>
      </c>
      <c r="P34" s="481">
        <f>+'2013 - execution'!F33</f>
        <v>416213.56</v>
      </c>
      <c r="Q34" s="482">
        <f t="shared" si="5"/>
        <v>163442.63999999996</v>
      </c>
      <c r="R34" s="486">
        <f t="shared" si="6"/>
        <v>39.268936840981326</v>
      </c>
      <c r="S34" s="387"/>
      <c r="T34" s="387"/>
      <c r="U34" s="387"/>
      <c r="V34" s="341"/>
      <c r="W34" s="492"/>
      <c r="X34" s="492"/>
      <c r="Y34" s="493"/>
      <c r="Z34" s="492"/>
      <c r="AA34" s="493"/>
      <c r="AB34" s="492"/>
      <c r="AC34" s="492"/>
      <c r="AD34" s="493"/>
      <c r="AE34" s="492"/>
      <c r="AF34" s="493"/>
      <c r="AG34" s="341"/>
      <c r="AH34" s="341"/>
      <c r="AI34" s="341"/>
      <c r="AJ34" s="341"/>
      <c r="AK34" s="341"/>
    </row>
    <row r="35" spans="1:37" ht="15" customHeight="1">
      <c r="A35" s="341"/>
      <c r="B35" s="341"/>
      <c r="C35" s="341"/>
      <c r="D35" s="352" t="str">
        <f>IF(MasterSheet!$A$1=1,MasterSheet!C353,MasterSheet!B353)</f>
        <v>Sudske takse</v>
      </c>
      <c r="E35" s="481">
        <f>+SUM('2014 - plan'!D35:F35)</f>
        <v>683348.89548007061</v>
      </c>
      <c r="F35" s="481">
        <f>+'2014 - execution '!P34</f>
        <v>1877435.67</v>
      </c>
      <c r="G35" s="482">
        <f t="shared" si="7"/>
        <v>1194086.7745199292</v>
      </c>
      <c r="H35" s="483">
        <f t="shared" si="0"/>
        <v>274.7404265109775</v>
      </c>
      <c r="I35" s="481">
        <f>+SUM('2013 - execution'!D34:F34)</f>
        <v>847249.95</v>
      </c>
      <c r="J35" s="484">
        <f t="shared" si="1"/>
        <v>1030185.72</v>
      </c>
      <c r="K35" s="485">
        <f t="shared" si="2"/>
        <v>221.59171210337635</v>
      </c>
      <c r="L35" s="481">
        <f>+'2014 - plan'!F35</f>
        <v>261413.19362561635</v>
      </c>
      <c r="M35" s="481">
        <f>+'2014 - execution '!F34</f>
        <v>318720.94</v>
      </c>
      <c r="N35" s="484">
        <f t="shared" si="3"/>
        <v>57307.746374383656</v>
      </c>
      <c r="O35" s="486">
        <f t="shared" si="4"/>
        <v>21.922285397904233</v>
      </c>
      <c r="P35" s="481">
        <f>+'2013 - execution'!F34</f>
        <v>324113.08</v>
      </c>
      <c r="Q35" s="482">
        <f t="shared" si="5"/>
        <v>-5392.140000000014</v>
      </c>
      <c r="R35" s="486">
        <f t="shared" si="6"/>
        <v>-1.663660102825844</v>
      </c>
      <c r="S35" s="387"/>
      <c r="T35" s="387"/>
      <c r="U35" s="387"/>
      <c r="V35" s="341"/>
      <c r="W35" s="490"/>
      <c r="X35" s="490"/>
      <c r="Y35" s="489"/>
      <c r="Z35" s="490"/>
      <c r="AA35" s="489"/>
      <c r="AB35" s="490"/>
      <c r="AC35" s="490"/>
      <c r="AD35" s="489"/>
      <c r="AE35" s="490"/>
      <c r="AF35" s="489"/>
      <c r="AG35" s="341"/>
      <c r="AH35" s="341"/>
      <c r="AI35" s="341"/>
      <c r="AJ35" s="341"/>
      <c r="AK35" s="341"/>
    </row>
    <row r="36" spans="1:37" ht="15" customHeight="1">
      <c r="A36" s="341"/>
      <c r="B36" s="341"/>
      <c r="C36" s="341"/>
      <c r="D36" s="352" t="str">
        <f>IF(MasterSheet!$A$1=1,MasterSheet!C354,MasterSheet!B354)</f>
        <v>Boravišne takse</v>
      </c>
      <c r="E36" s="481">
        <f>+SUM('2014 - plan'!D36:F36)</f>
        <v>31003.329956254136</v>
      </c>
      <c r="F36" s="481">
        <f>+'2014 - execution '!P35</f>
        <v>28648.67</v>
      </c>
      <c r="G36" s="482">
        <f t="shared" si="7"/>
        <v>-2354.6599562541378</v>
      </c>
      <c r="H36" s="483">
        <f t="shared" si="0"/>
        <v>92.405138546160771</v>
      </c>
      <c r="I36" s="481">
        <f>+SUM('2013 - execution'!D35:F35)</f>
        <v>31223.93</v>
      </c>
      <c r="J36" s="484">
        <f t="shared" si="1"/>
        <v>-2575.260000000002</v>
      </c>
      <c r="K36" s="485">
        <f t="shared" si="2"/>
        <v>91.75228742826414</v>
      </c>
      <c r="L36" s="481">
        <f>+'2014 - plan'!F36</f>
        <v>13652.477623191922</v>
      </c>
      <c r="M36" s="481">
        <f>+'2014 - execution '!F35</f>
        <v>11037.38</v>
      </c>
      <c r="N36" s="484">
        <f t="shared" si="3"/>
        <v>-2615.097623191923</v>
      </c>
      <c r="O36" s="486">
        <f t="shared" si="4"/>
        <v>-19.154747551093351</v>
      </c>
      <c r="P36" s="481">
        <f>+'2013 - execution'!F35</f>
        <v>13749.62</v>
      </c>
      <c r="Q36" s="482">
        <f t="shared" si="5"/>
        <v>-2712.2400000000016</v>
      </c>
      <c r="R36" s="486">
        <f t="shared" si="6"/>
        <v>-19.725926971072667</v>
      </c>
      <c r="S36" s="387"/>
      <c r="T36" s="387"/>
      <c r="U36" s="387"/>
      <c r="V36" s="341"/>
      <c r="W36" s="492"/>
      <c r="X36" s="492"/>
      <c r="Y36" s="493"/>
      <c r="Z36" s="492"/>
      <c r="AA36" s="493"/>
      <c r="AB36" s="492"/>
      <c r="AC36" s="492"/>
      <c r="AD36" s="493"/>
      <c r="AE36" s="492"/>
      <c r="AF36" s="493"/>
      <c r="AG36" s="341"/>
      <c r="AH36" s="341"/>
      <c r="AI36" s="341"/>
      <c r="AJ36" s="341"/>
      <c r="AK36" s="341"/>
    </row>
    <row r="37" spans="1:37" ht="15" customHeight="1">
      <c r="A37" s="341"/>
      <c r="B37" s="341"/>
      <c r="C37" s="341"/>
      <c r="D37" s="352" t="str">
        <f>IF(MasterSheet!$A$1=1,MasterSheet!C355,MasterSheet!B355)</f>
        <v>Ostale takse</v>
      </c>
      <c r="E37" s="481">
        <f>+SUM('2014 - plan'!D37:F37)</f>
        <v>1676397.0291909671</v>
      </c>
      <c r="F37" s="481">
        <f>+'2014 - execution '!P36</f>
        <v>1108719.6399999999</v>
      </c>
      <c r="G37" s="482">
        <f t="shared" si="7"/>
        <v>-567677.38919096719</v>
      </c>
      <c r="H37" s="483">
        <f t="shared" si="0"/>
        <v>66.13705588198701</v>
      </c>
      <c r="I37" s="481">
        <f>+SUM('2013 - execution'!D36:F36)</f>
        <v>2786465.3200000003</v>
      </c>
      <c r="J37" s="484">
        <f t="shared" si="1"/>
        <v>-1677745.6800000004</v>
      </c>
      <c r="K37" s="485">
        <f t="shared" si="2"/>
        <v>39.789464883776112</v>
      </c>
      <c r="L37" s="481">
        <f>+'2014 - plan'!F37</f>
        <v>828726.22707898216</v>
      </c>
      <c r="M37" s="481">
        <f>+'2014 - execution '!F36</f>
        <v>80579.41</v>
      </c>
      <c r="N37" s="484">
        <f t="shared" si="3"/>
        <v>-748146.81707898213</v>
      </c>
      <c r="O37" s="486">
        <f t="shared" si="4"/>
        <v>-90.276715353390117</v>
      </c>
      <c r="P37" s="481">
        <f>+'2013 - execution'!F36</f>
        <v>1377488.06</v>
      </c>
      <c r="Q37" s="482">
        <f t="shared" si="5"/>
        <v>-1296908.6500000001</v>
      </c>
      <c r="R37" s="486">
        <f t="shared" si="6"/>
        <v>-94.150264358734262</v>
      </c>
      <c r="S37" s="387"/>
      <c r="T37" s="387"/>
      <c r="U37" s="387"/>
      <c r="V37" s="341"/>
      <c r="W37" s="492"/>
      <c r="X37" s="492"/>
      <c r="Y37" s="493"/>
      <c r="Z37" s="492"/>
      <c r="AA37" s="493"/>
      <c r="AB37" s="492"/>
      <c r="AC37" s="492"/>
      <c r="AD37" s="493"/>
      <c r="AE37" s="492"/>
      <c r="AF37" s="493"/>
      <c r="AG37" s="341"/>
      <c r="AH37" s="341"/>
      <c r="AI37" s="341"/>
      <c r="AJ37" s="341"/>
      <c r="AK37" s="341"/>
    </row>
    <row r="38" spans="1:37" ht="15" customHeight="1">
      <c r="A38" s="341"/>
      <c r="B38" s="341"/>
      <c r="C38" s="341"/>
      <c r="D38" s="355" t="str">
        <f>IF(MasterSheet!$A$1=1,MasterSheet!C356,MasterSheet!B356)</f>
        <v>Naknade</v>
      </c>
      <c r="E38" s="481">
        <f>+SUM('2014 - plan'!D38:F38)</f>
        <v>3408698.5289129768</v>
      </c>
      <c r="F38" s="475">
        <f>+'2014 - execution '!P37</f>
        <v>2893511.8800000004</v>
      </c>
      <c r="G38" s="476">
        <f t="shared" si="7"/>
        <v>-515186.6489129765</v>
      </c>
      <c r="H38" s="477">
        <f t="shared" si="0"/>
        <v>84.886118718240894</v>
      </c>
      <c r="I38" s="481">
        <f>+SUM('2013 - execution'!D37:F37)</f>
        <v>3455009.41</v>
      </c>
      <c r="J38" s="479">
        <f t="shared" si="1"/>
        <v>-561497.5299999998</v>
      </c>
      <c r="K38" s="491">
        <f t="shared" si="2"/>
        <v>83.748306781022634</v>
      </c>
      <c r="L38" s="481">
        <f>+'2014 - plan'!F38</f>
        <v>1392255.6905662352</v>
      </c>
      <c r="M38" s="481">
        <f>+'2014 - execution '!F37</f>
        <v>890846.15</v>
      </c>
      <c r="N38" s="479">
        <f t="shared" si="3"/>
        <v>-501409.5405662352</v>
      </c>
      <c r="O38" s="480">
        <f t="shared" si="4"/>
        <v>-36.014185035387449</v>
      </c>
      <c r="P38" s="481">
        <f>+'2013 - execution'!F37</f>
        <v>1397810.9500000002</v>
      </c>
      <c r="Q38" s="476">
        <f t="shared" si="5"/>
        <v>-506964.80000000016</v>
      </c>
      <c r="R38" s="480">
        <f t="shared" si="6"/>
        <v>-36.268481084655981</v>
      </c>
      <c r="S38" s="474"/>
      <c r="T38" s="474"/>
      <c r="U38" s="474"/>
      <c r="V38" s="341"/>
      <c r="W38" s="492"/>
      <c r="X38" s="492"/>
      <c r="Y38" s="493"/>
      <c r="Z38" s="492"/>
      <c r="AA38" s="493"/>
      <c r="AB38" s="492"/>
      <c r="AC38" s="492"/>
      <c r="AD38" s="493"/>
      <c r="AE38" s="492"/>
      <c r="AF38" s="493"/>
      <c r="AG38" s="341"/>
      <c r="AH38" s="341"/>
      <c r="AI38" s="341"/>
      <c r="AJ38" s="341"/>
      <c r="AK38" s="341"/>
    </row>
    <row r="39" spans="1:37" ht="15" customHeight="1">
      <c r="A39" s="341"/>
      <c r="B39" s="341"/>
      <c r="C39" s="341"/>
      <c r="D39" s="352" t="str">
        <f>IF(MasterSheet!$A$1=1,MasterSheet!C357,MasterSheet!B357)</f>
        <v>Nakn. za koriš. dob. od opš. int.</v>
      </c>
      <c r="E39" s="481">
        <f>+SUM('2014 - plan'!D39:F39)</f>
        <v>44241.906777913726</v>
      </c>
      <c r="F39" s="481">
        <f>+'2014 - execution '!P38</f>
        <v>38337.01</v>
      </c>
      <c r="G39" s="482">
        <f t="shared" si="7"/>
        <v>-5904.8967779137238</v>
      </c>
      <c r="H39" s="483">
        <f t="shared" si="0"/>
        <v>86.65315939578457</v>
      </c>
      <c r="I39" s="481">
        <f>+SUM('2013 - execution'!D38:F38)</f>
        <v>40987.99</v>
      </c>
      <c r="J39" s="484">
        <f t="shared" si="1"/>
        <v>-2650.9799999999959</v>
      </c>
      <c r="K39" s="485">
        <f t="shared" si="2"/>
        <v>93.532300559261401</v>
      </c>
      <c r="L39" s="481">
        <f>+'2014 - plan'!F39</f>
        <v>20867.434190068099</v>
      </c>
      <c r="M39" s="481">
        <f>+'2014 - execution '!F38</f>
        <v>13005.58</v>
      </c>
      <c r="N39" s="484">
        <f t="shared" si="3"/>
        <v>-7861.8541900680993</v>
      </c>
      <c r="O39" s="486">
        <f t="shared" si="4"/>
        <v>-37.675231743680136</v>
      </c>
      <c r="P39" s="481">
        <f>+'2013 - execution'!F38</f>
        <v>19332.669999999998</v>
      </c>
      <c r="Q39" s="482">
        <f t="shared" si="5"/>
        <v>-6327.0899999999983</v>
      </c>
      <c r="R39" s="486">
        <f t="shared" si="6"/>
        <v>-32.727450476318069</v>
      </c>
      <c r="S39" s="387"/>
      <c r="T39" s="387"/>
      <c r="U39" s="387"/>
      <c r="V39" s="341"/>
      <c r="W39" s="492"/>
      <c r="X39" s="492"/>
      <c r="Y39" s="493"/>
      <c r="Z39" s="492"/>
      <c r="AA39" s="493"/>
      <c r="AB39" s="492"/>
      <c r="AC39" s="492"/>
      <c r="AD39" s="493"/>
      <c r="AE39" s="492"/>
      <c r="AF39" s="493"/>
      <c r="AG39" s="341"/>
      <c r="AH39" s="341"/>
      <c r="AI39" s="341"/>
      <c r="AJ39" s="341"/>
      <c r="AK39" s="341"/>
    </row>
    <row r="40" spans="1:37" ht="15" customHeight="1">
      <c r="A40" s="341"/>
      <c r="B40" s="341"/>
      <c r="C40" s="341"/>
      <c r="D40" s="352" t="str">
        <f>IF(MasterSheet!$A$1=1,MasterSheet!C358,MasterSheet!B358)</f>
        <v>Naknada za kor. prirodnih dobara</v>
      </c>
      <c r="E40" s="481">
        <f>+SUM('2014 - plan'!D40:F40)</f>
        <v>314317.19197688013</v>
      </c>
      <c r="F40" s="481">
        <f>+'2014 - execution '!P39</f>
        <v>392617.39999999997</v>
      </c>
      <c r="G40" s="482">
        <f t="shared" si="7"/>
        <v>78300.208023119834</v>
      </c>
      <c r="H40" s="483">
        <f t="shared" si="0"/>
        <v>124.91120753868255</v>
      </c>
      <c r="I40" s="481">
        <f>+SUM('2013 - execution'!D39:F39)</f>
        <v>313879.51</v>
      </c>
      <c r="J40" s="484">
        <f t="shared" si="1"/>
        <v>78737.889999999956</v>
      </c>
      <c r="K40" s="485">
        <f t="shared" si="2"/>
        <v>125.08538706460959</v>
      </c>
      <c r="L40" s="481">
        <f>+'2014 - plan'!F40</f>
        <v>86996.200905318663</v>
      </c>
      <c r="M40" s="481">
        <f>+'2014 - execution '!F39</f>
        <v>97649.919999999998</v>
      </c>
      <c r="N40" s="484">
        <f t="shared" si="3"/>
        <v>10653.719094681335</v>
      </c>
      <c r="O40" s="486">
        <f t="shared" si="4"/>
        <v>12.246188895393487</v>
      </c>
      <c r="P40" s="481">
        <f>+'2013 - execution'!F39</f>
        <v>86875.06</v>
      </c>
      <c r="Q40" s="482">
        <f t="shared" si="5"/>
        <v>10774.86</v>
      </c>
      <c r="R40" s="486">
        <f t="shared" si="6"/>
        <v>12.402707980863553</v>
      </c>
      <c r="S40" s="387"/>
      <c r="T40" s="387"/>
      <c r="U40" s="387"/>
      <c r="V40" s="341"/>
      <c r="W40" s="490"/>
      <c r="X40" s="490"/>
      <c r="Y40" s="489"/>
      <c r="Z40" s="490"/>
      <c r="AA40" s="489"/>
      <c r="AB40" s="490"/>
      <c r="AC40" s="490"/>
      <c r="AD40" s="489"/>
      <c r="AE40" s="490"/>
      <c r="AF40" s="489"/>
      <c r="AG40" s="341"/>
      <c r="AH40" s="341"/>
      <c r="AI40" s="341"/>
      <c r="AJ40" s="341"/>
      <c r="AK40" s="341"/>
    </row>
    <row r="41" spans="1:37" ht="15" customHeight="1">
      <c r="A41" s="341"/>
      <c r="B41" s="341"/>
      <c r="C41" s="341"/>
      <c r="D41" s="352" t="str">
        <f>IF(MasterSheet!$A$1=1,MasterSheet!C359,MasterSheet!B359)</f>
        <v>Ekološke naknade</v>
      </c>
      <c r="E41" s="481">
        <f>+SUM('2014 - plan'!D41:F41)</f>
        <v>85663.394865201903</v>
      </c>
      <c r="F41" s="481">
        <f>+'2014 - execution '!P40</f>
        <v>14638.279999999999</v>
      </c>
      <c r="G41" s="482">
        <f t="shared" si="7"/>
        <v>-71025.114865201904</v>
      </c>
      <c r="H41" s="483">
        <f t="shared" si="0"/>
        <v>17.088139015543906</v>
      </c>
      <c r="I41" s="481">
        <f>+SUM('2013 - execution'!D40:F40)</f>
        <v>62546.05</v>
      </c>
      <c r="J41" s="484">
        <f t="shared" si="1"/>
        <v>-47907.770000000004</v>
      </c>
      <c r="K41" s="485">
        <f t="shared" si="2"/>
        <v>23.404003929904444</v>
      </c>
      <c r="L41" s="481">
        <f>+'2014 - plan'!F41</f>
        <v>76941.598341280071</v>
      </c>
      <c r="M41" s="481">
        <f>+'2014 - execution '!F40</f>
        <v>13202.22</v>
      </c>
      <c r="N41" s="484">
        <f t="shared" si="3"/>
        <v>-63739.378341280069</v>
      </c>
      <c r="O41" s="486">
        <f t="shared" si="4"/>
        <v>-82.841245458093312</v>
      </c>
      <c r="P41" s="481">
        <f>+'2013 - execution'!F40</f>
        <v>56177.94</v>
      </c>
      <c r="Q41" s="482">
        <f t="shared" si="5"/>
        <v>-42975.72</v>
      </c>
      <c r="R41" s="486">
        <f t="shared" si="6"/>
        <v>-76.499280678501208</v>
      </c>
      <c r="S41" s="387"/>
      <c r="T41" s="387"/>
      <c r="U41" s="387"/>
      <c r="V41" s="341"/>
      <c r="W41" s="492"/>
      <c r="X41" s="492"/>
      <c r="Y41" s="493"/>
      <c r="Z41" s="492"/>
      <c r="AA41" s="493"/>
      <c r="AB41" s="492"/>
      <c r="AC41" s="492"/>
      <c r="AD41" s="493"/>
      <c r="AE41" s="492"/>
      <c r="AF41" s="493"/>
      <c r="AG41" s="341"/>
      <c r="AH41" s="341"/>
      <c r="AI41" s="341"/>
      <c r="AJ41" s="341"/>
      <c r="AK41" s="341"/>
    </row>
    <row r="42" spans="1:37">
      <c r="A42" s="341"/>
      <c r="B42" s="341"/>
      <c r="C42" s="341"/>
      <c r="D42" s="352" t="str">
        <f>IF(MasterSheet!$A$1=1,MasterSheet!C360,MasterSheet!B360)</f>
        <v>Naknade za priređ.  igara na sreću</v>
      </c>
      <c r="E42" s="481">
        <f>+SUM('2014 - plan'!D42:F42)</f>
        <v>782492.99199495174</v>
      </c>
      <c r="F42" s="481">
        <f>+'2014 - execution '!P41</f>
        <v>1086317.9200000002</v>
      </c>
      <c r="G42" s="482">
        <f t="shared" si="7"/>
        <v>303824.92800504842</v>
      </c>
      <c r="H42" s="483">
        <f t="shared" si="0"/>
        <v>138.8278145763903</v>
      </c>
      <c r="I42" s="481">
        <f>+SUM('2013 - execution'!D41:F41)</f>
        <v>796347.87</v>
      </c>
      <c r="J42" s="484">
        <f t="shared" si="1"/>
        <v>289970.05000000016</v>
      </c>
      <c r="K42" s="485">
        <f t="shared" si="2"/>
        <v>136.41248516179246</v>
      </c>
      <c r="L42" s="481">
        <f>+'2014 - plan'!F42</f>
        <v>308454.01078105619</v>
      </c>
      <c r="M42" s="481">
        <f>+'2014 - execution '!F41</f>
        <v>387159.84</v>
      </c>
      <c r="N42" s="484">
        <f t="shared" si="3"/>
        <v>78705.829218943836</v>
      </c>
      <c r="O42" s="486">
        <f t="shared" si="4"/>
        <v>25.516228179250362</v>
      </c>
      <c r="P42" s="481">
        <f>+'2013 - execution'!F41</f>
        <v>313915.52000000002</v>
      </c>
      <c r="Q42" s="482">
        <f t="shared" si="5"/>
        <v>73244.320000000007</v>
      </c>
      <c r="R42" s="486">
        <f t="shared" si="6"/>
        <v>23.332494041709054</v>
      </c>
      <c r="S42" s="387"/>
      <c r="T42" s="387"/>
      <c r="U42" s="387"/>
      <c r="V42" s="341"/>
      <c r="W42" s="492"/>
      <c r="X42" s="492"/>
      <c r="Y42" s="493"/>
      <c r="Z42" s="492"/>
      <c r="AA42" s="493"/>
      <c r="AB42" s="492"/>
      <c r="AC42" s="492"/>
      <c r="AD42" s="493"/>
      <c r="AE42" s="492"/>
      <c r="AF42" s="493"/>
      <c r="AG42" s="341"/>
      <c r="AH42" s="341"/>
      <c r="AI42" s="341"/>
      <c r="AJ42" s="341"/>
      <c r="AK42" s="341"/>
    </row>
    <row r="43" spans="1:37">
      <c r="A43" s="341"/>
      <c r="B43" s="341"/>
      <c r="C43" s="341"/>
      <c r="D43" s="352" t="str">
        <f>IF(MasterSheet!$A$1=1,MasterSheet!C361,MasterSheet!B361)</f>
        <v>Naknade za puteve</v>
      </c>
      <c r="E43" s="481">
        <f>+SUM('2014 - plan'!D43:F43)</f>
        <v>563944.15510495636</v>
      </c>
      <c r="F43" s="481">
        <f>+'2014 - execution '!P42</f>
        <v>439936.61</v>
      </c>
      <c r="G43" s="482">
        <f t="shared" si="7"/>
        <v>-124007.54510495637</v>
      </c>
      <c r="H43" s="483">
        <f>+F43/E43*100</f>
        <v>78.010669322057751</v>
      </c>
      <c r="I43" s="481">
        <f>+SUM('2013 - execution'!D42:F42)</f>
        <v>614909.94999999995</v>
      </c>
      <c r="J43" s="484">
        <f t="shared" si="1"/>
        <v>-174973.33999999997</v>
      </c>
      <c r="K43" s="485">
        <f t="shared" si="2"/>
        <v>71.544883929752643</v>
      </c>
      <c r="L43" s="481">
        <f>+'2014 - plan'!F43</f>
        <v>210009.94619420799</v>
      </c>
      <c r="M43" s="481">
        <f>+'2014 - execution '!F42</f>
        <v>205665.12</v>
      </c>
      <c r="N43" s="484">
        <f t="shared" si="3"/>
        <v>-4344.8261942079989</v>
      </c>
      <c r="O43" s="486">
        <f t="shared" si="4"/>
        <v>-2.0688668669959611</v>
      </c>
      <c r="P43" s="481">
        <f>+'2013 - execution'!F42</f>
        <v>228989.35</v>
      </c>
      <c r="Q43" s="482">
        <f t="shared" si="5"/>
        <v>-23324.23000000001</v>
      </c>
      <c r="R43" s="486">
        <f t="shared" si="6"/>
        <v>-10.185726978132394</v>
      </c>
      <c r="S43" s="387"/>
      <c r="T43" s="387"/>
      <c r="U43" s="387"/>
      <c r="V43" s="341"/>
      <c r="W43" s="492"/>
      <c r="X43" s="492"/>
      <c r="Y43" s="493"/>
      <c r="Z43" s="492"/>
      <c r="AA43" s="493"/>
      <c r="AB43" s="492"/>
      <c r="AC43" s="492"/>
      <c r="AD43" s="493"/>
      <c r="AE43" s="492"/>
      <c r="AF43" s="493"/>
      <c r="AG43" s="341"/>
      <c r="AH43" s="341"/>
      <c r="AI43" s="341"/>
      <c r="AJ43" s="341"/>
      <c r="AK43" s="341"/>
    </row>
    <row r="44" spans="1:37">
      <c r="A44" s="341"/>
      <c r="B44" s="341"/>
      <c r="C44" s="341"/>
      <c r="D44" s="352" t="str">
        <f>IF(MasterSheet!$A$1=1,MasterSheet!C362,MasterSheet!B362)</f>
        <v>Ostale naknade</v>
      </c>
      <c r="E44" s="481">
        <f>+SUM('2014 - plan'!D44:F44)</f>
        <v>1618038.8881930728</v>
      </c>
      <c r="F44" s="481">
        <f>+'2014 - execution '!P43</f>
        <v>921664.65999999992</v>
      </c>
      <c r="G44" s="482">
        <f t="shared" si="7"/>
        <v>-696374.22819307283</v>
      </c>
      <c r="H44" s="483">
        <f t="shared" si="0"/>
        <v>56.961836129245256</v>
      </c>
      <c r="I44" s="481">
        <f>+SUM('2013 - execution'!D43:F43)</f>
        <v>1626338.04</v>
      </c>
      <c r="J44" s="484">
        <f t="shared" si="1"/>
        <v>-704673.38000000012</v>
      </c>
      <c r="K44" s="485">
        <f t="shared" si="2"/>
        <v>56.671161673129156</v>
      </c>
      <c r="L44" s="481">
        <f>+'2014 - plan'!F44</f>
        <v>688986.50015430432</v>
      </c>
      <c r="M44" s="481">
        <f>+'2014 - execution '!F43</f>
        <v>174163.47</v>
      </c>
      <c r="N44" s="484">
        <f t="shared" si="3"/>
        <v>-514823.03015430435</v>
      </c>
      <c r="O44" s="486">
        <f t="shared" si="4"/>
        <v>-74.721787732997001</v>
      </c>
      <c r="P44" s="481">
        <f>+'2013 - execution'!F43</f>
        <v>692520.41</v>
      </c>
      <c r="Q44" s="482">
        <f t="shared" si="5"/>
        <v>-518356.94000000006</v>
      </c>
      <c r="R44" s="486">
        <f t="shared" si="6"/>
        <v>-74.850781654218679</v>
      </c>
      <c r="S44" s="387"/>
      <c r="T44" s="387"/>
      <c r="U44" s="387"/>
      <c r="V44" s="341"/>
      <c r="W44" s="492"/>
      <c r="X44" s="492"/>
      <c r="Y44" s="493"/>
      <c r="Z44" s="492"/>
      <c r="AA44" s="493"/>
      <c r="AB44" s="492"/>
      <c r="AC44" s="492"/>
      <c r="AD44" s="493"/>
      <c r="AE44" s="492"/>
      <c r="AF44" s="493"/>
      <c r="AG44" s="341"/>
      <c r="AH44" s="341"/>
      <c r="AI44" s="341"/>
      <c r="AJ44" s="341"/>
      <c r="AK44" s="341"/>
    </row>
    <row r="45" spans="1:37">
      <c r="A45" s="341"/>
      <c r="B45" s="341"/>
      <c r="C45" s="341"/>
      <c r="D45" s="355" t="str">
        <f>IF(MasterSheet!$A$1=1,MasterSheet!C363,MasterSheet!B363)</f>
        <v>Ostali prihodi</v>
      </c>
      <c r="E45" s="481">
        <f>+SUM('2014 - plan'!D45:F45)</f>
        <v>4969961.7063128026</v>
      </c>
      <c r="F45" s="475">
        <f>+'2014 - execution '!P44</f>
        <v>5281833.93</v>
      </c>
      <c r="G45" s="476">
        <f t="shared" si="7"/>
        <v>311872.22368719708</v>
      </c>
      <c r="H45" s="477">
        <f t="shared" si="0"/>
        <v>106.27514339378227</v>
      </c>
      <c r="I45" s="481">
        <f>+SUM('2013 - execution'!D44:F44)</f>
        <v>5203710.7300000004</v>
      </c>
      <c r="J45" s="479">
        <f t="shared" si="1"/>
        <v>78123.199999999255</v>
      </c>
      <c r="K45" s="491">
        <f t="shared" si="2"/>
        <v>101.50129790169946</v>
      </c>
      <c r="L45" s="481">
        <f>+'2014 - plan'!F45</f>
        <v>1521512.068415079</v>
      </c>
      <c r="M45" s="481">
        <f>+'2014 - execution '!F44</f>
        <v>1627786.63</v>
      </c>
      <c r="N45" s="479">
        <f t="shared" si="3"/>
        <v>106274.56158492086</v>
      </c>
      <c r="O45" s="480">
        <f t="shared" si="4"/>
        <v>6.9847991212862723</v>
      </c>
      <c r="P45" s="481">
        <f>+'2013 - execution'!F44</f>
        <v>1585734.3</v>
      </c>
      <c r="Q45" s="476">
        <f t="shared" si="5"/>
        <v>42052.329999999842</v>
      </c>
      <c r="R45" s="480">
        <f t="shared" si="6"/>
        <v>2.6519152672676398</v>
      </c>
      <c r="S45" s="474"/>
      <c r="T45" s="474"/>
      <c r="U45" s="474"/>
      <c r="V45" s="341"/>
      <c r="W45" s="490"/>
      <c r="X45" s="490"/>
      <c r="Y45" s="489"/>
      <c r="Z45" s="490"/>
      <c r="AA45" s="489"/>
      <c r="AB45" s="490"/>
      <c r="AC45" s="490"/>
      <c r="AD45" s="489"/>
      <c r="AE45" s="490"/>
      <c r="AF45" s="489"/>
      <c r="AG45" s="341"/>
      <c r="AH45" s="341"/>
      <c r="AI45" s="341"/>
      <c r="AJ45" s="341"/>
      <c r="AK45" s="341"/>
    </row>
    <row r="46" spans="1:37">
      <c r="A46" s="341"/>
      <c r="B46" s="341"/>
      <c r="C46" s="341"/>
      <c r="D46" s="352" t="str">
        <f>IF(MasterSheet!$A$1=1,MasterSheet!C364,MasterSheet!B364)</f>
        <v>Prihodi od kapitala</v>
      </c>
      <c r="E46" s="481">
        <f>+SUM('2014 - plan'!D46:F46)</f>
        <v>66470.061675518213</v>
      </c>
      <c r="F46" s="481">
        <f>+'2014 - execution '!P45</f>
        <v>826063.5</v>
      </c>
      <c r="G46" s="482">
        <f t="shared" si="7"/>
        <v>759593.43832448183</v>
      </c>
      <c r="H46" s="483">
        <f t="shared" si="0"/>
        <v>1242.7602429986159</v>
      </c>
      <c r="I46" s="481">
        <f>+SUM('2013 - execution'!D45:F45)</f>
        <v>72491.31</v>
      </c>
      <c r="J46" s="484">
        <f t="shared" si="1"/>
        <v>753572.19</v>
      </c>
      <c r="K46" s="485">
        <f t="shared" si="2"/>
        <v>1139.5345179994679</v>
      </c>
      <c r="L46" s="481">
        <f>+'2014 - plan'!F46</f>
        <v>42685.597995647251</v>
      </c>
      <c r="M46" s="481">
        <f>+'2014 - execution '!F45</f>
        <v>28429.95</v>
      </c>
      <c r="N46" s="484">
        <f t="shared" si="3"/>
        <v>-14255.64799564725</v>
      </c>
      <c r="O46" s="486">
        <f>+M46/L46*100-100</f>
        <v>-33.396856703520783</v>
      </c>
      <c r="P46" s="481">
        <f>+'2013 - execution'!F45</f>
        <v>46552.31</v>
      </c>
      <c r="Q46" s="482">
        <f t="shared" si="5"/>
        <v>-18122.359999999997</v>
      </c>
      <c r="R46" s="486">
        <f t="shared" si="6"/>
        <v>-38.929024145096122</v>
      </c>
      <c r="S46" s="387"/>
      <c r="T46" s="387"/>
      <c r="U46" s="387"/>
      <c r="V46" s="341"/>
      <c r="W46" s="492"/>
      <c r="X46" s="492"/>
      <c r="Y46" s="493"/>
      <c r="Z46" s="492"/>
      <c r="AA46" s="493"/>
      <c r="AB46" s="492"/>
      <c r="AC46" s="492"/>
      <c r="AD46" s="493"/>
      <c r="AE46" s="492"/>
      <c r="AF46" s="493"/>
      <c r="AG46" s="341"/>
      <c r="AH46" s="341"/>
      <c r="AI46" s="341"/>
      <c r="AJ46" s="341"/>
      <c r="AK46" s="341"/>
    </row>
    <row r="47" spans="1:37">
      <c r="A47" s="341"/>
      <c r="B47" s="341"/>
      <c r="C47" s="341"/>
      <c r="D47" s="352" t="str">
        <f>IF(MasterSheet!$A$1=1,MasterSheet!C365,MasterSheet!B365)</f>
        <v>Novčane kazne i oduzete imovinske koristi</v>
      </c>
      <c r="E47" s="481">
        <f>+SUM('2014 - plan'!D47:F47)</f>
        <v>2002681.3130950192</v>
      </c>
      <c r="F47" s="481">
        <f>+'2014 - execution '!P46</f>
        <v>2464460.71</v>
      </c>
      <c r="G47" s="482">
        <f t="shared" si="7"/>
        <v>461779.39690498076</v>
      </c>
      <c r="H47" s="483">
        <f t="shared" si="0"/>
        <v>123.05805691027942</v>
      </c>
      <c r="I47" s="481">
        <f>+SUM('2013 - execution'!D46:F46)</f>
        <v>2086119.05</v>
      </c>
      <c r="J47" s="484">
        <f t="shared" si="1"/>
        <v>378341.65999999992</v>
      </c>
      <c r="K47" s="485">
        <f t="shared" si="2"/>
        <v>118.1361490371319</v>
      </c>
      <c r="L47" s="481">
        <f>+'2014 - plan'!F47</f>
        <v>726627.07689493673</v>
      </c>
      <c r="M47" s="481">
        <f>+'2014 - execution '!F46</f>
        <v>970016.33</v>
      </c>
      <c r="N47" s="484">
        <f t="shared" si="3"/>
        <v>243389.25310506322</v>
      </c>
      <c r="O47" s="486">
        <f t="shared" si="4"/>
        <v>33.495758807272608</v>
      </c>
      <c r="P47" s="481">
        <f>+'2013 - execution'!F46</f>
        <v>756900.55</v>
      </c>
      <c r="Q47" s="482">
        <f t="shared" si="5"/>
        <v>213115.77999999991</v>
      </c>
      <c r="R47" s="486">
        <f t="shared" si="6"/>
        <v>28.156378007652393</v>
      </c>
      <c r="S47" s="387"/>
      <c r="T47" s="387"/>
      <c r="U47" s="387"/>
      <c r="V47" s="440"/>
      <c r="W47" s="492"/>
      <c r="X47" s="492"/>
      <c r="Y47" s="493"/>
      <c r="Z47" s="492"/>
      <c r="AA47" s="493"/>
      <c r="AB47" s="492"/>
      <c r="AC47" s="492"/>
      <c r="AD47" s="493"/>
      <c r="AE47" s="492"/>
      <c r="AF47" s="493"/>
      <c r="AG47" s="341"/>
      <c r="AH47" s="341"/>
      <c r="AI47" s="341"/>
      <c r="AJ47" s="341"/>
      <c r="AK47" s="341"/>
    </row>
    <row r="48" spans="1:37">
      <c r="A48" s="341"/>
      <c r="B48" s="341"/>
      <c r="C48" s="341"/>
      <c r="D48" s="352" t="str">
        <f>IF(MasterSheet!$A$1=1,MasterSheet!C366,MasterSheet!B366)</f>
        <v>Prihodi koje organi ostvaruju vršenjem svoje djel.</v>
      </c>
      <c r="E48" s="481">
        <f>+SUM('2014 - plan'!D48:F48)</f>
        <v>418119.83797133062</v>
      </c>
      <c r="F48" s="481">
        <f>+'2014 - execution '!P47</f>
        <v>441116.37</v>
      </c>
      <c r="G48" s="482">
        <f t="shared" si="7"/>
        <v>22996.532028669375</v>
      </c>
      <c r="H48" s="483">
        <f t="shared" si="0"/>
        <v>105.49998587492186</v>
      </c>
      <c r="I48" s="481">
        <f>+SUM('2013 - execution'!D47:F47)</f>
        <v>410437.11</v>
      </c>
      <c r="J48" s="484">
        <f t="shared" si="1"/>
        <v>30679.260000000009</v>
      </c>
      <c r="K48" s="485">
        <f t="shared" si="2"/>
        <v>107.47477731728499</v>
      </c>
      <c r="L48" s="481">
        <f>+'2014 - plan'!F48</f>
        <v>200562.96704692073</v>
      </c>
      <c r="M48" s="481">
        <f>+'2014 - execution '!F47</f>
        <v>171488.41</v>
      </c>
      <c r="N48" s="484">
        <f t="shared" si="3"/>
        <v>-29074.55704692073</v>
      </c>
      <c r="O48" s="486">
        <f t="shared" si="4"/>
        <v>-14.496473339526773</v>
      </c>
      <c r="P48" s="481">
        <f>+'2013 - execution'!F47</f>
        <v>196877.73</v>
      </c>
      <c r="Q48" s="482">
        <f t="shared" si="5"/>
        <v>-25389.320000000007</v>
      </c>
      <c r="R48" s="486">
        <f t="shared" si="6"/>
        <v>-12.895983715375024</v>
      </c>
      <c r="S48" s="387"/>
      <c r="T48" s="387"/>
      <c r="U48" s="387"/>
      <c r="V48" s="440"/>
      <c r="W48" s="492"/>
      <c r="X48" s="492"/>
      <c r="Y48" s="493"/>
      <c r="Z48" s="492"/>
      <c r="AA48" s="493"/>
      <c r="AB48" s="492"/>
      <c r="AC48" s="492"/>
      <c r="AD48" s="493"/>
      <c r="AE48" s="492"/>
      <c r="AF48" s="493"/>
      <c r="AG48" s="341"/>
      <c r="AH48" s="341"/>
      <c r="AI48" s="341"/>
      <c r="AJ48" s="341"/>
      <c r="AK48" s="341"/>
    </row>
    <row r="49" spans="1:37">
      <c r="A49" s="341"/>
      <c r="B49" s="341"/>
      <c r="C49" s="341"/>
      <c r="D49" s="352" t="str">
        <f>IF(MasterSheet!$A$1=1,MasterSheet!C367,MasterSheet!B367)</f>
        <v>Ostali prihodi</v>
      </c>
      <c r="E49" s="481">
        <f>+SUM('2014 - plan'!D49:F49)</f>
        <v>2482690.4935709345</v>
      </c>
      <c r="F49" s="481">
        <f>+'2014 - execution '!P48</f>
        <v>1550193.3499999999</v>
      </c>
      <c r="G49" s="482">
        <f t="shared" si="7"/>
        <v>-932497.14357093466</v>
      </c>
      <c r="H49" s="483">
        <f t="shared" si="0"/>
        <v>62.440056624630088</v>
      </c>
      <c r="I49" s="481">
        <f>+SUM('2013 - execution'!D48:F48)</f>
        <v>2634663.2599999998</v>
      </c>
      <c r="J49" s="484">
        <f t="shared" si="1"/>
        <v>-1084469.9099999999</v>
      </c>
      <c r="K49" s="485">
        <f t="shared" si="2"/>
        <v>58.838386428176783</v>
      </c>
      <c r="L49" s="481">
        <f>+'2014 - plan'!F49</f>
        <v>551636.42647757428</v>
      </c>
      <c r="M49" s="481">
        <f>+'2014 - execution '!F48</f>
        <v>457851.94</v>
      </c>
      <c r="N49" s="484">
        <f t="shared" si="3"/>
        <v>-93784.486477574275</v>
      </c>
      <c r="O49" s="486">
        <f t="shared" si="4"/>
        <v>-17.001140964607217</v>
      </c>
      <c r="P49" s="481">
        <f>+'2013 - execution'!F48</f>
        <v>585403.71</v>
      </c>
      <c r="Q49" s="482">
        <f t="shared" si="5"/>
        <v>-127551.76999999996</v>
      </c>
      <c r="R49" s="486">
        <f t="shared" si="6"/>
        <v>-21.788684940175727</v>
      </c>
      <c r="S49" s="387"/>
      <c r="T49" s="387"/>
      <c r="U49" s="387"/>
      <c r="V49" s="440"/>
      <c r="W49" s="492"/>
      <c r="X49" s="492"/>
      <c r="Y49" s="493"/>
      <c r="Z49" s="492"/>
      <c r="AA49" s="493"/>
      <c r="AB49" s="492"/>
      <c r="AC49" s="492"/>
      <c r="AD49" s="493"/>
      <c r="AE49" s="492"/>
      <c r="AF49" s="493"/>
      <c r="AG49" s="341"/>
      <c r="AH49" s="341"/>
      <c r="AI49" s="341"/>
      <c r="AJ49" s="341"/>
      <c r="AK49" s="341"/>
    </row>
    <row r="50" spans="1:37" ht="26.25" thickBot="1">
      <c r="A50" s="341"/>
      <c r="B50" s="341"/>
      <c r="C50" s="341"/>
      <c r="D50" s="362" t="str">
        <f>IF(MasterSheet!$A$1=1,MasterSheet!C368,MasterSheet!B368)</f>
        <v>Primici od otplate kredita i sredstva prenijeta iz prethodne godine</v>
      </c>
      <c r="E50" s="481">
        <f>+SUM('2014 - plan'!D50:F50)</f>
        <v>690986.01896309899</v>
      </c>
      <c r="F50" s="395">
        <f>+'2014 - execution '!P49</f>
        <v>546163.78</v>
      </c>
      <c r="G50" s="494">
        <f t="shared" si="7"/>
        <v>-144822.23896309896</v>
      </c>
      <c r="H50" s="495">
        <f t="shared" si="0"/>
        <v>79.04122008424703</v>
      </c>
      <c r="I50" s="481">
        <f>+SUM('2013 - execution'!D49:F49)</f>
        <v>741805.88</v>
      </c>
      <c r="J50" s="496">
        <f t="shared" si="1"/>
        <v>-195642.09999999998</v>
      </c>
      <c r="K50" s="497">
        <f t="shared" si="2"/>
        <v>73.626240331230591</v>
      </c>
      <c r="L50" s="481">
        <f>+'2014 - plan'!F50</f>
        <v>279212.95056261157</v>
      </c>
      <c r="M50" s="481">
        <f>+'2014 - execution '!F49</f>
        <v>292731.87</v>
      </c>
      <c r="N50" s="498">
        <f t="shared" si="3"/>
        <v>13518.919437388424</v>
      </c>
      <c r="O50" s="499">
        <f t="shared" si="4"/>
        <v>4.8417952713682979</v>
      </c>
      <c r="P50" s="481">
        <f>+'2013 - execution'!F49</f>
        <v>299748.19</v>
      </c>
      <c r="Q50" s="494">
        <f t="shared" si="5"/>
        <v>-7016.320000000007</v>
      </c>
      <c r="R50" s="499">
        <f t="shared" si="6"/>
        <v>-2.3407380708454042</v>
      </c>
      <c r="S50" s="440"/>
      <c r="T50" s="440"/>
      <c r="U50" s="440"/>
      <c r="V50" s="440"/>
      <c r="W50" s="492"/>
      <c r="X50" s="492"/>
      <c r="Y50" s="493"/>
      <c r="Z50" s="492"/>
      <c r="AA50" s="493"/>
      <c r="AB50" s="492"/>
      <c r="AC50" s="492"/>
      <c r="AD50" s="493"/>
      <c r="AE50" s="492"/>
      <c r="AF50" s="493"/>
      <c r="AG50" s="341"/>
      <c r="AH50" s="341"/>
      <c r="AI50" s="341"/>
      <c r="AJ50" s="341"/>
      <c r="AK50" s="341"/>
    </row>
    <row r="51" spans="1:37" ht="14.25" thickTop="1" thickBot="1">
      <c r="A51" s="341"/>
      <c r="B51" s="341"/>
      <c r="C51" s="341"/>
      <c r="D51" s="500" t="str">
        <f>IF(MasterSheet!$A$1=1,MasterSheet!C369,MasterSheet!B369)</f>
        <v>Izdaci</v>
      </c>
      <c r="E51" s="501">
        <f>+SUM('2014 - plan'!D51:F51)</f>
        <v>334401267.45500004</v>
      </c>
      <c r="F51" s="501">
        <f>+'2014 - execution '!P50</f>
        <v>301680234.3557058</v>
      </c>
      <c r="G51" s="470">
        <f t="shared" si="7"/>
        <v>-32721033.099294245</v>
      </c>
      <c r="H51" s="502">
        <f>+F51/E51*100</f>
        <v>90.215039150921442</v>
      </c>
      <c r="I51" s="501">
        <f>+SUM('2013 - execution'!D50:F50)</f>
        <v>279260267.22949791</v>
      </c>
      <c r="J51" s="470">
        <f t="shared" si="1"/>
        <v>22419967.126207888</v>
      </c>
      <c r="K51" s="502">
        <f t="shared" si="2"/>
        <v>108.02834121324642</v>
      </c>
      <c r="L51" s="501">
        <f>+'2014 - plan'!F51</f>
        <v>111467089.15166669</v>
      </c>
      <c r="M51" s="501">
        <f>+'2014 - execution '!F50</f>
        <v>118427606.67570575</v>
      </c>
      <c r="N51" s="470">
        <f t="shared" si="3"/>
        <v>6960517.5240390599</v>
      </c>
      <c r="O51" s="502">
        <f t="shared" si="4"/>
        <v>6.2444597566984896</v>
      </c>
      <c r="P51" s="501">
        <f>+'2013 - execution'!F50</f>
        <v>103836205.75428365</v>
      </c>
      <c r="Q51" s="470">
        <f t="shared" si="5"/>
        <v>14591400.921422094</v>
      </c>
      <c r="R51" s="502">
        <f t="shared" si="6"/>
        <v>14.052324827768615</v>
      </c>
      <c r="S51" s="503"/>
      <c r="T51" s="503"/>
      <c r="U51" s="503"/>
      <c r="V51" s="440"/>
      <c r="W51" s="492"/>
      <c r="X51" s="492"/>
      <c r="Y51" s="493"/>
      <c r="Z51" s="492"/>
      <c r="AA51" s="493"/>
      <c r="AB51" s="492"/>
      <c r="AC51" s="492"/>
      <c r="AD51" s="493"/>
      <c r="AE51" s="492"/>
      <c r="AF51" s="493"/>
      <c r="AG51" s="341"/>
      <c r="AH51" s="341"/>
      <c r="AI51" s="341"/>
      <c r="AJ51" s="341"/>
      <c r="AK51" s="341"/>
    </row>
    <row r="52" spans="1:37" ht="14.25" thickTop="1" thickBot="1">
      <c r="A52" s="341"/>
      <c r="B52" s="341"/>
      <c r="C52" s="341"/>
      <c r="D52" s="500" t="str">
        <f>IF(MasterSheet!$A$1=1,MasterSheet!C370,MasterSheet!B370)</f>
        <v>Tekuća budžetska potrošnja</v>
      </c>
      <c r="E52" s="501">
        <f>+SUM('2014 - plan'!D52:F52)</f>
        <v>308946142.45500004</v>
      </c>
      <c r="F52" s="501">
        <f>+'2014 - execution '!P51</f>
        <v>293112029.56570578</v>
      </c>
      <c r="G52" s="470">
        <f t="shared" si="7"/>
        <v>-15834112.889294267</v>
      </c>
      <c r="H52" s="502">
        <f t="shared" si="0"/>
        <v>94.874798318091763</v>
      </c>
      <c r="I52" s="501">
        <f>+SUM('2013 - execution'!D51:F51)</f>
        <v>272691883.14949793</v>
      </c>
      <c r="J52" s="470">
        <f t="shared" si="1"/>
        <v>20420146.41620785</v>
      </c>
      <c r="K52" s="502">
        <f t="shared" si="2"/>
        <v>107.48835872207201</v>
      </c>
      <c r="L52" s="501">
        <f>+'2014 - plan'!F52</f>
        <v>102982047.48500001</v>
      </c>
      <c r="M52" s="501">
        <f>+'2014 - execution '!F51</f>
        <v>112226958.04570575</v>
      </c>
      <c r="N52" s="470">
        <f t="shared" si="3"/>
        <v>9244910.5607057363</v>
      </c>
      <c r="O52" s="502">
        <f t="shared" si="4"/>
        <v>8.9772060145263026</v>
      </c>
      <c r="P52" s="501">
        <f>+'2013 - execution'!F51</f>
        <v>99413964.504283652</v>
      </c>
      <c r="Q52" s="470">
        <f t="shared" si="5"/>
        <v>12812993.541422099</v>
      </c>
      <c r="R52" s="502">
        <f t="shared" si="6"/>
        <v>12.888524872046531</v>
      </c>
      <c r="S52" s="503"/>
      <c r="T52" s="503"/>
      <c r="U52" s="503"/>
      <c r="V52" s="440"/>
      <c r="W52" s="492"/>
      <c r="X52" s="492"/>
      <c r="Y52" s="493"/>
      <c r="Z52" s="492"/>
      <c r="AA52" s="493"/>
      <c r="AB52" s="492"/>
      <c r="AC52" s="492"/>
      <c r="AD52" s="493"/>
      <c r="AE52" s="492"/>
      <c r="AF52" s="493"/>
      <c r="AG52" s="341"/>
      <c r="AH52" s="341"/>
      <c r="AI52" s="341"/>
      <c r="AJ52" s="341"/>
      <c r="AK52" s="341"/>
    </row>
    <row r="53" spans="1:37" ht="13.5" thickTop="1">
      <c r="A53" s="341"/>
      <c r="B53" s="341"/>
      <c r="C53" s="341"/>
      <c r="D53" s="355" t="str">
        <f>IF(MasterSheet!$A$1=1,MasterSheet!C371,MasterSheet!B371)</f>
        <v>Tekući izdaci</v>
      </c>
      <c r="E53" s="504">
        <f>+SUM('2014 - plan'!D53:F53)</f>
        <v>156381618.36500004</v>
      </c>
      <c r="F53" s="504">
        <f>+'2014 - execution '!P52</f>
        <v>135380399.96570575</v>
      </c>
      <c r="G53" s="505">
        <f t="shared" si="7"/>
        <v>-21001218.399294287</v>
      </c>
      <c r="H53" s="506">
        <f t="shared" si="0"/>
        <v>86.570532637488938</v>
      </c>
      <c r="I53" s="504">
        <f>+SUM('2013 - execution'!D52:F52)</f>
        <v>129562888.71949796</v>
      </c>
      <c r="J53" s="507">
        <f t="shared" si="1"/>
        <v>5817511.2462077886</v>
      </c>
      <c r="K53" s="508">
        <f t="shared" si="2"/>
        <v>104.49010615902725</v>
      </c>
      <c r="L53" s="504">
        <f>+'2014 - plan'!F53</f>
        <v>52127206.121666677</v>
      </c>
      <c r="M53" s="509">
        <f>+'2014 - execution '!F52</f>
        <v>52034698.195705727</v>
      </c>
      <c r="N53" s="505">
        <f t="shared" si="3"/>
        <v>-92507.925960950553</v>
      </c>
      <c r="O53" s="510">
        <f t="shared" si="4"/>
        <v>-0.17746572825144824</v>
      </c>
      <c r="P53" s="509">
        <f>+'2013 - execution'!F52</f>
        <v>48974523.46428369</v>
      </c>
      <c r="Q53" s="498">
        <f t="shared" si="5"/>
        <v>3060174.7314220369</v>
      </c>
      <c r="R53" s="510">
        <f t="shared" si="6"/>
        <v>6.2485033338890474</v>
      </c>
      <c r="S53" s="440"/>
      <c r="T53" s="440"/>
      <c r="U53" s="440"/>
      <c r="V53" s="341"/>
      <c r="W53" s="490"/>
      <c r="X53" s="490"/>
      <c r="Y53" s="489"/>
      <c r="Z53" s="490"/>
      <c r="AA53" s="489"/>
      <c r="AB53" s="490"/>
      <c r="AC53" s="490"/>
      <c r="AD53" s="489"/>
      <c r="AE53" s="490"/>
      <c r="AF53" s="489"/>
      <c r="AG53" s="341"/>
      <c r="AH53" s="341"/>
      <c r="AI53" s="341"/>
      <c r="AJ53" s="341"/>
      <c r="AK53" s="341"/>
    </row>
    <row r="54" spans="1:37">
      <c r="A54" s="341"/>
      <c r="B54" s="341"/>
      <c r="C54" s="341"/>
      <c r="D54" s="355" t="str">
        <f>IF(MasterSheet!$A$1=1,MasterSheet!C372,MasterSheet!B372)</f>
        <v>Bruto zarade i doprinosi na teret poslodavca</v>
      </c>
      <c r="E54" s="511">
        <f>+SUM('2014 - plan'!D54:F54)</f>
        <v>96622173.430000037</v>
      </c>
      <c r="F54" s="511">
        <f>+'2014 - execution '!P53</f>
        <v>95262960.335705757</v>
      </c>
      <c r="G54" s="505">
        <f t="shared" si="7"/>
        <v>-1359213.0942942798</v>
      </c>
      <c r="H54" s="506">
        <f t="shared" si="0"/>
        <v>98.593270006207234</v>
      </c>
      <c r="I54" s="511">
        <f>+SUM('2013 - execution'!D53:F53)</f>
        <v>92856928.319497958</v>
      </c>
      <c r="J54" s="512">
        <f t="shared" si="1"/>
        <v>2406032.0162077993</v>
      </c>
      <c r="K54" s="508">
        <f t="shared" si="2"/>
        <v>102.59111738860156</v>
      </c>
      <c r="L54" s="513">
        <f>+'2014 - plan'!F54</f>
        <v>32207391.143333346</v>
      </c>
      <c r="M54" s="513">
        <f>+'2014 - execution '!F53</f>
        <v>31531809.965705734</v>
      </c>
      <c r="N54" s="505">
        <f t="shared" si="3"/>
        <v>-675581.17762761191</v>
      </c>
      <c r="O54" s="510">
        <f t="shared" si="4"/>
        <v>-2.0975967119505441</v>
      </c>
      <c r="P54" s="513">
        <f>+'2013 - execution'!F53</f>
        <v>30531562.024283696</v>
      </c>
      <c r="Q54" s="498">
        <f t="shared" si="5"/>
        <v>1000247.9414220378</v>
      </c>
      <c r="R54" s="510">
        <f t="shared" si="6"/>
        <v>3.276111260296716</v>
      </c>
      <c r="S54" s="440"/>
      <c r="T54" s="440"/>
      <c r="U54" s="440"/>
      <c r="V54" s="341"/>
      <c r="W54" s="492"/>
      <c r="X54" s="492"/>
      <c r="Y54" s="493"/>
      <c r="Z54" s="492"/>
      <c r="AA54" s="493"/>
      <c r="AB54" s="492"/>
      <c r="AC54" s="492"/>
      <c r="AD54" s="493"/>
      <c r="AE54" s="492"/>
      <c r="AF54" s="493"/>
      <c r="AG54" s="341"/>
      <c r="AH54" s="341"/>
      <c r="AI54" s="341"/>
      <c r="AJ54" s="341"/>
      <c r="AK54" s="341"/>
    </row>
    <row r="55" spans="1:37">
      <c r="A55" s="341"/>
      <c r="B55" s="341"/>
      <c r="C55" s="341"/>
      <c r="D55" s="352" t="str">
        <f>IF(MasterSheet!$A$1=1,MasterSheet!C373,MasterSheet!B373)</f>
        <v>Neto zarade</v>
      </c>
      <c r="E55" s="481">
        <f>+SUM('2014 - plan'!D55:F55)</f>
        <v>56624191.395000041</v>
      </c>
      <c r="F55" s="481">
        <f>+'2014 - execution '!P54</f>
        <v>56489913.090000026</v>
      </c>
      <c r="G55" s="482">
        <f t="shared" si="7"/>
        <v>-134278.3050000146</v>
      </c>
      <c r="H55" s="483">
        <f t="shared" si="0"/>
        <v>99.762860534178202</v>
      </c>
      <c r="I55" s="481">
        <f>+SUM('2013 - execution'!D54:F54)</f>
        <v>56239798.630000025</v>
      </c>
      <c r="J55" s="514">
        <f t="shared" si="1"/>
        <v>250114.46000000089</v>
      </c>
      <c r="K55" s="515">
        <f t="shared" si="2"/>
        <v>100.44472858383703</v>
      </c>
      <c r="L55" s="513">
        <f>+'2014 - plan'!F55</f>
        <v>18874730.465000015</v>
      </c>
      <c r="M55" s="513">
        <f>+'2014 - execution '!F54</f>
        <v>18681080.550000012</v>
      </c>
      <c r="N55" s="482">
        <f t="shared" si="3"/>
        <v>-193649.91500000283</v>
      </c>
      <c r="O55" s="486">
        <f t="shared" si="4"/>
        <v>-1.0259744654849072</v>
      </c>
      <c r="P55" s="513">
        <f>+'2013 - execution'!F54</f>
        <v>18491769.340000011</v>
      </c>
      <c r="Q55" s="484">
        <f t="shared" si="5"/>
        <v>189311.21000000089</v>
      </c>
      <c r="R55" s="486">
        <f t="shared" si="6"/>
        <v>1.0237593089077706</v>
      </c>
      <c r="S55" s="387"/>
      <c r="T55" s="387"/>
      <c r="U55" s="368"/>
      <c r="V55" s="341"/>
      <c r="W55" s="492"/>
      <c r="X55" s="492"/>
      <c r="Y55" s="493"/>
      <c r="Z55" s="492"/>
      <c r="AA55" s="493"/>
      <c r="AB55" s="492"/>
      <c r="AC55" s="492"/>
      <c r="AD55" s="493"/>
      <c r="AE55" s="492"/>
      <c r="AF55" s="493"/>
      <c r="AG55" s="341"/>
      <c r="AH55" s="341"/>
      <c r="AI55" s="341"/>
      <c r="AJ55" s="341"/>
      <c r="AK55" s="341"/>
    </row>
    <row r="56" spans="1:37">
      <c r="A56" s="341"/>
      <c r="B56" s="341"/>
      <c r="C56" s="341"/>
      <c r="D56" s="352" t="str">
        <f>IF(MasterSheet!$A$1=1,MasterSheet!C374,MasterSheet!B374)</f>
        <v>Porez na zarade</v>
      </c>
      <c r="E56" s="481">
        <f>+SUM('2014 - plan'!D56:F56)</f>
        <v>8140229.6199999964</v>
      </c>
      <c r="F56" s="481">
        <f>+'2014 - execution '!P55</f>
        <v>8038196.2698727511</v>
      </c>
      <c r="G56" s="482">
        <f t="shared" si="7"/>
        <v>-102033.3501272453</v>
      </c>
      <c r="H56" s="483">
        <f t="shared" si="0"/>
        <v>98.746554398458784</v>
      </c>
      <c r="I56" s="481">
        <f>+SUM('2013 - execution'!D55:F55)</f>
        <v>7288794.4754371606</v>
      </c>
      <c r="J56" s="514">
        <f t="shared" si="1"/>
        <v>749401.79443559051</v>
      </c>
      <c r="K56" s="515">
        <f t="shared" si="2"/>
        <v>110.28156023552363</v>
      </c>
      <c r="L56" s="513">
        <f>+'2014 - plan'!F56</f>
        <v>2713409.8733333321</v>
      </c>
      <c r="M56" s="513">
        <f>+'2014 - execution '!F55</f>
        <v>2657180.3198727532</v>
      </c>
      <c r="N56" s="482">
        <f t="shared" si="3"/>
        <v>-56229.5534605789</v>
      </c>
      <c r="O56" s="486">
        <f t="shared" si="4"/>
        <v>-2.0722838083987227</v>
      </c>
      <c r="P56" s="513">
        <f>+'2013 - execution'!F55</f>
        <v>2396571.6359189297</v>
      </c>
      <c r="Q56" s="484">
        <f t="shared" si="5"/>
        <v>260608.68395382352</v>
      </c>
      <c r="R56" s="486">
        <f t="shared" si="6"/>
        <v>10.874228837891465</v>
      </c>
      <c r="S56" s="387"/>
      <c r="T56" s="387"/>
      <c r="U56" s="368"/>
      <c r="V56" s="341"/>
      <c r="W56" s="492"/>
      <c r="X56" s="492"/>
      <c r="Y56" s="493"/>
      <c r="Z56" s="492"/>
      <c r="AA56" s="493"/>
      <c r="AB56" s="492"/>
      <c r="AC56" s="492"/>
      <c r="AD56" s="493"/>
      <c r="AE56" s="492"/>
      <c r="AF56" s="493"/>
      <c r="AG56" s="341"/>
      <c r="AH56" s="341"/>
      <c r="AI56" s="341"/>
      <c r="AJ56" s="341"/>
      <c r="AK56" s="341"/>
    </row>
    <row r="57" spans="1:37">
      <c r="A57" s="341"/>
      <c r="B57" s="341"/>
      <c r="C57" s="341"/>
      <c r="D57" s="352" t="str">
        <f>IF(MasterSheet!$A$1=1,MasterSheet!C375,MasterSheet!B375)</f>
        <v>Doprinosi na teret zaposlenog</v>
      </c>
      <c r="E57" s="481">
        <f>+SUM('2014 - plan'!D57:F57)</f>
        <v>20280541.535</v>
      </c>
      <c r="F57" s="481">
        <f>+'2014 - execution '!P56</f>
        <v>19597345.468481623</v>
      </c>
      <c r="G57" s="482">
        <f t="shared" si="7"/>
        <v>-683196.06651837751</v>
      </c>
      <c r="H57" s="483">
        <f t="shared" si="0"/>
        <v>96.631273058762645</v>
      </c>
      <c r="I57" s="481">
        <f>+SUM('2013 - execution'!D56:F56)</f>
        <v>19020009.648313627</v>
      </c>
      <c r="J57" s="514">
        <f t="shared" si="1"/>
        <v>577335.82016799599</v>
      </c>
      <c r="K57" s="515">
        <f t="shared" si="2"/>
        <v>103.03541286699181</v>
      </c>
      <c r="L57" s="513">
        <f>+'2014 - plan'!F57</f>
        <v>6760180.5116666667</v>
      </c>
      <c r="M57" s="513">
        <f>+'2014 - execution '!F56</f>
        <v>6493789.3484816197</v>
      </c>
      <c r="N57" s="482">
        <f t="shared" si="3"/>
        <v>-266391.16318504699</v>
      </c>
      <c r="O57" s="486">
        <f t="shared" si="4"/>
        <v>-3.9405924549693765</v>
      </c>
      <c r="P57" s="513">
        <f>+'2013 - execution'!F56</f>
        <v>6253820.9564921083</v>
      </c>
      <c r="Q57" s="484">
        <f t="shared" si="5"/>
        <v>239968.39198951144</v>
      </c>
      <c r="R57" s="486">
        <f t="shared" si="6"/>
        <v>3.8371484194858425</v>
      </c>
      <c r="S57" s="387"/>
      <c r="T57" s="387"/>
      <c r="U57" s="368"/>
      <c r="V57" s="341"/>
      <c r="W57" s="492"/>
      <c r="X57" s="492"/>
      <c r="Y57" s="493"/>
      <c r="Z57" s="492"/>
      <c r="AA57" s="493"/>
      <c r="AB57" s="492"/>
      <c r="AC57" s="492"/>
      <c r="AD57" s="493"/>
      <c r="AE57" s="492"/>
      <c r="AF57" s="493"/>
      <c r="AG57" s="341"/>
      <c r="AH57" s="341"/>
      <c r="AI57" s="341"/>
      <c r="AJ57" s="341"/>
      <c r="AK57" s="341"/>
    </row>
    <row r="58" spans="1:37">
      <c r="A58" s="341"/>
      <c r="B58" s="341"/>
      <c r="C58" s="341"/>
      <c r="D58" s="352" t="str">
        <f>IF(MasterSheet!$A$1=1,MasterSheet!C376,MasterSheet!B376)</f>
        <v>Doprinosi na teret poslodavca</v>
      </c>
      <c r="E58" s="481">
        <f>+SUM('2014 - plan'!D58:F58)</f>
        <v>10424827.065000001</v>
      </c>
      <c r="F58" s="481">
        <f>+'2014 - execution '!P57</f>
        <v>10275057.285682417</v>
      </c>
      <c r="G58" s="482">
        <f t="shared" si="7"/>
        <v>-149769.77931758389</v>
      </c>
      <c r="H58" s="483">
        <f t="shared" si="0"/>
        <v>98.563335598914477</v>
      </c>
      <c r="I58" s="481">
        <f>+SUM('2013 - execution'!D57:F57)</f>
        <v>9960827.0004493427</v>
      </c>
      <c r="J58" s="514">
        <f t="shared" si="1"/>
        <v>314230.2852330748</v>
      </c>
      <c r="K58" s="515">
        <f t="shared" si="2"/>
        <v>103.15466060417373</v>
      </c>
      <c r="L58" s="513">
        <f>+'2014 - plan'!F58</f>
        <v>3474942.3550000004</v>
      </c>
      <c r="M58" s="513">
        <f>+'2014 - execution '!F57</f>
        <v>3325734.465682406</v>
      </c>
      <c r="N58" s="482">
        <f t="shared" si="3"/>
        <v>-149207.88931759447</v>
      </c>
      <c r="O58" s="486">
        <f t="shared" si="4"/>
        <v>-4.2938234386220415</v>
      </c>
      <c r="P58" s="513">
        <f>+'2013 - execution'!F57</f>
        <v>3275141.8002001713</v>
      </c>
      <c r="Q58" s="484">
        <f t="shared" si="5"/>
        <v>50592.665482234675</v>
      </c>
      <c r="R58" s="486">
        <f t="shared" si="6"/>
        <v>1.5447473290818294</v>
      </c>
      <c r="S58" s="387"/>
      <c r="T58" s="387"/>
      <c r="U58" s="368"/>
      <c r="V58" s="341"/>
      <c r="W58" s="490"/>
      <c r="X58" s="490"/>
      <c r="Y58" s="489"/>
      <c r="Z58" s="490"/>
      <c r="AA58" s="489"/>
      <c r="AB58" s="490"/>
      <c r="AC58" s="490"/>
      <c r="AD58" s="489"/>
      <c r="AE58" s="490"/>
      <c r="AF58" s="489"/>
      <c r="AG58" s="341"/>
      <c r="AH58" s="341"/>
      <c r="AI58" s="341"/>
      <c r="AJ58" s="341"/>
      <c r="AK58" s="341"/>
    </row>
    <row r="59" spans="1:37">
      <c r="A59" s="341"/>
      <c r="B59" s="341"/>
      <c r="C59" s="341"/>
      <c r="D59" s="352" t="str">
        <f>IF(MasterSheet!$A$1=1,MasterSheet!C377,MasterSheet!B377)</f>
        <v>Prirez na porez na dohodak</v>
      </c>
      <c r="E59" s="481">
        <f>+SUM('2014 - plan'!D59:F59)</f>
        <v>1152383.8150000002</v>
      </c>
      <c r="F59" s="481">
        <f>+'2014 - execution '!P58</f>
        <v>862448.22166894574</v>
      </c>
      <c r="G59" s="482">
        <f t="shared" si="7"/>
        <v>-289935.59333105444</v>
      </c>
      <c r="H59" s="483">
        <f t="shared" si="0"/>
        <v>74.840362251091292</v>
      </c>
      <c r="I59" s="481">
        <f>+SUM('2013 - execution'!D58:F58)</f>
        <v>347498.56529780396</v>
      </c>
      <c r="J59" s="514">
        <f t="shared" si="1"/>
        <v>514949.65637114178</v>
      </c>
      <c r="K59" s="515">
        <f t="shared" si="2"/>
        <v>248.18756328672418</v>
      </c>
      <c r="L59" s="513">
        <f>+'2014 - plan'!F59</f>
        <v>384127.93833333341</v>
      </c>
      <c r="M59" s="513">
        <f>+'2014 - execution '!F58</f>
        <v>374025.28166894638</v>
      </c>
      <c r="N59" s="482">
        <f t="shared" si="3"/>
        <v>-10102.656664387032</v>
      </c>
      <c r="O59" s="486">
        <f t="shared" si="4"/>
        <v>-2.6300239207334783</v>
      </c>
      <c r="P59" s="513">
        <f>+'2013 - execution'!F58</f>
        <v>114258.29167247713</v>
      </c>
      <c r="Q59" s="484">
        <f t="shared" si="5"/>
        <v>259766.98999646923</v>
      </c>
      <c r="R59" s="486">
        <f t="shared" si="6"/>
        <v>227.35066855462418</v>
      </c>
      <c r="S59" s="387"/>
      <c r="T59" s="387"/>
      <c r="U59" s="368"/>
      <c r="V59" s="341"/>
      <c r="W59" s="365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</row>
    <row r="60" spans="1:37">
      <c r="A60" s="341"/>
      <c r="B60" s="341"/>
      <c r="C60" s="341"/>
      <c r="D60" s="355" t="str">
        <f>IF(MasterSheet!$A$1=1,MasterSheet!C378,MasterSheet!B378)</f>
        <v>Ostala lična primanja</v>
      </c>
      <c r="E60" s="511">
        <f>+SUM('2014 - plan'!D60:F60)</f>
        <v>2869540.99</v>
      </c>
      <c r="F60" s="511">
        <f>+'2014 - execution '!P59</f>
        <v>2210999.2299999995</v>
      </c>
      <c r="G60" s="505">
        <f t="shared" si="7"/>
        <v>-658541.76000000071</v>
      </c>
      <c r="H60" s="506">
        <f t="shared" si="0"/>
        <v>77.050623695743042</v>
      </c>
      <c r="I60" s="511">
        <f>+SUM('2013 - execution'!D59:F59)</f>
        <v>3274464.34</v>
      </c>
      <c r="J60" s="512">
        <f t="shared" si="1"/>
        <v>-1063465.1100000003</v>
      </c>
      <c r="K60" s="508">
        <f t="shared" si="2"/>
        <v>67.522470866181422</v>
      </c>
      <c r="L60" s="513">
        <f>+'2014 - plan'!F60</f>
        <v>956513.66333333333</v>
      </c>
      <c r="M60" s="513">
        <f>+'2014 - execution '!F59</f>
        <v>1312845.2299999997</v>
      </c>
      <c r="N60" s="505">
        <f t="shared" si="3"/>
        <v>356331.56666666642</v>
      </c>
      <c r="O60" s="510">
        <f t="shared" si="4"/>
        <v>37.25316012997601</v>
      </c>
      <c r="P60" s="513">
        <f>+'2013 - execution'!F59</f>
        <v>1196100.06</v>
      </c>
      <c r="Q60" s="498">
        <f t="shared" si="5"/>
        <v>116745.16999999969</v>
      </c>
      <c r="R60" s="510">
        <f t="shared" si="6"/>
        <v>9.7604852557234807</v>
      </c>
      <c r="S60" s="440"/>
      <c r="T60" s="440"/>
      <c r="U60" s="368"/>
      <c r="V60" s="341"/>
      <c r="W60" s="365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</row>
    <row r="61" spans="1:37">
      <c r="A61" s="341"/>
      <c r="B61" s="341"/>
      <c r="C61" s="341"/>
      <c r="D61" s="355" t="str">
        <f>IF(MasterSheet!$A$1=1,MasterSheet!C379,MasterSheet!B379)</f>
        <v>Rashodi za materijal i usluge</v>
      </c>
      <c r="E61" s="511">
        <f>+SUM('2014 - plan'!D61:F61)</f>
        <v>22302582.567500003</v>
      </c>
      <c r="F61" s="511">
        <f>+'2014 - execution '!P60</f>
        <v>17652323.089999996</v>
      </c>
      <c r="G61" s="505">
        <f t="shared" si="7"/>
        <v>-4650259.4775000066</v>
      </c>
      <c r="H61" s="506">
        <f t="shared" si="0"/>
        <v>79.149233218055628</v>
      </c>
      <c r="I61" s="511">
        <f>+SUM('2013 - execution'!D60:F60)</f>
        <v>17921085.939999998</v>
      </c>
      <c r="J61" s="512">
        <f t="shared" si="1"/>
        <v>-268762.85000000149</v>
      </c>
      <c r="K61" s="508">
        <f t="shared" si="2"/>
        <v>98.50029819119321</v>
      </c>
      <c r="L61" s="513">
        <f>+'2014 - plan'!F61</f>
        <v>7434194.1891666669</v>
      </c>
      <c r="M61" s="513">
        <f>+'2014 - execution '!F60</f>
        <v>8670954.8499999996</v>
      </c>
      <c r="N61" s="505">
        <f t="shared" si="3"/>
        <v>1236760.6608333327</v>
      </c>
      <c r="O61" s="510">
        <f t="shared" si="4"/>
        <v>16.636109164804665</v>
      </c>
      <c r="P61" s="513">
        <f>+'2013 - execution'!F60</f>
        <v>8056211.3999999994</v>
      </c>
      <c r="Q61" s="498">
        <f t="shared" si="5"/>
        <v>614743.45000000019</v>
      </c>
      <c r="R61" s="510">
        <f t="shared" si="6"/>
        <v>7.6306767471370023</v>
      </c>
      <c r="S61" s="440"/>
      <c r="T61" s="440"/>
      <c r="U61" s="368"/>
      <c r="V61" s="341"/>
      <c r="W61" s="365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</row>
    <row r="62" spans="1:37">
      <c r="A62" s="341"/>
      <c r="B62" s="341"/>
      <c r="C62" s="341"/>
      <c r="D62" s="355" t="str">
        <f>IF(MasterSheet!$A$1=1,MasterSheet!C380,MasterSheet!B380)</f>
        <v>Tekuće održavanje</v>
      </c>
      <c r="E62" s="511">
        <f>+SUM('2014 - plan'!D62:F62)</f>
        <v>5413850.7999999989</v>
      </c>
      <c r="F62" s="511">
        <f>+'2014 - execution '!P61</f>
        <v>2013981.9999999998</v>
      </c>
      <c r="G62" s="505">
        <f t="shared" si="7"/>
        <v>-3399868.7999999989</v>
      </c>
      <c r="H62" s="506">
        <f t="shared" si="0"/>
        <v>37.200544942982177</v>
      </c>
      <c r="I62" s="511">
        <f>+SUM('2013 - execution'!D61:F61)</f>
        <v>2974245.2800000003</v>
      </c>
      <c r="J62" s="512">
        <f t="shared" si="1"/>
        <v>-960263.28000000049</v>
      </c>
      <c r="K62" s="508">
        <f t="shared" si="2"/>
        <v>67.714052151072067</v>
      </c>
      <c r="L62" s="513">
        <f>+'2014 - plan'!F62</f>
        <v>1804616.9333333331</v>
      </c>
      <c r="M62" s="513">
        <f>+'2014 - execution '!F61</f>
        <v>1189329.8499999999</v>
      </c>
      <c r="N62" s="505">
        <f t="shared" si="3"/>
        <v>-615287.08333333326</v>
      </c>
      <c r="O62" s="510">
        <f t="shared" si="4"/>
        <v>-34.095162910658715</v>
      </c>
      <c r="P62" s="513">
        <f>+'2013 - execution'!F61</f>
        <v>2188111.64</v>
      </c>
      <c r="Q62" s="498">
        <f t="shared" si="5"/>
        <v>-998781.79000000027</v>
      </c>
      <c r="R62" s="510">
        <f t="shared" si="6"/>
        <v>-45.645833226315645</v>
      </c>
      <c r="S62" s="440"/>
      <c r="T62" s="440"/>
      <c r="U62" s="368"/>
      <c r="V62" s="341"/>
      <c r="W62" s="365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</row>
    <row r="63" spans="1:37">
      <c r="A63" s="341"/>
      <c r="B63" s="341"/>
      <c r="C63" s="341"/>
      <c r="D63" s="355" t="str">
        <f>IF(MasterSheet!$A$1=1,MasterSheet!C381,MasterSheet!B381)</f>
        <v>Kamate</v>
      </c>
      <c r="E63" s="511">
        <f>+SUM('2014 - plan'!D63:F63)</f>
        <v>18329030.780000001</v>
      </c>
      <c r="F63" s="511">
        <f>+'2014 - execution '!P62</f>
        <v>8046961.4000000004</v>
      </c>
      <c r="G63" s="505">
        <f t="shared" si="7"/>
        <v>-10282069.380000001</v>
      </c>
      <c r="H63" s="506">
        <f t="shared" si="0"/>
        <v>43.902820048622345</v>
      </c>
      <c r="I63" s="511">
        <f>+SUM('2013 - execution'!D62:F62)</f>
        <v>4452044.4800000004</v>
      </c>
      <c r="J63" s="512">
        <f t="shared" si="1"/>
        <v>3594916.92</v>
      </c>
      <c r="K63" s="508">
        <f t="shared" si="2"/>
        <v>180.74755174054326</v>
      </c>
      <c r="L63" s="513">
        <f>+'2014 - plan'!F63</f>
        <v>6109676.9266666668</v>
      </c>
      <c r="M63" s="513">
        <f>+'2014 - execution '!F62</f>
        <v>4625288.92</v>
      </c>
      <c r="N63" s="505">
        <f t="shared" si="3"/>
        <v>-1484388.0066666668</v>
      </c>
      <c r="O63" s="510">
        <f t="shared" si="4"/>
        <v>-24.29568739040549</v>
      </c>
      <c r="P63" s="513">
        <f>+'2013 - execution'!F62</f>
        <v>2136902.62</v>
      </c>
      <c r="Q63" s="498">
        <f t="shared" si="5"/>
        <v>2488386.2999999998</v>
      </c>
      <c r="R63" s="510">
        <f t="shared" si="6"/>
        <v>116.44827783495347</v>
      </c>
      <c r="S63" s="440"/>
      <c r="T63" s="440"/>
      <c r="U63" s="368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</row>
    <row r="64" spans="1:37">
      <c r="A64" s="341"/>
      <c r="B64" s="341"/>
      <c r="C64" s="341"/>
      <c r="D64" s="355" t="str">
        <f>IF(MasterSheet!$A$1=1,MasterSheet!C382,MasterSheet!B382)</f>
        <v>Renta</v>
      </c>
      <c r="E64" s="511">
        <f>+SUM('2014 - plan'!D64:F64)</f>
        <v>2043200.5349999999</v>
      </c>
      <c r="F64" s="511">
        <f>+'2014 - execution '!P63</f>
        <v>2103993.16</v>
      </c>
      <c r="G64" s="505">
        <f t="shared" si="7"/>
        <v>60792.625000000233</v>
      </c>
      <c r="H64" s="506">
        <f t="shared" si="0"/>
        <v>102.97536262146683</v>
      </c>
      <c r="I64" s="511">
        <f>+SUM('2013 - execution'!D63:F63)</f>
        <v>1817364.49</v>
      </c>
      <c r="J64" s="512">
        <f t="shared" si="1"/>
        <v>286628.67000000016</v>
      </c>
      <c r="K64" s="508">
        <f t="shared" si="2"/>
        <v>115.77166669521534</v>
      </c>
      <c r="L64" s="513">
        <f>+'2014 - plan'!F64</f>
        <v>681066.84499999997</v>
      </c>
      <c r="M64" s="513">
        <f>+'2014 - execution '!F63</f>
        <v>631213.78</v>
      </c>
      <c r="N64" s="505">
        <f t="shared" si="3"/>
        <v>-49853.064999999944</v>
      </c>
      <c r="O64" s="510">
        <f t="shared" si="4"/>
        <v>-7.3198490524083439</v>
      </c>
      <c r="P64" s="513">
        <f>+'2013 - execution'!F63</f>
        <v>717206.67999999993</v>
      </c>
      <c r="Q64" s="498">
        <f t="shared" si="5"/>
        <v>-85992.899999999907</v>
      </c>
      <c r="R64" s="510">
        <f t="shared" si="6"/>
        <v>-11.989974772683368</v>
      </c>
      <c r="S64" s="440"/>
      <c r="T64" s="440"/>
      <c r="U64" s="368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</row>
    <row r="65" spans="1:37">
      <c r="A65" s="341"/>
      <c r="B65" s="341"/>
      <c r="C65" s="341"/>
      <c r="D65" s="355" t="str">
        <f>IF(MasterSheet!$A$1=1,MasterSheet!C383,MasterSheet!B383)</f>
        <v>Subvencije</v>
      </c>
      <c r="E65" s="511">
        <f>+SUM('2014 - plan'!D65:F65)</f>
        <v>4718650</v>
      </c>
      <c r="F65" s="511">
        <f>+'2014 - execution '!P64</f>
        <v>6092924.5499999998</v>
      </c>
      <c r="G65" s="505">
        <f t="shared" si="7"/>
        <v>1374274.5499999998</v>
      </c>
      <c r="H65" s="506">
        <f t="shared" si="0"/>
        <v>129.12431627690123</v>
      </c>
      <c r="I65" s="511">
        <f>+SUM('2013 - execution'!D64:F64)</f>
        <v>4316666.1099999994</v>
      </c>
      <c r="J65" s="512">
        <f t="shared" si="1"/>
        <v>1776258.4400000004</v>
      </c>
      <c r="K65" s="508">
        <f t="shared" si="2"/>
        <v>141.14884947633811</v>
      </c>
      <c r="L65" s="513">
        <f>+'2014 - plan'!F65</f>
        <v>1572883.3333333333</v>
      </c>
      <c r="M65" s="513">
        <f>+'2014 - execution '!F64</f>
        <v>3024119.07</v>
      </c>
      <c r="N65" s="505">
        <f t="shared" si="3"/>
        <v>1451235.7366666666</v>
      </c>
      <c r="O65" s="510">
        <f t="shared" si="4"/>
        <v>92.2659491591875</v>
      </c>
      <c r="P65" s="513">
        <f>+'2013 - execution'!F64</f>
        <v>3164428.4699999997</v>
      </c>
      <c r="Q65" s="498">
        <f t="shared" si="5"/>
        <v>-140309.39999999991</v>
      </c>
      <c r="R65" s="510">
        <f t="shared" si="6"/>
        <v>-4.4339570740873739</v>
      </c>
      <c r="S65" s="440"/>
      <c r="T65" s="440"/>
      <c r="U65" s="368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</row>
    <row r="66" spans="1:37">
      <c r="A66" s="341"/>
      <c r="B66" s="341"/>
      <c r="C66" s="341"/>
      <c r="D66" s="355" t="str">
        <f>IF(MasterSheet!$A$1=1,MasterSheet!C384,MasterSheet!B384)</f>
        <v>Ostali izdaci</v>
      </c>
      <c r="E66" s="511">
        <f>+SUM('2014 - plan'!D66:F66)</f>
        <v>1456848.4324999999</v>
      </c>
      <c r="F66" s="511">
        <f>+'2014 - execution '!P65</f>
        <v>1192785.7799999998</v>
      </c>
      <c r="G66" s="505">
        <f t="shared" si="7"/>
        <v>-264062.65250000008</v>
      </c>
      <c r="H66" s="506">
        <f t="shared" si="0"/>
        <v>81.874390869415308</v>
      </c>
      <c r="I66" s="511">
        <f>+SUM('2013 - execution'!D65:F65)</f>
        <v>1158422.7000000004</v>
      </c>
      <c r="J66" s="512">
        <f t="shared" si="1"/>
        <v>34363.079999999376</v>
      </c>
      <c r="K66" s="508">
        <f t="shared" si="2"/>
        <v>102.96636797604187</v>
      </c>
      <c r="L66" s="513">
        <f>+'2014 - plan'!F66</f>
        <v>485616.14416666661</v>
      </c>
      <c r="M66" s="513">
        <f>+'2014 - execution '!F65</f>
        <v>627297.7899999998</v>
      </c>
      <c r="N66" s="505">
        <f t="shared" si="3"/>
        <v>141681.6458333332</v>
      </c>
      <c r="O66" s="510">
        <f t="shared" si="4"/>
        <v>29.175645730737301</v>
      </c>
      <c r="P66" s="513">
        <f>+'2013 - execution'!F65</f>
        <v>465083.12000000011</v>
      </c>
      <c r="Q66" s="498">
        <f t="shared" si="5"/>
        <v>162214.66999999969</v>
      </c>
      <c r="R66" s="510">
        <f t="shared" si="6"/>
        <v>34.878640618046859</v>
      </c>
      <c r="S66" s="440"/>
      <c r="T66" s="440"/>
      <c r="U66" s="368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</row>
    <row r="67" spans="1:37">
      <c r="A67" s="341"/>
      <c r="B67" s="341"/>
      <c r="C67" s="341"/>
      <c r="D67" s="355" t="str">
        <f>IF(MasterSheet!$A$1=1,MasterSheet!C385,MasterSheet!B385)</f>
        <v>Kapitalni izdaci u tekućem budžetu</v>
      </c>
      <c r="E67" s="511">
        <f>+SUM('2014 - plan'!D67:F67)</f>
        <v>2625740.83</v>
      </c>
      <c r="F67" s="511">
        <f>+'2014 - execution '!P66</f>
        <v>803470.42</v>
      </c>
      <c r="G67" s="505">
        <f t="shared" si="7"/>
        <v>-1822270.4100000001</v>
      </c>
      <c r="H67" s="510">
        <f t="shared" si="0"/>
        <v>30.599761058672343</v>
      </c>
      <c r="I67" s="511">
        <f>+SUM('2013 - execution'!D66:F66)</f>
        <v>791667.06</v>
      </c>
      <c r="J67" s="512" t="s">
        <v>376</v>
      </c>
      <c r="K67" s="508" t="s">
        <v>376</v>
      </c>
      <c r="L67" s="513">
        <f>+'2014 - plan'!F67</f>
        <v>875246.94333333336</v>
      </c>
      <c r="M67" s="513">
        <f>+'2014 - execution '!F66</f>
        <v>421838.74</v>
      </c>
      <c r="N67" s="505">
        <f t="shared" si="3"/>
        <v>-453408.20333333337</v>
      </c>
      <c r="O67" s="510">
        <f t="shared" si="4"/>
        <v>-51.803460359033224</v>
      </c>
      <c r="P67" s="513">
        <f>+'2013 - execution'!F66</f>
        <v>518917.45</v>
      </c>
      <c r="Q67" s="498" t="s">
        <v>376</v>
      </c>
      <c r="R67" s="510">
        <f t="shared" si="6"/>
        <v>-18.707929363331303</v>
      </c>
      <c r="S67" s="440"/>
      <c r="T67" s="440"/>
      <c r="U67" s="368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</row>
    <row r="68" spans="1:37">
      <c r="A68" s="341"/>
      <c r="B68" s="341"/>
      <c r="C68" s="341"/>
      <c r="D68" s="355" t="str">
        <f>IF(MasterSheet!$A$1=1,MasterSheet!C386,MasterSheet!B386)</f>
        <v>Transferi za socijalnu zaštitu</v>
      </c>
      <c r="E68" s="511">
        <f>+SUM('2014 - plan'!D68:F68)</f>
        <v>124555849.74250004</v>
      </c>
      <c r="F68" s="511">
        <f>+'2014 - execution '!P67</f>
        <v>122896421.28000003</v>
      </c>
      <c r="G68" s="505">
        <f t="shared" si="7"/>
        <v>-1659428.462500006</v>
      </c>
      <c r="H68" s="510">
        <f t="shared" si="0"/>
        <v>98.667723381976344</v>
      </c>
      <c r="I68" s="511">
        <f>+SUM('2013 - execution'!D67:F67)</f>
        <v>120951403.70999995</v>
      </c>
      <c r="J68" s="512">
        <f>+F68-I68</f>
        <v>1945017.5700000823</v>
      </c>
      <c r="K68" s="508">
        <f>F68/I68*100</f>
        <v>101.60809838525195</v>
      </c>
      <c r="L68" s="513">
        <f>+'2014 - plan'!F68</f>
        <v>41518616.580833346</v>
      </c>
      <c r="M68" s="513">
        <f>+'2014 - execution '!F67</f>
        <v>41915355.640000015</v>
      </c>
      <c r="N68" s="505">
        <f t="shared" si="3"/>
        <v>396739.05916666985</v>
      </c>
      <c r="O68" s="510">
        <f t="shared" si="4"/>
        <v>0.95556907199510022</v>
      </c>
      <c r="P68" s="513">
        <f>+'2013 - execution'!F67</f>
        <v>40495852.529999964</v>
      </c>
      <c r="Q68" s="498">
        <f t="shared" si="5"/>
        <v>1419503.1100000516</v>
      </c>
      <c r="R68" s="510">
        <f t="shared" si="6"/>
        <v>3.5053049172096422</v>
      </c>
      <c r="S68" s="440"/>
      <c r="T68" s="440"/>
      <c r="U68" s="440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</row>
    <row r="69" spans="1:37">
      <c r="A69" s="341"/>
      <c r="B69" s="341"/>
      <c r="C69" s="341"/>
      <c r="D69" s="352" t="str">
        <f>IF(MasterSheet!$A$1=1,MasterSheet!C387,MasterSheet!B387)</f>
        <v>Prava iz oblasti socijalne zaštite</v>
      </c>
      <c r="E69" s="481">
        <f>+SUM('2014 - plan'!D69:F69)</f>
        <v>14661250</v>
      </c>
      <c r="F69" s="481">
        <f>+'2014 - execution '!P68</f>
        <v>15391718.199999999</v>
      </c>
      <c r="G69" s="482">
        <f t="shared" si="7"/>
        <v>730468.19999999925</v>
      </c>
      <c r="H69" s="483">
        <f t="shared" si="0"/>
        <v>104.98230505584449</v>
      </c>
      <c r="I69" s="481">
        <f>+SUM('2013 - execution'!D68:F68)</f>
        <v>17063335.420000002</v>
      </c>
      <c r="J69" s="514">
        <f t="shared" ref="J69:J98" si="8">+F69-I69</f>
        <v>-1671617.2200000025</v>
      </c>
      <c r="K69" s="508">
        <f t="shared" ref="K69:K77" si="9">F69/I69*100</f>
        <v>90.203455661777042</v>
      </c>
      <c r="L69" s="516">
        <f>+'2014 - plan'!F69</f>
        <v>4887083.333333333</v>
      </c>
      <c r="M69" s="516">
        <f>+'2014 - execution '!F68</f>
        <v>4943694.8400000008</v>
      </c>
      <c r="N69" s="482">
        <f t="shared" si="3"/>
        <v>56611.506666667759</v>
      </c>
      <c r="O69" s="486">
        <f t="shared" si="4"/>
        <v>1.1583904510188603</v>
      </c>
      <c r="P69" s="516">
        <f>+'2013 - execution'!F68</f>
        <v>5548846.8199999994</v>
      </c>
      <c r="Q69" s="484">
        <f t="shared" si="5"/>
        <v>-605151.97999999858</v>
      </c>
      <c r="R69" s="486">
        <f t="shared" si="6"/>
        <v>-10.905905310249636</v>
      </c>
      <c r="S69" s="387"/>
      <c r="T69" s="387"/>
      <c r="U69" s="368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</row>
    <row r="70" spans="1:37">
      <c r="A70" s="341"/>
      <c r="B70" s="341"/>
      <c r="C70" s="341"/>
      <c r="D70" s="352" t="str">
        <f>IF(MasterSheet!$A$1=1,MasterSheet!C388,MasterSheet!B388)</f>
        <v>Sredstva za tehnološke viškove</v>
      </c>
      <c r="E70" s="481">
        <f>+SUM('2014 - plan'!D70:F70)</f>
        <v>5189531</v>
      </c>
      <c r="F70" s="481">
        <f>+'2014 - execution '!P69</f>
        <v>6349338.0499999998</v>
      </c>
      <c r="G70" s="482">
        <f t="shared" si="7"/>
        <v>1159807.0499999998</v>
      </c>
      <c r="H70" s="483">
        <f t="shared" si="0"/>
        <v>122.34897623696629</v>
      </c>
      <c r="I70" s="481">
        <f>+SUM('2013 - execution'!D69:F69)</f>
        <v>3486893.2199999997</v>
      </c>
      <c r="J70" s="514">
        <f t="shared" si="8"/>
        <v>2862444.83</v>
      </c>
      <c r="K70" s="508">
        <f t="shared" si="9"/>
        <v>182.09155398225818</v>
      </c>
      <c r="L70" s="516">
        <f>+'2014 - plan'!F70</f>
        <v>1729843.6666666665</v>
      </c>
      <c r="M70" s="516">
        <f>+'2014 - execution '!F69</f>
        <v>3379279.58</v>
      </c>
      <c r="N70" s="482">
        <f t="shared" si="3"/>
        <v>1649435.9133333336</v>
      </c>
      <c r="O70" s="486">
        <f t="shared" si="4"/>
        <v>95.351732940799479</v>
      </c>
      <c r="P70" s="516">
        <f>+'2013 - execution'!F69</f>
        <v>1411205.3399999999</v>
      </c>
      <c r="Q70" s="484">
        <f t="shared" si="5"/>
        <v>1968074.2400000002</v>
      </c>
      <c r="R70" s="486">
        <f t="shared" si="6"/>
        <v>139.4605153634127</v>
      </c>
      <c r="S70" s="387"/>
      <c r="T70" s="387"/>
      <c r="U70" s="368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</row>
    <row r="71" spans="1:37">
      <c r="A71" s="341"/>
      <c r="B71" s="341"/>
      <c r="C71" s="341"/>
      <c r="D71" s="352" t="str">
        <f>IF(MasterSheet!$A$1=1,MasterSheet!C389,MasterSheet!B389)</f>
        <v>Prava iz oblasti penzijskog i invalidskog osiguranja</v>
      </c>
      <c r="E71" s="481">
        <f>+SUM('2014 - plan'!D71:F71)</f>
        <v>99330068.742500007</v>
      </c>
      <c r="F71" s="481">
        <f>+'2014 - execution '!P70</f>
        <v>96392658.900000036</v>
      </c>
      <c r="G71" s="482">
        <f t="shared" si="7"/>
        <v>-2937409.8424999714</v>
      </c>
      <c r="H71" s="483">
        <f t="shared" si="0"/>
        <v>97.042778808383972</v>
      </c>
      <c r="I71" s="481">
        <f>+SUM('2013 - execution'!D70:F70)</f>
        <v>95926777.629999965</v>
      </c>
      <c r="J71" s="514">
        <f t="shared" si="8"/>
        <v>465881.27000007033</v>
      </c>
      <c r="K71" s="508">
        <f t="shared" si="9"/>
        <v>100.4856634211117</v>
      </c>
      <c r="L71" s="516">
        <f>+'2014 - plan'!F71</f>
        <v>33110022.91416667</v>
      </c>
      <c r="M71" s="516">
        <f>+'2014 - execution '!F70</f>
        <v>32139547.500000015</v>
      </c>
      <c r="N71" s="482">
        <f t="shared" si="3"/>
        <v>-970475.41416665539</v>
      </c>
      <c r="O71" s="486">
        <f t="shared" si="4"/>
        <v>-2.9310623453281295</v>
      </c>
      <c r="P71" s="516">
        <f>+'2013 - execution'!F70</f>
        <v>32270882.729999967</v>
      </c>
      <c r="Q71" s="484">
        <f t="shared" si="5"/>
        <v>-131335.22999995202</v>
      </c>
      <c r="R71" s="486">
        <f t="shared" si="6"/>
        <v>-0.40697749453832444</v>
      </c>
      <c r="S71" s="387"/>
      <c r="T71" s="387"/>
      <c r="U71" s="368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</row>
    <row r="72" spans="1:37">
      <c r="A72" s="341"/>
      <c r="B72" s="341"/>
      <c r="C72" s="341"/>
      <c r="D72" s="352" t="str">
        <f>IF(MasterSheet!$A$1=1,MasterSheet!C390,MasterSheet!B390)</f>
        <v>Ostala prava iz oblasti zdravstvene zaštite</v>
      </c>
      <c r="E72" s="481">
        <f>+SUM('2014 - plan'!D72:F72)</f>
        <v>3625000</v>
      </c>
      <c r="F72" s="481">
        <f>+'2014 - execution '!P71</f>
        <v>3198763.06</v>
      </c>
      <c r="G72" s="482">
        <f t="shared" si="7"/>
        <v>-426236.93999999994</v>
      </c>
      <c r="H72" s="483">
        <f t="shared" si="0"/>
        <v>88.241739586206904</v>
      </c>
      <c r="I72" s="481">
        <f>+SUM('2013 - execution'!D71:F71)</f>
        <v>2844986.5100000002</v>
      </c>
      <c r="J72" s="514">
        <f t="shared" si="8"/>
        <v>353776.54999999981</v>
      </c>
      <c r="K72" s="508">
        <f t="shared" si="9"/>
        <v>112.43508708236369</v>
      </c>
      <c r="L72" s="516">
        <f>+'2014 - plan'!F72</f>
        <v>1208333.3333333333</v>
      </c>
      <c r="M72" s="516">
        <f>+'2014 - execution '!F71</f>
        <v>818430.35</v>
      </c>
      <c r="N72" s="482">
        <f t="shared" si="3"/>
        <v>-389902.98333333328</v>
      </c>
      <c r="O72" s="486">
        <f t="shared" si="4"/>
        <v>-32.267833103448268</v>
      </c>
      <c r="P72" s="516">
        <f>+'2013 - execution'!F71</f>
        <v>626460.35</v>
      </c>
      <c r="Q72" s="484">
        <f t="shared" si="5"/>
        <v>191970</v>
      </c>
      <c r="R72" s="486">
        <f t="shared" si="6"/>
        <v>30.643599391406013</v>
      </c>
      <c r="S72" s="387"/>
      <c r="T72" s="517"/>
      <c r="U72" s="368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</row>
    <row r="73" spans="1:37">
      <c r="A73" s="341"/>
      <c r="B73" s="341"/>
      <c r="C73" s="341"/>
      <c r="D73" s="352" t="str">
        <f>IF(MasterSheet!$A$1=1,MasterSheet!C391,MasterSheet!B391)</f>
        <v>Ostala prava iz oblasti zdravstvenog osiguranja</v>
      </c>
      <c r="E73" s="481">
        <f>+SUM('2014 - plan'!D73:F73)</f>
        <v>1749999.9999999998</v>
      </c>
      <c r="F73" s="481">
        <f>+'2014 - execution '!P72</f>
        <v>1563943.0699999998</v>
      </c>
      <c r="G73" s="482">
        <f t="shared" si="7"/>
        <v>-186056.92999999993</v>
      </c>
      <c r="H73" s="483">
        <f t="shared" si="0"/>
        <v>89.368175428571433</v>
      </c>
      <c r="I73" s="481">
        <f>+SUM('2013 - execution'!D72:F72)</f>
        <v>1629410.9300000002</v>
      </c>
      <c r="J73" s="514">
        <f t="shared" si="8"/>
        <v>-65467.860000000335</v>
      </c>
      <c r="K73" s="508">
        <f t="shared" si="9"/>
        <v>95.982114837047263</v>
      </c>
      <c r="L73" s="516">
        <f>+'2014 - plan'!F73</f>
        <v>583333.33333333326</v>
      </c>
      <c r="M73" s="516">
        <f>+'2014 - execution '!F72</f>
        <v>634403.36999999988</v>
      </c>
      <c r="N73" s="482">
        <f t="shared" si="3"/>
        <v>51070.036666666623</v>
      </c>
      <c r="O73" s="486">
        <f t="shared" si="4"/>
        <v>8.7548634285714115</v>
      </c>
      <c r="P73" s="516">
        <f>+'2013 - execution'!F72</f>
        <v>638457.29</v>
      </c>
      <c r="Q73" s="484">
        <f t="shared" si="5"/>
        <v>-4053.9200000001583</v>
      </c>
      <c r="R73" s="486">
        <f t="shared" si="6"/>
        <v>-0.63495555043316187</v>
      </c>
      <c r="S73" s="387"/>
      <c r="T73" s="387"/>
      <c r="U73" s="368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</row>
    <row r="74" spans="1:37" ht="12.75" customHeight="1">
      <c r="A74" s="341"/>
      <c r="B74" s="341"/>
      <c r="C74" s="341"/>
      <c r="D74" s="381" t="str">
        <f>IF(MasterSheet!$A$1=1,MasterSheet!C392,MasterSheet!B392)</f>
        <v>Transferi institucijama pojedinicima nevladinom i javnom sektoru</v>
      </c>
      <c r="E74" s="511">
        <f>+SUM('2014 - plan'!D74:F74)</f>
        <v>25260011.905000001</v>
      </c>
      <c r="F74" s="511">
        <f>+'2014 - execution '!P73</f>
        <v>20341128.82</v>
      </c>
      <c r="G74" s="505">
        <f t="shared" si="7"/>
        <v>-4918883.0850000009</v>
      </c>
      <c r="H74" s="506">
        <f t="shared" si="0"/>
        <v>80.526996172846808</v>
      </c>
      <c r="I74" s="511">
        <f>+SUM('2013 - execution'!D73:F73)</f>
        <v>20897216.740000002</v>
      </c>
      <c r="J74" s="512">
        <f t="shared" si="8"/>
        <v>-556087.92000000179</v>
      </c>
      <c r="K74" s="508">
        <f>F74/I74*100</f>
        <v>97.338937874269277</v>
      </c>
      <c r="L74" s="516">
        <f>+'2014 - plan'!F74</f>
        <v>8420003.9683333337</v>
      </c>
      <c r="M74" s="516">
        <f>+'2014 - execution '!F73</f>
        <v>11943087.779999999</v>
      </c>
      <c r="N74" s="505">
        <f t="shared" si="3"/>
        <v>3523083.8116666656</v>
      </c>
      <c r="O74" s="510">
        <f t="shared" si="4"/>
        <v>41.84183077486162</v>
      </c>
      <c r="P74" s="516">
        <f>+'2013 - execution'!F73</f>
        <v>8947545.6400000006</v>
      </c>
      <c r="Q74" s="498">
        <f t="shared" si="5"/>
        <v>2995542.1399999987</v>
      </c>
      <c r="R74" s="510">
        <f t="shared" si="6"/>
        <v>33.478925512359837</v>
      </c>
      <c r="S74" s="440"/>
      <c r="T74" s="440"/>
      <c r="U74" s="440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</row>
    <row r="75" spans="1:37">
      <c r="A75" s="341"/>
      <c r="B75" s="341"/>
      <c r="C75" s="341"/>
      <c r="D75" s="352" t="str">
        <f>IF(MasterSheet!$A$1=1,MasterSheet!C393,MasterSheet!B393)</f>
        <v>Transferi javnim institucijama</v>
      </c>
      <c r="E75" s="481">
        <f>+SUM('2014 - plan'!D75:F75)</f>
        <v>19211771.560000002</v>
      </c>
      <c r="F75" s="481">
        <f>+'2014 - execution '!P74</f>
        <v>17577429.490000002</v>
      </c>
      <c r="G75" s="482">
        <f t="shared" si="7"/>
        <v>-1634342.0700000003</v>
      </c>
      <c r="H75" s="518">
        <f t="shared" si="0"/>
        <v>91.493017367524857</v>
      </c>
      <c r="I75" s="481">
        <f>+SUM('2013 - execution'!D74:F74)</f>
        <v>17100644.580000002</v>
      </c>
      <c r="J75" s="482">
        <f t="shared" si="8"/>
        <v>476784.91000000015</v>
      </c>
      <c r="K75" s="508">
        <f t="shared" si="9"/>
        <v>102.78811075085217</v>
      </c>
      <c r="L75" s="516">
        <f>+'2014 - plan'!F75</f>
        <v>6403923.8533333335</v>
      </c>
      <c r="M75" s="516">
        <f>+'2014 - execution '!F74</f>
        <v>10311379.629999999</v>
      </c>
      <c r="N75" s="484">
        <f t="shared" si="3"/>
        <v>3907455.7766666654</v>
      </c>
      <c r="O75" s="486">
        <f t="shared" si="4"/>
        <v>61.01658711373932</v>
      </c>
      <c r="P75" s="516">
        <f>+'2013 - execution'!F74</f>
        <v>6814693.6900000004</v>
      </c>
      <c r="Q75" s="482">
        <f t="shared" si="5"/>
        <v>3496685.9399999985</v>
      </c>
      <c r="R75" s="486">
        <f t="shared" si="6"/>
        <v>51.310977412397818</v>
      </c>
      <c r="S75" s="387"/>
      <c r="T75" s="387"/>
      <c r="U75" s="368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</row>
    <row r="76" spans="1:37">
      <c r="A76" s="341"/>
      <c r="B76" s="341"/>
      <c r="C76" s="341"/>
      <c r="D76" s="352" t="str">
        <f>IF(MasterSheet!$A$1=1,MasterSheet!C394,MasterSheet!B394)</f>
        <v>Transferi nevladinim organizacijama</v>
      </c>
      <c r="E76" s="481">
        <f>+SUM('2014 - plan'!D76:F76)</f>
        <v>618377.48499999999</v>
      </c>
      <c r="F76" s="481">
        <f>+'2014 - execution '!P75</f>
        <v>55675</v>
      </c>
      <c r="G76" s="482">
        <f t="shared" si="7"/>
        <v>-562702.48499999999</v>
      </c>
      <c r="H76" s="518">
        <f t="shared" si="0"/>
        <v>9.003400245078458</v>
      </c>
      <c r="I76" s="481">
        <f>+SUM('2013 - execution'!D75:F75)</f>
        <v>68950.009999999995</v>
      </c>
      <c r="J76" s="482">
        <f t="shared" si="8"/>
        <v>-13275.009999999995</v>
      </c>
      <c r="K76" s="508">
        <f t="shared" si="9"/>
        <v>80.746906345626357</v>
      </c>
      <c r="L76" s="516">
        <f>+'2014 - plan'!F76</f>
        <v>206125.82833333334</v>
      </c>
      <c r="M76" s="516">
        <f>+'2014 - execution '!F75</f>
        <v>22687.5</v>
      </c>
      <c r="N76" s="484">
        <f t="shared" si="3"/>
        <v>-183438.32833333334</v>
      </c>
      <c r="O76" s="486">
        <f t="shared" si="4"/>
        <v>-88.993373521676645</v>
      </c>
      <c r="P76" s="516">
        <f>+'2013 - execution'!F75</f>
        <v>23116.67</v>
      </c>
      <c r="Q76" s="482">
        <f t="shared" si="5"/>
        <v>-429.16999999999825</v>
      </c>
      <c r="R76" s="486" t="s">
        <v>376</v>
      </c>
      <c r="S76" s="387"/>
      <c r="T76" s="387"/>
      <c r="U76" s="368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</row>
    <row r="77" spans="1:37">
      <c r="A77" s="341"/>
      <c r="B77" s="341"/>
      <c r="C77" s="341"/>
      <c r="D77" s="352" t="str">
        <f>IF(MasterSheet!$A$1=1,MasterSheet!C395,MasterSheet!B395)</f>
        <v>Transferi pojedincima</v>
      </c>
      <c r="E77" s="481">
        <f>+SUM('2014 - plan'!D77:F77)</f>
        <v>4862913</v>
      </c>
      <c r="F77" s="481">
        <f>+'2014 - execution '!P76</f>
        <v>2708024.33</v>
      </c>
      <c r="G77" s="482">
        <f t="shared" si="7"/>
        <v>-2154888.67</v>
      </c>
      <c r="H77" s="518">
        <f t="shared" si="0"/>
        <v>55.68728722886879</v>
      </c>
      <c r="I77" s="481">
        <f>+SUM('2013 - execution'!D76:F76)</f>
        <v>3725122.15</v>
      </c>
      <c r="J77" s="482">
        <f t="shared" si="8"/>
        <v>-1017097.8199999998</v>
      </c>
      <c r="K77" s="508">
        <f t="shared" si="9"/>
        <v>72.696255879823966</v>
      </c>
      <c r="L77" s="516">
        <f>+'2014 - plan'!F77</f>
        <v>1620971</v>
      </c>
      <c r="M77" s="516">
        <f>+'2014 - execution '!F76</f>
        <v>1609020.6500000001</v>
      </c>
      <c r="N77" s="484">
        <f t="shared" si="3"/>
        <v>-11950.34999999986</v>
      </c>
      <c r="O77" s="486">
        <f t="shared" si="4"/>
        <v>-0.73723404058431186</v>
      </c>
      <c r="P77" s="516">
        <f>+'2013 - execution'!F76</f>
        <v>2107235.2799999998</v>
      </c>
      <c r="Q77" s="482">
        <f t="shared" si="5"/>
        <v>-498214.62999999966</v>
      </c>
      <c r="R77" s="486">
        <f t="shared" si="6"/>
        <v>-23.643047111473933</v>
      </c>
      <c r="S77" s="387"/>
      <c r="T77" s="387"/>
      <c r="U77" s="368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</row>
    <row r="78" spans="1:37">
      <c r="A78" s="341"/>
      <c r="B78" s="341"/>
      <c r="C78" s="341"/>
      <c r="D78" s="352" t="str">
        <f>IF(MasterSheet!$A$1=1,MasterSheet!C396,MasterSheet!B396)</f>
        <v>Transferi opštinama</v>
      </c>
      <c r="E78" s="481">
        <f>+SUM('2014 - plan'!D78:F78)</f>
        <v>473029.1925</v>
      </c>
      <c r="F78" s="481">
        <f>+'2014 - execution '!P77</f>
        <v>0</v>
      </c>
      <c r="G78" s="482">
        <f t="shared" si="7"/>
        <v>-473029.1925</v>
      </c>
      <c r="H78" s="518">
        <f t="shared" si="0"/>
        <v>0</v>
      </c>
      <c r="I78" s="481">
        <f>+SUM('2013 - execution'!D77:F77)</f>
        <v>2500</v>
      </c>
      <c r="J78" s="482">
        <f t="shared" si="8"/>
        <v>-2500</v>
      </c>
      <c r="K78" s="508">
        <f>F78/I78*'Analitics tab 2014'!I111094</f>
        <v>0</v>
      </c>
      <c r="L78" s="516">
        <f>+'2014 - plan'!F78</f>
        <v>157676.39749999999</v>
      </c>
      <c r="M78" s="516">
        <f>+'2014 - execution '!F77</f>
        <v>0</v>
      </c>
      <c r="N78" s="484">
        <f t="shared" si="3"/>
        <v>-157676.39749999999</v>
      </c>
      <c r="O78" s="486">
        <f t="shared" si="4"/>
        <v>-100</v>
      </c>
      <c r="P78" s="516">
        <f>+'2013 - execution'!F77</f>
        <v>2500</v>
      </c>
      <c r="Q78" s="482">
        <f t="shared" si="5"/>
        <v>-2500</v>
      </c>
      <c r="R78" s="486" t="s">
        <v>376</v>
      </c>
      <c r="S78" s="387"/>
      <c r="T78" s="387"/>
      <c r="U78" s="368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</row>
    <row r="79" spans="1:37">
      <c r="A79" s="341"/>
      <c r="B79" s="341"/>
      <c r="C79" s="341"/>
      <c r="D79" s="352" t="s">
        <v>426</v>
      </c>
      <c r="E79" s="481">
        <f>+SUM('2014 - plan'!D79:F79)</f>
        <v>6420.6674999999996</v>
      </c>
      <c r="F79" s="481">
        <f>+'2014 - execution '!P78</f>
        <v>0</v>
      </c>
      <c r="G79" s="482"/>
      <c r="H79" s="518"/>
      <c r="I79" s="481">
        <f>+SUM('2013 - execution'!D78:F78)</f>
        <v>0</v>
      </c>
      <c r="J79" s="482"/>
      <c r="K79" s="508"/>
      <c r="L79" s="516">
        <f>+'2014 - plan'!F79</f>
        <v>2140.2224999999999</v>
      </c>
      <c r="M79" s="516">
        <f>+'2014 - execution '!F78</f>
        <v>0</v>
      </c>
      <c r="N79" s="484"/>
      <c r="O79" s="486">
        <f t="shared" si="4"/>
        <v>-100</v>
      </c>
      <c r="P79" s="516">
        <f>+'2013 - execution'!F78</f>
        <v>0</v>
      </c>
      <c r="Q79" s="482"/>
      <c r="R79" s="486" t="s">
        <v>376</v>
      </c>
      <c r="S79" s="387"/>
      <c r="T79" s="387"/>
      <c r="U79" s="368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</row>
    <row r="80" spans="1:37" ht="13.5" thickBot="1">
      <c r="A80" s="341"/>
      <c r="B80" s="341"/>
      <c r="C80" s="341"/>
      <c r="D80" s="382" t="str">
        <f>IF(MasterSheet!$A$1=1,MasterSheet!C397,MasterSheet!B397)</f>
        <v>Transferi javnim preduzećima</v>
      </c>
      <c r="E80" s="481">
        <f>+SUM('2014 - plan'!D80:F80)</f>
        <v>87500</v>
      </c>
      <c r="F80" s="481">
        <f>+'2014 - execution '!P79</f>
        <v>0</v>
      </c>
      <c r="G80" s="482">
        <f t="shared" si="7"/>
        <v>-87500</v>
      </c>
      <c r="H80" s="518"/>
      <c r="I80" s="481">
        <f>+SUM('2013 - execution'!D79:F79)</f>
        <v>0</v>
      </c>
      <c r="J80" s="482">
        <f t="shared" si="8"/>
        <v>0</v>
      </c>
      <c r="K80" s="508">
        <v>0</v>
      </c>
      <c r="L80" s="516">
        <f>+'2014 - plan'!F80</f>
        <v>29166.666666666668</v>
      </c>
      <c r="M80" s="516">
        <f>+'2014 - execution '!F79</f>
        <v>0</v>
      </c>
      <c r="N80" s="484">
        <f t="shared" si="3"/>
        <v>-29166.666666666668</v>
      </c>
      <c r="O80" s="486">
        <f t="shared" si="4"/>
        <v>-100</v>
      </c>
      <c r="P80" s="516">
        <f>+'2013 - execution'!F79</f>
        <v>0</v>
      </c>
      <c r="Q80" s="482">
        <f t="shared" si="5"/>
        <v>0</v>
      </c>
      <c r="R80" s="486" t="s">
        <v>376</v>
      </c>
      <c r="S80" s="387"/>
      <c r="T80" s="387"/>
      <c r="U80" s="368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</row>
    <row r="81" spans="1:37" ht="14.25" thickTop="1" thickBot="1">
      <c r="A81" s="341"/>
      <c r="B81" s="341"/>
      <c r="C81" s="341"/>
      <c r="D81" s="469" t="str">
        <f>IF(MasterSheet!$A$1=1,MasterSheet!C398,MasterSheet!B398)</f>
        <v>Kapitalni budžet</v>
      </c>
      <c r="E81" s="519">
        <f>+SUM('2014 - plan'!D81:F81)</f>
        <v>25455125</v>
      </c>
      <c r="F81" s="519">
        <f>+'2014 - execution '!P80</f>
        <v>8568204.7899999991</v>
      </c>
      <c r="G81" s="520">
        <f t="shared" si="7"/>
        <v>-16886920.210000001</v>
      </c>
      <c r="H81" s="521">
        <f t="shared" si="0"/>
        <v>33.660038165202479</v>
      </c>
      <c r="I81" s="519">
        <f>+SUM('2013 - execution'!D80:F80)</f>
        <v>6568384.0800000001</v>
      </c>
      <c r="J81" s="520">
        <f t="shared" si="8"/>
        <v>1999820.709999999</v>
      </c>
      <c r="K81" s="522">
        <f>F81/I81*100</f>
        <v>130.44615975014665</v>
      </c>
      <c r="L81" s="501">
        <f>+'2014 - plan'!F81</f>
        <v>8485041.666666666</v>
      </c>
      <c r="M81" s="501">
        <f>+'2014 - execution '!F80</f>
        <v>6200648.6299999999</v>
      </c>
      <c r="N81" s="523">
        <f t="shared" si="3"/>
        <v>-2284393.0366666662</v>
      </c>
      <c r="O81" s="524">
        <f t="shared" si="4"/>
        <v>-26.922590676730124</v>
      </c>
      <c r="P81" s="501">
        <f>+'2013 - execution'!F80</f>
        <v>4422241.25</v>
      </c>
      <c r="Q81" s="520">
        <f t="shared" si="5"/>
        <v>1778407.38</v>
      </c>
      <c r="R81" s="524">
        <f t="shared" si="6"/>
        <v>40.215069225361674</v>
      </c>
      <c r="S81" s="440"/>
      <c r="T81" s="440"/>
      <c r="U81" s="503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</row>
    <row r="82" spans="1:37" ht="13.5" thickTop="1">
      <c r="A82" s="341"/>
      <c r="B82" s="341"/>
      <c r="C82" s="341"/>
      <c r="D82" s="352" t="str">
        <f>IF(MasterSheet!$A$1=1,MasterSheet!C399,MasterSheet!B399)</f>
        <v>Pozajmice i krediti</v>
      </c>
      <c r="E82" s="481">
        <f>+SUM('2014 - plan'!D82:F82)</f>
        <v>535000</v>
      </c>
      <c r="F82" s="481">
        <f>+'2014 - execution '!P81</f>
        <v>539845.79</v>
      </c>
      <c r="G82" s="482">
        <f t="shared" si="7"/>
        <v>4845.7900000000373</v>
      </c>
      <c r="H82" s="483">
        <f t="shared" si="0"/>
        <v>100.90575514018691</v>
      </c>
      <c r="I82" s="525">
        <f>+SUM('2013 - execution'!D81:F81)</f>
        <v>676161.77</v>
      </c>
      <c r="J82" s="526">
        <f t="shared" si="8"/>
        <v>-136315.97999999998</v>
      </c>
      <c r="K82" s="485">
        <f>F82/I82*100</f>
        <v>79.83973864715837</v>
      </c>
      <c r="L82" s="516">
        <f>+'2014 - plan'!F82</f>
        <v>178333.33333333334</v>
      </c>
      <c r="M82" s="516">
        <f>+'2014 - execution '!F81</f>
        <v>0</v>
      </c>
      <c r="N82" s="484">
        <f t="shared" si="3"/>
        <v>-178333.33333333334</v>
      </c>
      <c r="O82" s="486">
        <f t="shared" si="4"/>
        <v>-100</v>
      </c>
      <c r="P82" s="516">
        <f>+'2013 - execution'!F81</f>
        <v>614160.66</v>
      </c>
      <c r="Q82" s="482">
        <f t="shared" si="5"/>
        <v>-614160.66</v>
      </c>
      <c r="R82" s="486">
        <f t="shared" si="6"/>
        <v>-100</v>
      </c>
      <c r="S82" s="387"/>
      <c r="T82" s="387"/>
      <c r="U82" s="368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</row>
    <row r="83" spans="1:37">
      <c r="A83" s="341"/>
      <c r="B83" s="341"/>
      <c r="C83" s="341"/>
      <c r="D83" s="260" t="str">
        <f>IF(MasterSheet!$A$1=1,MasterSheet!C400,MasterSheet!B400)</f>
        <v>Rezerve</v>
      </c>
      <c r="E83" s="481">
        <f>+SUM('2014 - plan'!D83:F83)</f>
        <v>2213662.4424999999</v>
      </c>
      <c r="F83" s="481">
        <f>+'2014 - execution '!P82</f>
        <v>4271466.6400000006</v>
      </c>
      <c r="G83" s="482">
        <f t="shared" si="7"/>
        <v>2057804.1975000007</v>
      </c>
      <c r="H83" s="483">
        <f t="shared" si="0"/>
        <v>192.95925873757062</v>
      </c>
      <c r="I83" s="525">
        <f>+SUM('2013 - execution'!D82:F82)</f>
        <v>604212.21</v>
      </c>
      <c r="J83" s="514">
        <f t="shared" si="8"/>
        <v>3667254.4300000006</v>
      </c>
      <c r="K83" s="485" t="s">
        <v>376</v>
      </c>
      <c r="L83" s="516">
        <f>+'2014 - plan'!F83</f>
        <v>737887.48083333333</v>
      </c>
      <c r="M83" s="516">
        <f>+'2014 - execution '!F82</f>
        <v>1804250.62</v>
      </c>
      <c r="N83" s="484">
        <f t="shared" si="3"/>
        <v>1066363.1391666667</v>
      </c>
      <c r="O83" s="486">
        <f t="shared" si="4"/>
        <v>144.51568387667581</v>
      </c>
      <c r="P83" s="516">
        <f>+'2013 - execution'!F82</f>
        <v>381882.21</v>
      </c>
      <c r="Q83" s="482">
        <f t="shared" si="5"/>
        <v>1422368.4100000001</v>
      </c>
      <c r="R83" s="486">
        <f t="shared" si="6"/>
        <v>372.46260044425742</v>
      </c>
      <c r="S83" s="387"/>
      <c r="T83" s="387"/>
      <c r="U83" s="368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</row>
    <row r="84" spans="1:37" ht="13.5" thickBot="1">
      <c r="A84" s="341"/>
      <c r="B84" s="341"/>
      <c r="C84" s="341"/>
      <c r="D84" s="302" t="str">
        <f>IF(MasterSheet!$A$1=1,MasterSheet!C408,MasterSheet!B408)</f>
        <v>Otplata garancija</v>
      </c>
      <c r="E84" s="481">
        <f>+SUM('2014 - plan'!D84:F84)</f>
        <v>0</v>
      </c>
      <c r="F84" s="481">
        <f>+'2014 - execution '!P83</f>
        <v>9682767.0700000003</v>
      </c>
      <c r="G84" s="482">
        <f>+F84-E84</f>
        <v>9682767.0700000003</v>
      </c>
      <c r="H84" s="518" t="s">
        <v>376</v>
      </c>
      <c r="I84" s="525">
        <f>+SUM('2013 - execution'!D83:F83)</f>
        <v>0</v>
      </c>
      <c r="J84" s="482">
        <f>+F84-I84</f>
        <v>9682767.0700000003</v>
      </c>
      <c r="K84" s="485" t="s">
        <v>376</v>
      </c>
      <c r="L84" s="516">
        <f>+'2014 - plan'!F84</f>
        <v>0</v>
      </c>
      <c r="M84" s="516">
        <f>+'2014 - execution '!F83</f>
        <v>4529565.8099999996</v>
      </c>
      <c r="N84" s="484">
        <f>+M84-L84</f>
        <v>4529565.8099999996</v>
      </c>
      <c r="O84" s="486" t="s">
        <v>376</v>
      </c>
      <c r="P84" s="516">
        <f>+'2013 - execution'!F83</f>
        <v>0</v>
      </c>
      <c r="Q84" s="482">
        <f>+M84-P84</f>
        <v>4529565.8099999996</v>
      </c>
      <c r="R84" s="486" t="s">
        <v>376</v>
      </c>
      <c r="S84" s="387"/>
      <c r="T84" s="387"/>
      <c r="U84" s="368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1"/>
      <c r="AK84" s="341"/>
    </row>
    <row r="85" spans="1:37" ht="14.25" hidden="1" thickTop="1" thickBot="1">
      <c r="A85" s="341"/>
      <c r="B85" s="341"/>
      <c r="C85" s="341"/>
      <c r="D85" s="527" t="s">
        <v>152</v>
      </c>
      <c r="E85" s="481">
        <f>+SUM('2014 - plan'!D85:F85)</f>
        <v>0</v>
      </c>
      <c r="F85" s="528">
        <f>+'2014 - execution '!P84</f>
        <v>0</v>
      </c>
      <c r="G85" s="528"/>
      <c r="H85" s="528"/>
      <c r="I85" s="528">
        <f>+SUM('2013 - execution'!D84:F84)</f>
        <v>0</v>
      </c>
      <c r="J85" s="528"/>
      <c r="K85" s="528"/>
      <c r="L85" s="528">
        <f>+'2014 - plan'!F85</f>
        <v>0</v>
      </c>
      <c r="M85" s="528">
        <f>+'2014 - execution '!F84</f>
        <v>0</v>
      </c>
      <c r="N85" s="528"/>
      <c r="O85" s="528" t="e">
        <f t="shared" ref="O85:O98" si="10">+M85/L85*100-100</f>
        <v>#DIV/0!</v>
      </c>
      <c r="P85" s="529">
        <f>+'2013 - execution'!F84</f>
        <v>0</v>
      </c>
      <c r="Q85" s="528"/>
      <c r="R85" s="530" t="e">
        <f t="shared" ref="R85:R98" si="11">M85/P85*100-100</f>
        <v>#DIV/0!</v>
      </c>
      <c r="S85" s="387"/>
      <c r="T85" s="387"/>
      <c r="U85" s="387"/>
      <c r="V85" s="365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</row>
    <row r="86" spans="1:37" ht="14.25" thickTop="1" thickBot="1">
      <c r="A86" s="341"/>
      <c r="B86" s="341"/>
      <c r="C86" s="341"/>
      <c r="D86" s="469" t="str">
        <f>IF(MasterSheet!$A$1=1,MasterSheet!C402,MasterSheet!B402)</f>
        <v>Suficit/ Deficit</v>
      </c>
      <c r="E86" s="501">
        <f>+SUM('2014 - plan'!D86:F86)</f>
        <v>-102895098.54759468</v>
      </c>
      <c r="F86" s="501">
        <f>+'2014 - execution '!P85</f>
        <v>-49170441.705705762</v>
      </c>
      <c r="G86" s="471">
        <f t="shared" si="7"/>
        <v>53724656.841888919</v>
      </c>
      <c r="H86" s="531">
        <f>+F86/E86*100</f>
        <v>47.78696206113424</v>
      </c>
      <c r="I86" s="501">
        <f>+SUM('2013 - execution'!D85:F85)</f>
        <v>-60533115.759497911</v>
      </c>
      <c r="J86" s="471">
        <f t="shared" si="8"/>
        <v>11362674.053792149</v>
      </c>
      <c r="K86" s="532">
        <f t="shared" ref="K86:K97" si="12">F86/I86*100</f>
        <v>81.228995218192949</v>
      </c>
      <c r="L86" s="501">
        <f>+'2014 - plan'!F86</f>
        <v>-22148400.999747783</v>
      </c>
      <c r="M86" s="533">
        <f>+'2014 - execution '!F85</f>
        <v>-17931841.065705732</v>
      </c>
      <c r="N86" s="533">
        <f t="shared" si="3"/>
        <v>4216559.9340420514</v>
      </c>
      <c r="O86" s="534">
        <f t="shared" si="10"/>
        <v>-19.037762293043485</v>
      </c>
      <c r="P86" s="501">
        <f>+'2013 - execution'!F85</f>
        <v>-15539960.174283639</v>
      </c>
      <c r="Q86" s="533">
        <f t="shared" si="5"/>
        <v>-2391880.8914220929</v>
      </c>
      <c r="R86" s="502">
        <f t="shared" si="11"/>
        <v>15.391808374002821</v>
      </c>
      <c r="S86" s="503"/>
      <c r="T86" s="503"/>
      <c r="U86" s="503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1"/>
      <c r="AK86" s="341"/>
    </row>
    <row r="87" spans="1:37" ht="14.25" thickTop="1" thickBot="1">
      <c r="A87" s="341"/>
      <c r="B87" s="341"/>
      <c r="C87" s="341"/>
      <c r="D87" s="469" t="str">
        <f>IF(MasterSheet!$A$1=1,MasterSheet!C403,MasterSheet!B403)</f>
        <v>Primarni deficit</v>
      </c>
      <c r="E87" s="501">
        <f>+SUM('2014 - plan'!D87:F87)</f>
        <v>-84566067.76759468</v>
      </c>
      <c r="F87" s="501">
        <f>+'2014 - execution '!P86</f>
        <v>-41123480.305705763</v>
      </c>
      <c r="G87" s="471">
        <f t="shared" ref="G87:G98" si="13">+F87-E87</f>
        <v>43442587.461888917</v>
      </c>
      <c r="H87" s="531">
        <f t="shared" si="0"/>
        <v>48.628819325881068</v>
      </c>
      <c r="I87" s="501">
        <f>+SUM('2013 - execution'!D86:F86)</f>
        <v>-56081071.279497907</v>
      </c>
      <c r="J87" s="471">
        <f t="shared" si="8"/>
        <v>14957590.973792143</v>
      </c>
      <c r="K87" s="532">
        <f t="shared" si="12"/>
        <v>73.328628300899922</v>
      </c>
      <c r="L87" s="535">
        <f>+'2014 - plan'!F87</f>
        <v>-16038724.073081117</v>
      </c>
      <c r="M87" s="533">
        <f>+'2014 - execution '!F86</f>
        <v>-13306552.145705732</v>
      </c>
      <c r="N87" s="533">
        <f t="shared" ref="N87:N98" si="14">+M87-L87</f>
        <v>2732171.9273753855</v>
      </c>
      <c r="O87" s="534">
        <f t="shared" si="10"/>
        <v>-17.034845882541092</v>
      </c>
      <c r="P87" s="501">
        <f>+'2013 - execution'!F86</f>
        <v>-13403057.554283638</v>
      </c>
      <c r="Q87" s="533">
        <f t="shared" ref="Q87:Q98" si="15">+M87-P87</f>
        <v>96505.408577905968</v>
      </c>
      <c r="R87" s="502">
        <f t="shared" si="11"/>
        <v>-0.72002532397588936</v>
      </c>
      <c r="S87" s="503"/>
      <c r="T87" s="503"/>
      <c r="U87" s="503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</row>
    <row r="88" spans="1:37" ht="14.25" thickTop="1" thickBot="1">
      <c r="A88" s="341"/>
      <c r="B88" s="341"/>
      <c r="C88" s="341"/>
      <c r="D88" s="469" t="str">
        <f>IF(MasterSheet!$A$1=1,MasterSheet!C404,MasterSheet!B404)</f>
        <v>Otplata duga</v>
      </c>
      <c r="E88" s="501">
        <f>+SUM('2014 - plan'!D88:F88)</f>
        <v>42856726.372500002</v>
      </c>
      <c r="F88" s="501">
        <f>+'2014 - execution '!P87</f>
        <v>21282169.149999999</v>
      </c>
      <c r="G88" s="471">
        <f t="shared" si="13"/>
        <v>-21574557.222500004</v>
      </c>
      <c r="H88" s="536">
        <f t="shared" ref="H88:H97" si="16">+F88/E88*100</f>
        <v>49.658877267061136</v>
      </c>
      <c r="I88" s="501">
        <f>+SUM('2013 - execution'!D87:F87)</f>
        <v>30653374.089999996</v>
      </c>
      <c r="J88" s="533">
        <f t="shared" si="8"/>
        <v>-9371204.9399999976</v>
      </c>
      <c r="K88" s="532">
        <f t="shared" si="12"/>
        <v>69.428471683131448</v>
      </c>
      <c r="L88" s="501">
        <f>+'2014 - plan'!F88</f>
        <v>14285575.4575</v>
      </c>
      <c r="M88" s="533">
        <f>+'2014 - execution '!F87</f>
        <v>9833270.4100000001</v>
      </c>
      <c r="N88" s="533">
        <f t="shared" si="14"/>
        <v>-4452305.0474999994</v>
      </c>
      <c r="O88" s="534">
        <f t="shared" si="10"/>
        <v>-31.166438207167332</v>
      </c>
      <c r="P88" s="501">
        <f>+'2013 - execution'!F87</f>
        <v>7217299.5099999998</v>
      </c>
      <c r="Q88" s="533">
        <f t="shared" si="15"/>
        <v>2615970.9000000004</v>
      </c>
      <c r="R88" s="502">
        <f t="shared" si="11"/>
        <v>36.245840932268578</v>
      </c>
      <c r="S88" s="503"/>
      <c r="T88" s="503"/>
      <c r="U88" s="503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</row>
    <row r="89" spans="1:37" ht="13.5" thickTop="1">
      <c r="A89" s="341"/>
      <c r="B89" s="341"/>
      <c r="C89" s="341"/>
      <c r="D89" s="352" t="str">
        <f>IF(MasterSheet!$A$1=1,MasterSheet!C405,MasterSheet!B405)</f>
        <v>Otplata duga rezidentima</v>
      </c>
      <c r="E89" s="481">
        <f>+SUM('2014 - plan'!D89:F89)</f>
        <v>7502086.317499999</v>
      </c>
      <c r="F89" s="481">
        <f>+'2014 - execution '!P88</f>
        <v>7334651.1399999997</v>
      </c>
      <c r="G89" s="482">
        <f t="shared" si="13"/>
        <v>-167435.17749999929</v>
      </c>
      <c r="H89" s="483">
        <f t="shared" si="16"/>
        <v>97.768151812524124</v>
      </c>
      <c r="I89" s="481">
        <f>+SUM('2013 - execution'!D88:F88)</f>
        <v>13040547.42</v>
      </c>
      <c r="J89" s="484">
        <f t="shared" si="8"/>
        <v>-5705896.2800000003</v>
      </c>
      <c r="K89" s="515">
        <f t="shared" si="12"/>
        <v>56.244963526232084</v>
      </c>
      <c r="L89" s="516">
        <f>+'2014 - plan'!F89</f>
        <v>2500695.4391666665</v>
      </c>
      <c r="M89" s="262">
        <f>+'2014 - execution '!F88</f>
        <v>4238041.8499999996</v>
      </c>
      <c r="N89" s="484">
        <f t="shared" si="14"/>
        <v>1737346.4108333332</v>
      </c>
      <c r="O89" s="486">
        <f t="shared" si="10"/>
        <v>69.474530309548101</v>
      </c>
      <c r="P89" s="262">
        <f>+'2013 - execution'!F88</f>
        <v>1750313.77</v>
      </c>
      <c r="Q89" s="482">
        <f t="shared" si="15"/>
        <v>2487728.0799999996</v>
      </c>
      <c r="R89" s="486">
        <f t="shared" si="11"/>
        <v>142.13040670987803</v>
      </c>
      <c r="S89" s="387"/>
      <c r="T89" s="387"/>
      <c r="U89" s="387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</row>
    <row r="90" spans="1:37">
      <c r="A90" s="341"/>
      <c r="B90" s="341"/>
      <c r="C90" s="341"/>
      <c r="D90" s="352" t="str">
        <f>IF(MasterSheet!$A$1=1,MasterSheet!C406,MasterSheet!B406)</f>
        <v>Otplata duga nerezidentima</v>
      </c>
      <c r="E90" s="481">
        <f>+SUM('2014 - plan'!D90:F90)</f>
        <v>27020100.0625</v>
      </c>
      <c r="F90" s="481">
        <f>+'2014 - execution '!P89</f>
        <v>6981562.6299999999</v>
      </c>
      <c r="G90" s="482">
        <f t="shared" si="13"/>
        <v>-20038537.432500001</v>
      </c>
      <c r="H90" s="483">
        <f t="shared" si="16"/>
        <v>25.838404054207786</v>
      </c>
      <c r="I90" s="481">
        <f>+SUM('2013 - execution'!D89:F89)</f>
        <v>6612456.5999999996</v>
      </c>
      <c r="J90" s="484">
        <f t="shared" si="8"/>
        <v>369106.03000000026</v>
      </c>
      <c r="K90" s="485">
        <f t="shared" si="12"/>
        <v>105.58198037927386</v>
      </c>
      <c r="L90" s="516">
        <f>+'2014 - plan'!F90</f>
        <v>9006700.020833334</v>
      </c>
      <c r="M90" s="262">
        <f>+'2014 - execution '!F89</f>
        <v>3746284.28</v>
      </c>
      <c r="N90" s="484">
        <f t="shared" si="14"/>
        <v>-5260415.7408333346</v>
      </c>
      <c r="O90" s="486">
        <f t="shared" si="10"/>
        <v>-58.405583939350748</v>
      </c>
      <c r="P90" s="262">
        <f>+'2013 - execution'!F89</f>
        <v>3318984.81</v>
      </c>
      <c r="Q90" s="482">
        <f t="shared" si="15"/>
        <v>427299.46999999974</v>
      </c>
      <c r="R90" s="486">
        <f t="shared" si="11"/>
        <v>12.874402700264227</v>
      </c>
      <c r="S90" s="387"/>
      <c r="T90" s="387"/>
      <c r="U90" s="368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</row>
    <row r="91" spans="1:37" ht="13.5" thickBot="1">
      <c r="A91" s="341"/>
      <c r="B91" s="341"/>
      <c r="C91" s="341"/>
      <c r="D91" s="352" t="str">
        <f>IF(MasterSheet!$A$1=1,MasterSheet!C407,MasterSheet!B407)</f>
        <v>Otplata obaveza iz prethodnog perioda</v>
      </c>
      <c r="E91" s="481">
        <f>+SUM('2014 - plan'!D91:F91)</f>
        <v>8334539.9924999988</v>
      </c>
      <c r="F91" s="481">
        <f>+'2014 - execution '!P90</f>
        <v>6965955.3800000008</v>
      </c>
      <c r="G91" s="482">
        <f t="shared" si="13"/>
        <v>-1368584.612499998</v>
      </c>
      <c r="H91" s="483">
        <f t="shared" si="16"/>
        <v>83.579362343554095</v>
      </c>
      <c r="I91" s="481">
        <f>+SUM('2013 - execution'!D90:F90)</f>
        <v>11000370.069999998</v>
      </c>
      <c r="J91" s="484">
        <f t="shared" si="8"/>
        <v>-4034414.6899999976</v>
      </c>
      <c r="K91" s="485">
        <f t="shared" si="12"/>
        <v>63.324736674063566</v>
      </c>
      <c r="L91" s="516">
        <f>+'2014 - plan'!F91</f>
        <v>2778179.9974999996</v>
      </c>
      <c r="M91" s="262">
        <f>+'2014 - execution '!F90</f>
        <v>1848944.2800000003</v>
      </c>
      <c r="N91" s="484">
        <f t="shared" si="14"/>
        <v>-929235.71749999933</v>
      </c>
      <c r="O91" s="486">
        <f t="shared" si="10"/>
        <v>-33.447642641448383</v>
      </c>
      <c r="P91" s="262">
        <f>+'2013 - execution'!F90</f>
        <v>2148000.9299999992</v>
      </c>
      <c r="Q91" s="482">
        <f t="shared" si="15"/>
        <v>-299056.64999999898</v>
      </c>
      <c r="R91" s="486">
        <f t="shared" si="11"/>
        <v>-13.922556821239311</v>
      </c>
      <c r="S91" s="387"/>
      <c r="T91" s="387"/>
      <c r="U91" s="387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</row>
    <row r="92" spans="1:37" ht="14.25" thickTop="1" thickBot="1">
      <c r="A92" s="341"/>
      <c r="B92" s="341"/>
      <c r="C92" s="341"/>
      <c r="D92" s="469" t="str">
        <f>IF(MasterSheet!$A$1=1,MasterSheet!C409,MasterSheet!B409)</f>
        <v>Nedostajuća sredstva</v>
      </c>
      <c r="E92" s="501">
        <f>+SUM('2014 - plan'!D92:F92)</f>
        <v>-145751824.92009467</v>
      </c>
      <c r="F92" s="501">
        <f>+'2014 - execution '!P91</f>
        <v>-70452610.855705768</v>
      </c>
      <c r="G92" s="471">
        <f t="shared" si="13"/>
        <v>75299214.064388901</v>
      </c>
      <c r="H92" s="536">
        <f t="shared" si="16"/>
        <v>48.33737820732599</v>
      </c>
      <c r="I92" s="501">
        <f>+SUM('2013 - execution'!D91:F91)</f>
        <v>-91186489.849497914</v>
      </c>
      <c r="J92" s="533">
        <f t="shared" si="8"/>
        <v>20733878.993792146</v>
      </c>
      <c r="K92" s="532">
        <f t="shared" si="12"/>
        <v>77.262115223413971</v>
      </c>
      <c r="L92" s="501">
        <f>+'2014 - plan'!F92</f>
        <v>-36433976.457247779</v>
      </c>
      <c r="M92" s="470">
        <f>+'2014 - execution '!F91</f>
        <v>-27765111.475705732</v>
      </c>
      <c r="N92" s="470">
        <f t="shared" si="14"/>
        <v>8668864.9815420471</v>
      </c>
      <c r="O92" s="537">
        <f t="shared" si="10"/>
        <v>-23.793353963749283</v>
      </c>
      <c r="P92" s="470">
        <f>+'2013 - execution'!F91</f>
        <v>-22757259.684283637</v>
      </c>
      <c r="Q92" s="470">
        <f t="shared" si="15"/>
        <v>-5007851.7914220951</v>
      </c>
      <c r="R92" s="502">
        <f t="shared" si="11"/>
        <v>22.005513233566347</v>
      </c>
      <c r="S92" s="503"/>
      <c r="T92" s="503"/>
      <c r="U92" s="503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1"/>
      <c r="AK92" s="341"/>
    </row>
    <row r="93" spans="1:37" ht="14.25" thickTop="1" thickBot="1">
      <c r="A93" s="341"/>
      <c r="B93" s="341"/>
      <c r="C93" s="341"/>
      <c r="D93" s="469" t="str">
        <f>IF(MasterSheet!$A$1=1,MasterSheet!C410,MasterSheet!B410)</f>
        <v>Finansiranje</v>
      </c>
      <c r="E93" s="501">
        <f>+SUM('2014 - plan'!D93:F93)</f>
        <v>145751824.92009467</v>
      </c>
      <c r="F93" s="501">
        <f>+'2014 - execution '!P92</f>
        <v>70452610.855705768</v>
      </c>
      <c r="G93" s="471">
        <f t="shared" si="13"/>
        <v>-75299214.064388901</v>
      </c>
      <c r="H93" s="536"/>
      <c r="I93" s="501">
        <f>+SUM('2013 - execution'!D92:F92)</f>
        <v>91186489.849497914</v>
      </c>
      <c r="J93" s="533">
        <f t="shared" si="8"/>
        <v>-20733878.993792146</v>
      </c>
      <c r="K93" s="532">
        <f t="shared" si="12"/>
        <v>77.262115223413971</v>
      </c>
      <c r="L93" s="501">
        <f>+'2014 - plan'!F93</f>
        <v>36433976.457247779</v>
      </c>
      <c r="M93" s="470">
        <f>+'2014 - execution '!F92</f>
        <v>27765111.475705728</v>
      </c>
      <c r="N93" s="470">
        <f t="shared" si="14"/>
        <v>-8668864.9815420508</v>
      </c>
      <c r="O93" s="537">
        <f t="shared" si="10"/>
        <v>-23.793353963749297</v>
      </c>
      <c r="P93" s="470">
        <f>+'2013 - execution'!F92</f>
        <v>22757259.684283637</v>
      </c>
      <c r="Q93" s="470">
        <f t="shared" si="15"/>
        <v>5007851.7914220914</v>
      </c>
      <c r="R93" s="502">
        <f t="shared" si="11"/>
        <v>22.005513233566347</v>
      </c>
      <c r="S93" s="503"/>
      <c r="T93" s="503"/>
      <c r="U93" s="503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</row>
    <row r="94" spans="1:37" ht="13.5" thickTop="1">
      <c r="A94" s="341"/>
      <c r="B94" s="341"/>
      <c r="C94" s="341"/>
      <c r="D94" s="352" t="str">
        <f>IF(MasterSheet!$A$1=1,MasterSheet!C411,MasterSheet!B411)</f>
        <v>Pozajmice i krediti iz domaćih izvora</v>
      </c>
      <c r="E94" s="481">
        <f>+SUM('2014 - plan'!D94:F94)</f>
        <v>0</v>
      </c>
      <c r="F94" s="481">
        <f>+'2014 - execution '!P93</f>
        <v>77951610.030000001</v>
      </c>
      <c r="G94" s="482">
        <f t="shared" si="13"/>
        <v>77951610.030000001</v>
      </c>
      <c r="H94" s="483" t="s">
        <v>376</v>
      </c>
      <c r="I94" s="481">
        <f>+SUM('2013 - execution'!D93:F93)</f>
        <v>26971500</v>
      </c>
      <c r="J94" s="484">
        <f t="shared" si="8"/>
        <v>50980110.030000001</v>
      </c>
      <c r="K94" s="485">
        <f t="shared" si="12"/>
        <v>289.01473788999499</v>
      </c>
      <c r="L94" s="516">
        <f>+'2014 - plan'!F94</f>
        <v>0</v>
      </c>
      <c r="M94" s="262">
        <f>+'2014 - execution '!F93</f>
        <v>68600000</v>
      </c>
      <c r="N94" s="538">
        <f t="shared" si="14"/>
        <v>68600000</v>
      </c>
      <c r="O94" s="539" t="s">
        <v>376</v>
      </c>
      <c r="P94" s="262">
        <f>+'2013 - execution'!F93</f>
        <v>23000000</v>
      </c>
      <c r="Q94" s="482">
        <f t="shared" si="15"/>
        <v>45600000</v>
      </c>
      <c r="R94" s="486" t="s">
        <v>376</v>
      </c>
      <c r="S94" s="387"/>
      <c r="T94" s="387"/>
      <c r="U94" s="387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</row>
    <row r="95" spans="1:37">
      <c r="A95" s="341"/>
      <c r="B95" s="341"/>
      <c r="C95" s="341"/>
      <c r="D95" s="352" t="str">
        <f>IF(MasterSheet!$A$1=1,MasterSheet!C412,MasterSheet!B412)</f>
        <v>Pozajmice i krediti iz inostranih izvora</v>
      </c>
      <c r="E95" s="481">
        <f>+SUM('2014 - plan'!D95:F95)</f>
        <v>56993893.965707362</v>
      </c>
      <c r="F95" s="481">
        <f>+'2014 - execution '!P94</f>
        <v>713103.67999999993</v>
      </c>
      <c r="G95" s="482">
        <f t="shared" si="13"/>
        <v>-56280790.285707362</v>
      </c>
      <c r="H95" s="483"/>
      <c r="I95" s="481">
        <f>+SUM('2013 - execution'!D94:F94)</f>
        <v>37713438.420000002</v>
      </c>
      <c r="J95" s="484">
        <f t="shared" si="8"/>
        <v>-37000334.740000002</v>
      </c>
      <c r="K95" s="485">
        <f t="shared" si="12"/>
        <v>1.8908476921633068</v>
      </c>
      <c r="L95" s="516">
        <f>+'2014 - plan'!F95</f>
        <v>18997964.655235786</v>
      </c>
      <c r="M95" s="262">
        <f>+'2014 - execution '!F94</f>
        <v>307940.25</v>
      </c>
      <c r="N95" s="538">
        <f t="shared" si="14"/>
        <v>-18690024.405235786</v>
      </c>
      <c r="O95" s="539" t="s">
        <v>376</v>
      </c>
      <c r="P95" s="262">
        <f>+'2013 - execution'!F94</f>
        <v>1101008.74</v>
      </c>
      <c r="Q95" s="482">
        <f t="shared" si="15"/>
        <v>-793068.49</v>
      </c>
      <c r="R95" s="486">
        <f t="shared" si="11"/>
        <v>-72.031080334566639</v>
      </c>
      <c r="S95" s="387"/>
      <c r="T95" s="387"/>
      <c r="U95" s="387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</row>
    <row r="96" spans="1:37">
      <c r="A96" s="341"/>
      <c r="B96" s="341"/>
      <c r="C96" s="341"/>
      <c r="D96" s="352" t="str">
        <f>IF(MasterSheet!$A$1=1,MasterSheet!C413,MasterSheet!B413)</f>
        <v>Donacije</v>
      </c>
      <c r="E96" s="481">
        <f>+SUM('2014 - plan'!D96:F96)</f>
        <v>2000000</v>
      </c>
      <c r="F96" s="481">
        <f>+'2014 - execution '!P95</f>
        <v>1047846.69</v>
      </c>
      <c r="G96" s="482">
        <f t="shared" si="13"/>
        <v>-952153.31</v>
      </c>
      <c r="H96" s="483" t="s">
        <v>376</v>
      </c>
      <c r="I96" s="481">
        <f>+SUM('2013 - execution'!D95:F95)</f>
        <v>942653.5</v>
      </c>
      <c r="J96" s="484">
        <f t="shared" si="8"/>
        <v>105193.18999999994</v>
      </c>
      <c r="K96" s="485">
        <f t="shared" si="12"/>
        <v>111.15926371673154</v>
      </c>
      <c r="L96" s="516">
        <f>+'2014 - plan'!F96</f>
        <v>666666.66666666663</v>
      </c>
      <c r="M96" s="262">
        <f>+'2014 - execution '!F95</f>
        <v>173095.78</v>
      </c>
      <c r="N96" s="538">
        <f t="shared" si="14"/>
        <v>-493570.8866666666</v>
      </c>
      <c r="O96" s="539" t="s">
        <v>376</v>
      </c>
      <c r="P96" s="262">
        <f>+'2013 - execution'!F95</f>
        <v>618410.81000000006</v>
      </c>
      <c r="Q96" s="482">
        <f t="shared" si="15"/>
        <v>-445315.03</v>
      </c>
      <c r="R96" s="486">
        <f t="shared" si="11"/>
        <v>-72.009580492294447</v>
      </c>
      <c r="S96" s="387"/>
      <c r="T96" s="387"/>
      <c r="U96" s="387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</row>
    <row r="97" spans="1:37">
      <c r="A97" s="341"/>
      <c r="B97" s="341"/>
      <c r="C97" s="341"/>
      <c r="D97" s="352" t="str">
        <f>IF(MasterSheet!$A$1=1,MasterSheet!C414,MasterSheet!B414)</f>
        <v>Prihodi od privatizacije</v>
      </c>
      <c r="E97" s="481">
        <f>+SUM('2014 - plan'!D97:F97)</f>
        <v>1250000</v>
      </c>
      <c r="F97" s="481">
        <f>+'2014 - execution '!P96</f>
        <v>594437.18999999994</v>
      </c>
      <c r="G97" s="482">
        <f t="shared" si="13"/>
        <v>-655562.81000000006</v>
      </c>
      <c r="H97" s="483">
        <f t="shared" si="16"/>
        <v>47.554975199999994</v>
      </c>
      <c r="I97" s="481">
        <f>+SUM('2013 - execution'!D96:F96)</f>
        <v>57827.469999999994</v>
      </c>
      <c r="J97" s="484">
        <f t="shared" si="8"/>
        <v>536609.72</v>
      </c>
      <c r="K97" s="485">
        <f t="shared" si="12"/>
        <v>1027.949502200252</v>
      </c>
      <c r="L97" s="516">
        <f>+'2014 - plan'!F97</f>
        <v>416666.66666666669</v>
      </c>
      <c r="M97" s="262">
        <f>+'2014 - execution '!F96</f>
        <v>238150.88</v>
      </c>
      <c r="N97" s="538">
        <f t="shared" si="14"/>
        <v>-178515.78666666668</v>
      </c>
      <c r="O97" s="539" t="s">
        <v>376</v>
      </c>
      <c r="P97" s="262">
        <f>+'2013 - execution'!F96</f>
        <v>12933.29</v>
      </c>
      <c r="Q97" s="482">
        <f t="shared" si="15"/>
        <v>225217.59</v>
      </c>
      <c r="R97" s="486">
        <f t="shared" si="11"/>
        <v>1741.3789530738118</v>
      </c>
      <c r="S97" s="387"/>
      <c r="T97" s="387"/>
      <c r="U97" s="387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1"/>
      <c r="AK97" s="341"/>
    </row>
    <row r="98" spans="1:37" ht="13.5" thickBot="1">
      <c r="A98" s="341"/>
      <c r="B98" s="341"/>
      <c r="C98" s="341"/>
      <c r="D98" s="333" t="str">
        <f>IF(MasterSheet!$A$1=1,MasterSheet!C415,MasterSheet!B415)</f>
        <v>Povećanje/smanjenje depozita</v>
      </c>
      <c r="E98" s="395">
        <f>+SUM('2014 - plan'!D98:F98)</f>
        <v>85507930.954387292</v>
      </c>
      <c r="F98" s="395">
        <f>+'2014 - execution '!P97</f>
        <v>-9854386.7342942357</v>
      </c>
      <c r="G98" s="494">
        <f t="shared" si="13"/>
        <v>-95362317.688681528</v>
      </c>
      <c r="H98" s="495" t="s">
        <v>376</v>
      </c>
      <c r="I98" s="395">
        <f>+SUM('2013 - execution'!D97:F97)</f>
        <v>25501070.459497914</v>
      </c>
      <c r="J98" s="496">
        <f t="shared" si="8"/>
        <v>-35355457.193792149</v>
      </c>
      <c r="K98" s="497" t="s">
        <v>376</v>
      </c>
      <c r="L98" s="540">
        <f>+'2014 - plan'!F98</f>
        <v>16352678.468678657</v>
      </c>
      <c r="M98" s="336">
        <f>+'2014 - execution '!F97</f>
        <v>-41554075.434294268</v>
      </c>
      <c r="N98" s="541">
        <f t="shared" si="14"/>
        <v>-57906753.902972922</v>
      </c>
      <c r="O98" s="542">
        <f t="shared" si="10"/>
        <v>-354.11173780421041</v>
      </c>
      <c r="P98" s="336">
        <f>+'2013 - execution'!F97</f>
        <v>-1975093.1557163596</v>
      </c>
      <c r="Q98" s="494">
        <f t="shared" si="15"/>
        <v>-39578982.278577909</v>
      </c>
      <c r="R98" s="542">
        <f t="shared" si="11"/>
        <v>2003.9045836409041</v>
      </c>
      <c r="S98" s="440"/>
      <c r="T98" s="440"/>
      <c r="U98" s="440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</row>
    <row r="99" spans="1:37" ht="13.5" thickTop="1">
      <c r="A99" s="341"/>
      <c r="B99" s="341"/>
      <c r="C99" s="341"/>
      <c r="D99" s="340" t="str">
        <f>IF(MasterSheet!$A$1=1,MasterSheet!C416,MasterSheet!B416)</f>
        <v>Izvor: Ministarstvo finansija Crne Gore</v>
      </c>
      <c r="E99" s="341"/>
      <c r="F99" s="341"/>
      <c r="G99" s="341"/>
      <c r="H99" s="341"/>
      <c r="J99" s="341"/>
      <c r="K99" s="341"/>
      <c r="L99" s="341"/>
      <c r="M99" s="341"/>
      <c r="N99" s="341"/>
      <c r="O99" s="341"/>
      <c r="P99" s="365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</row>
    <row r="100" spans="1:37">
      <c r="A100" s="341"/>
      <c r="B100" s="341"/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</row>
    <row r="101" spans="1:37">
      <c r="A101" s="341"/>
      <c r="B101" s="341"/>
      <c r="C101" s="341"/>
      <c r="D101" s="341"/>
      <c r="E101" s="341"/>
      <c r="F101" s="341"/>
      <c r="G101" s="341"/>
      <c r="H101" s="358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</row>
    <row r="102" spans="1:37">
      <c r="A102" s="341"/>
      <c r="B102" s="341"/>
      <c r="C102" s="341"/>
      <c r="D102" s="341"/>
      <c r="E102" s="341"/>
      <c r="F102" s="342"/>
      <c r="G102" s="342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</row>
    <row r="103" spans="1:37">
      <c r="A103" s="341"/>
      <c r="B103" s="341"/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</row>
    <row r="104" spans="1:37">
      <c r="A104" s="341"/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65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</row>
    <row r="105" spans="1:37">
      <c r="A105" s="341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</row>
    <row r="106" spans="1:37">
      <c r="A106" s="341"/>
      <c r="B106" s="341"/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</row>
    <row r="107" spans="1:37">
      <c r="A107" s="341"/>
      <c r="B107" s="341"/>
      <c r="C107" s="341"/>
      <c r="D107" s="341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</row>
    <row r="108" spans="1:37">
      <c r="A108" s="341"/>
      <c r="B108" s="341"/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</row>
    <row r="109" spans="1:37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</row>
    <row r="110" spans="1:37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</row>
    <row r="111" spans="1:37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</row>
    <row r="112" spans="1:37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</row>
    <row r="113" spans="1:37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</row>
    <row r="114" spans="1:37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</row>
    <row r="115" spans="1:37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</row>
    <row r="116" spans="1:37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</row>
    <row r="117" spans="1:37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</row>
    <row r="118" spans="1:37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</row>
    <row r="119" spans="1:37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</row>
    <row r="120" spans="1:37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</row>
    <row r="121" spans="1:37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</row>
    <row r="122" spans="1:37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</row>
    <row r="123" spans="1:37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</row>
    <row r="124" spans="1:37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</row>
    <row r="125" spans="1:37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</row>
    <row r="126" spans="1:37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</row>
    <row r="127" spans="1:37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</row>
    <row r="128" spans="1:37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</row>
    <row r="129" spans="1:37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</row>
    <row r="130" spans="1:37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</row>
    <row r="131" spans="1:37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</row>
    <row r="132" spans="1:37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</row>
    <row r="133" spans="1:37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</row>
    <row r="134" spans="1:37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</row>
    <row r="135" spans="1:37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</row>
    <row r="136" spans="1:37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</row>
    <row r="137" spans="1:37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</row>
    <row r="138" spans="1:37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</row>
    <row r="139" spans="1:37">
      <c r="A139" s="341"/>
      <c r="B139" s="341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</row>
    <row r="140" spans="1:37">
      <c r="A140" s="341"/>
      <c r="B140" s="341"/>
      <c r="C140" s="341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</row>
    <row r="141" spans="1:37">
      <c r="A141" s="341"/>
      <c r="B141" s="341"/>
      <c r="C141" s="341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</row>
    <row r="142" spans="1:37">
      <c r="A142" s="341"/>
      <c r="B142" s="341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</row>
    <row r="143" spans="1:37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</row>
    <row r="144" spans="1:37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</row>
    <row r="145" spans="1:37">
      <c r="A145" s="341"/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</row>
    <row r="146" spans="1:37">
      <c r="A146" s="341"/>
      <c r="B146" s="341"/>
      <c r="C146" s="341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</row>
    <row r="147" spans="1:37">
      <c r="A147" s="341"/>
      <c r="B147" s="341"/>
      <c r="C147" s="341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</row>
    <row r="148" spans="1:37">
      <c r="A148" s="341"/>
      <c r="B148" s="341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</row>
    <row r="149" spans="1:37">
      <c r="A149" s="341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</row>
  </sheetData>
  <sheetProtection formatCells="0" formatColumns="0" formatRows="0" sort="0" autoFilter="0" pivotTables="0"/>
  <mergeCells count="5">
    <mergeCell ref="E17:K17"/>
    <mergeCell ref="L17:R17"/>
    <mergeCell ref="D17:D18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zoomScale="90" zoomScaleNormal="90" workbookViewId="0">
      <selection activeCell="R21" sqref="R21"/>
    </sheetView>
  </sheetViews>
  <sheetFormatPr defaultRowHeight="12.75"/>
  <cols>
    <col min="1" max="2" width="9.140625" style="434"/>
    <col min="3" max="3" width="54.7109375" style="434" customWidth="1"/>
    <col min="4" max="4" width="10.7109375" style="435" customWidth="1"/>
    <col min="5" max="7" width="10.7109375" style="434" customWidth="1"/>
    <col min="8" max="8" width="10.7109375" style="435" customWidth="1"/>
    <col min="9" max="15" width="10.7109375" style="434" customWidth="1"/>
    <col min="16" max="16" width="9.7109375" style="434" bestFit="1" customWidth="1"/>
    <col min="17" max="16384" width="9.140625" style="434"/>
  </cols>
  <sheetData>
    <row r="1" spans="1:3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>
      <c r="A3" s="9"/>
      <c r="B3" s="9"/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>
      <c r="A5" s="9"/>
      <c r="B5" s="9"/>
      <c r="C5" s="43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>
      <c r="A6" s="9"/>
      <c r="B6" s="9"/>
      <c r="C6" s="43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9"/>
      <c r="B7" s="9"/>
      <c r="C7" s="436"/>
      <c r="D7" s="9"/>
      <c r="E7" s="9"/>
      <c r="F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5">
      <c r="A8" s="9"/>
      <c r="B8" s="9"/>
      <c r="C8" s="436"/>
      <c r="D8" s="9"/>
      <c r="E8" s="9"/>
      <c r="F8" s="9"/>
      <c r="G8" s="585" t="str">
        <f>IF(MasterSheet!$A$1=1, MasterSheet!C5,MasterSheet!B5)</f>
        <v>CRNA GORA</v>
      </c>
      <c r="H8" s="585"/>
      <c r="I8" s="58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">
      <c r="A9" s="9"/>
      <c r="B9" s="9"/>
      <c r="C9" s="9"/>
      <c r="D9" s="9"/>
      <c r="E9" s="9"/>
      <c r="F9" s="585" t="str">
        <f>IF(MasterSheet!$A$1=1, MasterSheet!C6,MasterSheet!B6)</f>
        <v>MINISTARSTVO FINANSIJA</v>
      </c>
      <c r="G9" s="585"/>
      <c r="H9" s="585"/>
      <c r="I9" s="585"/>
      <c r="J9" s="58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9"/>
      <c r="B10" s="9"/>
      <c r="C10" s="6"/>
      <c r="D10" s="6"/>
      <c r="E10" s="6"/>
      <c r="F10" s="6"/>
      <c r="G10" s="6"/>
      <c r="H10" s="9"/>
      <c r="I10" s="6"/>
      <c r="J10" s="6"/>
      <c r="K10" s="6"/>
      <c r="L10" s="6"/>
      <c r="M10" s="6"/>
      <c r="N10" s="6"/>
      <c r="O10" s="6"/>
      <c r="P10" s="6"/>
      <c r="Q10" s="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9"/>
      <c r="B11" s="9"/>
      <c r="C11" s="6"/>
      <c r="D11" s="6"/>
      <c r="E11" s="6"/>
      <c r="F11" s="6"/>
      <c r="G11" s="6"/>
      <c r="H11" s="9"/>
      <c r="I11" s="6"/>
      <c r="J11" s="6"/>
      <c r="K11" s="6"/>
      <c r="L11" s="6"/>
      <c r="M11" s="6"/>
      <c r="N11" s="6"/>
      <c r="O11" s="6"/>
      <c r="P11" s="6"/>
      <c r="Q11" s="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9"/>
      <c r="B12" s="9"/>
      <c r="C12" s="11"/>
      <c r="D12" s="6"/>
      <c r="E12" s="6"/>
      <c r="F12" s="6"/>
      <c r="G12" s="6"/>
      <c r="H12" s="9"/>
      <c r="I12" s="6"/>
      <c r="J12" s="6"/>
      <c r="K12" s="6"/>
      <c r="L12" s="6"/>
      <c r="M12" s="6"/>
      <c r="N12" s="6"/>
      <c r="O12" s="6"/>
      <c r="P12" s="6"/>
      <c r="Q12" s="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3.5" thickBot="1">
      <c r="A13" s="9"/>
      <c r="B13" s="9"/>
      <c r="C13" s="6"/>
      <c r="D13" s="6"/>
      <c r="E13" s="6"/>
      <c r="F13" s="6"/>
      <c r="G13" s="6"/>
      <c r="H13" s="9"/>
      <c r="I13" s="6"/>
      <c r="J13" s="6"/>
      <c r="K13" s="6"/>
      <c r="L13" s="6"/>
      <c r="M13" s="6"/>
      <c r="N13" s="6"/>
      <c r="O13" s="6"/>
      <c r="P13" s="6"/>
      <c r="Q13" s="11"/>
      <c r="R13" s="436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7.25" thickTop="1" thickBot="1">
      <c r="B14" s="84"/>
      <c r="C14" s="85" t="str">
        <f>IF(MasterSheet!$A$1=1,MasterSheet!B67,MasterSheet!B66)</f>
        <v>BDP (u mil. €)</v>
      </c>
      <c r="D14" s="588">
        <v>3516000000</v>
      </c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90"/>
      <c r="R14" s="8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5.75" thickTop="1">
      <c r="A15" s="437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7.25" customHeight="1" thickBot="1">
      <c r="A16" s="9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7.25" customHeight="1" thickTop="1">
      <c r="A17" s="9"/>
      <c r="B17" s="9"/>
      <c r="C17" s="586" t="s">
        <v>424</v>
      </c>
      <c r="D17" s="591">
        <v>2014</v>
      </c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" customHeight="1" thickBot="1">
      <c r="A18" s="9"/>
      <c r="B18" s="9"/>
      <c r="C18" s="587"/>
      <c r="D18" s="242" t="str">
        <f>IF(MasterSheet!$A$1=1,MasterSheet!C336,MasterSheet!C335)</f>
        <v>Januar</v>
      </c>
      <c r="E18" s="243" t="str">
        <f>IF(MasterSheet!$A$1=1,MasterSheet!D336,MasterSheet!D335)</f>
        <v>Februar</v>
      </c>
      <c r="F18" s="243" t="str">
        <f>IF(MasterSheet!$A$1=1,MasterSheet!E336,MasterSheet!E335)</f>
        <v>Mart</v>
      </c>
      <c r="G18" s="243" t="str">
        <f>IF(MasterSheet!$A$1=1,MasterSheet!F336,MasterSheet!F335)</f>
        <v>April</v>
      </c>
      <c r="H18" s="243" t="str">
        <f>IF(MasterSheet!$A$1=1,MasterSheet!G336,MasterSheet!G335)</f>
        <v>Maj</v>
      </c>
      <c r="I18" s="243" t="str">
        <f>IF(MasterSheet!$A$1=1,MasterSheet!H336,MasterSheet!H335)</f>
        <v>Jun</v>
      </c>
      <c r="J18" s="243" t="str">
        <f>IF(MasterSheet!$A$1=1,MasterSheet!I336,MasterSheet!I335)</f>
        <v>Jul</v>
      </c>
      <c r="K18" s="244" t="str">
        <f>IF(MasterSheet!$A$1=1,MasterSheet!J336,MasterSheet!J335)</f>
        <v>Avgust</v>
      </c>
      <c r="L18" s="244" t="str">
        <f>IF(MasterSheet!$A$1=1,MasterSheet!K336,MasterSheet!K335)</f>
        <v>Septembar</v>
      </c>
      <c r="M18" s="244" t="str">
        <f>IF(MasterSheet!$A$1=1,MasterSheet!L336,MasterSheet!L335)</f>
        <v>Oktobar</v>
      </c>
      <c r="N18" s="244" t="str">
        <f>IF(MasterSheet!$A$1=1,MasterSheet!M336,MasterSheet!M335)</f>
        <v>Novembar</v>
      </c>
      <c r="O18" s="343" t="str">
        <f>IF(MasterSheet!$A$1=1,MasterSheet!N336,MasterSheet!N335)</f>
        <v>Decembar</v>
      </c>
      <c r="P18" s="247" t="str">
        <f>IF(MasterSheet!$A$1=1,MasterSheet!O336,MasterSheet!O335)</f>
        <v>Plan 2014</v>
      </c>
      <c r="Q18" s="247" t="s">
        <v>150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" customHeight="1" thickTop="1" thickBot="1">
      <c r="A19" s="9"/>
      <c r="B19" s="9"/>
      <c r="C19" s="248" t="str">
        <f>IF(MasterSheet!$A$1=1,MasterSheet!C337,MasterSheet!B337)</f>
        <v>Izvorni prihodi</v>
      </c>
      <c r="D19" s="391">
        <f>+D20+D28+D33+D38+D45+D50</f>
        <v>62425293.156965584</v>
      </c>
      <c r="E19" s="392">
        <f t="shared" ref="E19:O19" si="0">+E20+E28+E33+E38+E45+E50</f>
        <v>79762187.59852089</v>
      </c>
      <c r="F19" s="392">
        <f t="shared" si="0"/>
        <v>89318688.151918903</v>
      </c>
      <c r="G19" s="392">
        <f t="shared" si="0"/>
        <v>106294081.27535464</v>
      </c>
      <c r="H19" s="392">
        <f t="shared" si="0"/>
        <v>97189661.825924918</v>
      </c>
      <c r="I19" s="392">
        <f t="shared" si="0"/>
        <v>105191801.34506513</v>
      </c>
      <c r="J19" s="392">
        <f t="shared" si="0"/>
        <v>123272889.17858437</v>
      </c>
      <c r="K19" s="393">
        <f t="shared" si="0"/>
        <v>125579133.65326507</v>
      </c>
      <c r="L19" s="393">
        <f t="shared" si="0"/>
        <v>121047897.33843082</v>
      </c>
      <c r="M19" s="393">
        <f t="shared" si="0"/>
        <v>114789505.85515907</v>
      </c>
      <c r="N19" s="393">
        <f t="shared" si="0"/>
        <v>97406301.479715049</v>
      </c>
      <c r="O19" s="564">
        <f t="shared" si="0"/>
        <v>145778958.57826602</v>
      </c>
      <c r="P19" s="567">
        <f>+SUM(D19:O19)</f>
        <v>1268056399.4371705</v>
      </c>
      <c r="Q19" s="251">
        <f>+$P19/$D$14*100</f>
        <v>36.065312839509964</v>
      </c>
      <c r="R19" s="43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" customHeight="1" thickTop="1">
      <c r="A20" s="9"/>
      <c r="B20" s="9"/>
      <c r="C20" s="252" t="str">
        <f>IF(MasterSheet!$A$1=1,MasterSheet!C338,MasterSheet!B338)</f>
        <v>Porezi</v>
      </c>
      <c r="D20" s="374">
        <f>+SUM(D21:D27)</f>
        <v>46630073.989835031</v>
      </c>
      <c r="E20" s="372">
        <f t="shared" ref="E20:O20" si="1">+SUM(E21:E27)</f>
        <v>47737456.241611488</v>
      </c>
      <c r="F20" s="372">
        <f t="shared" si="1"/>
        <v>55661924.949411348</v>
      </c>
      <c r="G20" s="372">
        <f t="shared" si="1"/>
        <v>73380169.878103226</v>
      </c>
      <c r="H20" s="372">
        <f t="shared" si="1"/>
        <v>63336581.53084594</v>
      </c>
      <c r="I20" s="372">
        <f t="shared" si="1"/>
        <v>68150867.818816096</v>
      </c>
      <c r="J20" s="372">
        <f t="shared" si="1"/>
        <v>80502115.642067581</v>
      </c>
      <c r="K20" s="375">
        <f t="shared" si="1"/>
        <v>83661776.550335452</v>
      </c>
      <c r="L20" s="375">
        <f t="shared" si="1"/>
        <v>77286158.272165686</v>
      </c>
      <c r="M20" s="375">
        <f t="shared" si="1"/>
        <v>64936637.53359136</v>
      </c>
      <c r="N20" s="375">
        <f t="shared" si="1"/>
        <v>59626792.723406494</v>
      </c>
      <c r="O20" s="418">
        <f t="shared" si="1"/>
        <v>76918346.229341179</v>
      </c>
      <c r="P20" s="475">
        <f t="shared" ref="P20:P83" si="2">+SUM(D20:O20)</f>
        <v>797828901.35953081</v>
      </c>
      <c r="Q20" s="259">
        <f t="shared" ref="Q20:Q83" si="3">+$P20/$D$14*100</f>
        <v>22.691379447085634</v>
      </c>
      <c r="R20" s="43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" customHeight="1">
      <c r="A21" s="9"/>
      <c r="B21" s="9"/>
      <c r="C21" s="260" t="str">
        <f>IF(MasterSheet!$A$1=1,MasterSheet!C339,MasterSheet!B339)</f>
        <v>Porez na dohodak fizičkih lica</v>
      </c>
      <c r="D21" s="261">
        <v>5536823.9639416989</v>
      </c>
      <c r="E21" s="262">
        <v>6603739.6076103738</v>
      </c>
      <c r="F21" s="262">
        <v>6676953.4988943152</v>
      </c>
      <c r="G21" s="262">
        <v>6906912.5782146342</v>
      </c>
      <c r="H21" s="262">
        <v>7747493.2498942278</v>
      </c>
      <c r="I21" s="262">
        <v>6933974.2607370922</v>
      </c>
      <c r="J21" s="262">
        <v>7575525.125533646</v>
      </c>
      <c r="K21" s="294">
        <v>8718912.6885207817</v>
      </c>
      <c r="L21" s="294">
        <v>9058811.9435250778</v>
      </c>
      <c r="M21" s="294">
        <v>7322217.3457894176</v>
      </c>
      <c r="N21" s="294">
        <v>7332731.8430695906</v>
      </c>
      <c r="O21" s="324">
        <v>15597558.508764038</v>
      </c>
      <c r="P21" s="481">
        <f t="shared" si="2"/>
        <v>96011654.614494905</v>
      </c>
      <c r="Q21" s="265">
        <f t="shared" si="3"/>
        <v>2.7307069002984901</v>
      </c>
      <c r="R21" s="43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" customHeight="1">
      <c r="A22" s="9"/>
      <c r="B22" s="9"/>
      <c r="C22" s="260" t="str">
        <f>IF(MasterSheet!$A$1=1,MasterSheet!C340,MasterSheet!B340)</f>
        <v>Porez na dobit pravnih lica</v>
      </c>
      <c r="D22" s="261">
        <v>542155.32839785819</v>
      </c>
      <c r="E22" s="262">
        <v>1152750.3872009208</v>
      </c>
      <c r="F22" s="262">
        <v>5559762.3725619148</v>
      </c>
      <c r="G22" s="262">
        <v>16167122.137942558</v>
      </c>
      <c r="H22" s="262">
        <v>3342015.3051073127</v>
      </c>
      <c r="I22" s="262">
        <v>3973142.0907613225</v>
      </c>
      <c r="J22" s="262">
        <v>4224224.6269917246</v>
      </c>
      <c r="K22" s="294">
        <v>3100839.337515357</v>
      </c>
      <c r="L22" s="294">
        <v>2550420.1743935719</v>
      </c>
      <c r="M22" s="294">
        <v>1409658.4171760734</v>
      </c>
      <c r="N22" s="294">
        <v>1236078.5708177544</v>
      </c>
      <c r="O22" s="324">
        <v>1137472.7826346306</v>
      </c>
      <c r="P22" s="481">
        <f t="shared" si="2"/>
        <v>44395641.531501003</v>
      </c>
      <c r="Q22" s="265">
        <f t="shared" si="3"/>
        <v>1.2626746738197101</v>
      </c>
      <c r="R22" s="43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" customHeight="1">
      <c r="A23" s="9"/>
      <c r="B23" s="9"/>
      <c r="C23" s="260" t="str">
        <f>IF(MasterSheet!$A$1=1,MasterSheet!C341,MasterSheet!B341)</f>
        <v>Porez na imovinu</v>
      </c>
      <c r="D23" s="261">
        <v>123999.60285150184</v>
      </c>
      <c r="E23" s="262">
        <v>133192.75505076826</v>
      </c>
      <c r="F23" s="262">
        <v>141910.48385757531</v>
      </c>
      <c r="G23" s="262">
        <v>123791.01140095161</v>
      </c>
      <c r="H23" s="262">
        <v>72591.819035106659</v>
      </c>
      <c r="I23" s="262">
        <v>77284.349346340969</v>
      </c>
      <c r="J23" s="262">
        <v>135985.65036623355</v>
      </c>
      <c r="K23" s="294">
        <v>174290.23497475486</v>
      </c>
      <c r="L23" s="294">
        <v>107916.53190533332</v>
      </c>
      <c r="M23" s="294">
        <v>180714.58360820319</v>
      </c>
      <c r="N23" s="294">
        <v>121683.7391894871</v>
      </c>
      <c r="O23" s="324">
        <v>151175.91130578335</v>
      </c>
      <c r="P23" s="481">
        <f t="shared" si="2"/>
        <v>1544536.6728920399</v>
      </c>
      <c r="Q23" s="265">
        <f t="shared" si="3"/>
        <v>4.392880184562116E-2</v>
      </c>
      <c r="R23" s="43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" customHeight="1">
      <c r="A24" s="9"/>
      <c r="B24" s="9"/>
      <c r="C24" s="260" t="str">
        <f>IF(MasterSheet!$A$1=1,MasterSheet!C342,MasterSheet!B342)</f>
        <v>Porez na dodatu vrijednost</v>
      </c>
      <c r="D24" s="261">
        <v>27323259.649428416</v>
      </c>
      <c r="E24" s="262">
        <v>28192006.566407606</v>
      </c>
      <c r="F24" s="262">
        <v>31780100.537285</v>
      </c>
      <c r="G24" s="262">
        <v>35805625.314933896</v>
      </c>
      <c r="H24" s="262">
        <v>37013677.77422861</v>
      </c>
      <c r="I24" s="262">
        <v>39976192.562335499</v>
      </c>
      <c r="J24" s="262">
        <v>48606896.525866799</v>
      </c>
      <c r="K24" s="294">
        <v>48894010.587532401</v>
      </c>
      <c r="L24" s="294">
        <v>42792605.454785898</v>
      </c>
      <c r="M24" s="294">
        <v>38951776.984054103</v>
      </c>
      <c r="N24" s="294">
        <v>34980132.37681254</v>
      </c>
      <c r="O24" s="324">
        <v>41629346.195520297</v>
      </c>
      <c r="P24" s="481">
        <f t="shared" si="2"/>
        <v>455945630.52919102</v>
      </c>
      <c r="Q24" s="265">
        <f t="shared" si="3"/>
        <v>12.967736932002019</v>
      </c>
      <c r="R24" s="43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" customHeight="1">
      <c r="A25" s="9"/>
      <c r="B25" s="9"/>
      <c r="C25" s="260" t="str">
        <f>IF(MasterSheet!$A$1=1,MasterSheet!C343,MasterSheet!B343)</f>
        <v xml:space="preserve">Akcize </v>
      </c>
      <c r="D25" s="261">
        <v>11633388.71442843</v>
      </c>
      <c r="E25" s="262">
        <v>9984594.0786474198</v>
      </c>
      <c r="F25" s="262">
        <v>9169040.4450272899</v>
      </c>
      <c r="G25" s="262">
        <v>11715409.875199232</v>
      </c>
      <c r="H25" s="262">
        <v>12580245.774244396</v>
      </c>
      <c r="I25" s="262">
        <v>14576879.575155489</v>
      </c>
      <c r="J25" s="262">
        <v>16788102.358412612</v>
      </c>
      <c r="K25" s="294">
        <v>19929817.141586415</v>
      </c>
      <c r="L25" s="294">
        <v>20074252.942877635</v>
      </c>
      <c r="M25" s="294">
        <v>14472590.829511227</v>
      </c>
      <c r="N25" s="294">
        <v>13977403.069221891</v>
      </c>
      <c r="O25" s="324">
        <v>16210263.721078064</v>
      </c>
      <c r="P25" s="481">
        <f t="shared" si="2"/>
        <v>171111988.52539012</v>
      </c>
      <c r="Q25" s="265">
        <f t="shared" si="3"/>
        <v>4.8666663403125749</v>
      </c>
      <c r="R25" s="43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" customHeight="1">
      <c r="A26" s="9"/>
      <c r="B26" s="9"/>
      <c r="C26" s="260" t="str">
        <f>IF(MasterSheet!$A$1=1,MasterSheet!C344,MasterSheet!B344)</f>
        <v>Porez na međ. trgov. i transakcije</v>
      </c>
      <c r="D26" s="261">
        <v>1175497.3830894365</v>
      </c>
      <c r="E26" s="262">
        <v>1401258.3069391041</v>
      </c>
      <c r="F26" s="262">
        <v>1982854.7670731111</v>
      </c>
      <c r="G26" s="262">
        <v>2227395.5445058988</v>
      </c>
      <c r="H26" s="262">
        <v>2119281.4538548714</v>
      </c>
      <c r="I26" s="262">
        <v>2128447.743077762</v>
      </c>
      <c r="J26" s="262">
        <v>2626690.2153880983</v>
      </c>
      <c r="K26" s="294">
        <v>2350974.5793777262</v>
      </c>
      <c r="L26" s="294">
        <v>2173809.0200480837</v>
      </c>
      <c r="M26" s="294">
        <v>2170247.5204897081</v>
      </c>
      <c r="N26" s="294">
        <v>1576440.4650937812</v>
      </c>
      <c r="O26" s="324">
        <v>1802456.6976206759</v>
      </c>
      <c r="P26" s="481">
        <f t="shared" si="2"/>
        <v>23735353.696558256</v>
      </c>
      <c r="Q26" s="265">
        <f t="shared" si="3"/>
        <v>0.67506694245046228</v>
      </c>
      <c r="R26" s="43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" customHeight="1">
      <c r="A27" s="9"/>
      <c r="B27" s="9"/>
      <c r="C27" s="260" t="str">
        <f>IF(MasterSheet!$A$1=1,MasterSheet!C345,MasterSheet!B345)</f>
        <v>Ostali republički porezi</v>
      </c>
      <c r="D27" s="261">
        <v>294949.34769769129</v>
      </c>
      <c r="E27" s="262">
        <v>269914.53975529631</v>
      </c>
      <c r="F27" s="262">
        <v>351302.84471213742</v>
      </c>
      <c r="G27" s="262">
        <v>433913.41590605793</v>
      </c>
      <c r="H27" s="262">
        <v>461276.15448140749</v>
      </c>
      <c r="I27" s="262">
        <v>484947.23740259005</v>
      </c>
      <c r="J27" s="262">
        <v>544691.13950845459</v>
      </c>
      <c r="K27" s="294">
        <v>492931.9808280234</v>
      </c>
      <c r="L27" s="294">
        <v>528342.20463008841</v>
      </c>
      <c r="M27" s="294">
        <v>429431.85296262795</v>
      </c>
      <c r="N27" s="294">
        <v>402322.65920144052</v>
      </c>
      <c r="O27" s="324">
        <v>390072.41241769306</v>
      </c>
      <c r="P27" s="481">
        <f t="shared" si="2"/>
        <v>5084095.7895035082</v>
      </c>
      <c r="Q27" s="265">
        <f t="shared" si="3"/>
        <v>0.14459885635675507</v>
      </c>
      <c r="R27" s="43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" customHeight="1">
      <c r="A28" s="9"/>
      <c r="B28" s="9"/>
      <c r="C28" s="266" t="str">
        <f>IF(MasterSheet!$A$1=1,MasterSheet!C346,MasterSheet!B346)</f>
        <v>Doprinosi</v>
      </c>
      <c r="D28" s="374">
        <f>+SUM(D29:D32)</f>
        <v>11696495.709410317</v>
      </c>
      <c r="E28" s="372">
        <f t="shared" ref="E28:O28" si="4">+SUM(E29:E32)</f>
        <v>27967194.589402422</v>
      </c>
      <c r="F28" s="372">
        <f t="shared" si="4"/>
        <v>28929880.111931738</v>
      </c>
      <c r="G28" s="372">
        <f t="shared" si="4"/>
        <v>27258327.618631121</v>
      </c>
      <c r="H28" s="372">
        <f t="shared" si="4"/>
        <v>28592562.735781778</v>
      </c>
      <c r="I28" s="372">
        <f t="shared" si="4"/>
        <v>32131723.207960628</v>
      </c>
      <c r="J28" s="372">
        <f t="shared" si="4"/>
        <v>33016814.12419793</v>
      </c>
      <c r="K28" s="375">
        <f t="shared" si="4"/>
        <v>36072346.59471108</v>
      </c>
      <c r="L28" s="375">
        <f t="shared" si="4"/>
        <v>38203128.528232403</v>
      </c>
      <c r="M28" s="375">
        <f t="shared" si="4"/>
        <v>43672969.77403643</v>
      </c>
      <c r="N28" s="375">
        <f t="shared" si="4"/>
        <v>30164652.787533071</v>
      </c>
      <c r="O28" s="418">
        <f t="shared" si="4"/>
        <v>60117077.92735371</v>
      </c>
      <c r="P28" s="475">
        <f t="shared" si="2"/>
        <v>397823173.70918262</v>
      </c>
      <c r="Q28" s="272">
        <f t="shared" si="3"/>
        <v>11.314652267041598</v>
      </c>
      <c r="R28" s="43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" customHeight="1">
      <c r="A29" s="9"/>
      <c r="B29" s="9"/>
      <c r="C29" s="260" t="str">
        <f>IF(MasterSheet!$A$1=1,MasterSheet!C347,MasterSheet!B347)</f>
        <v>Doprinosi za PIO</v>
      </c>
      <c r="D29" s="261">
        <v>6378060.6572526693</v>
      </c>
      <c r="E29" s="262">
        <v>16126009.982946007</v>
      </c>
      <c r="F29" s="262">
        <v>16569177.415611617</v>
      </c>
      <c r="G29" s="262">
        <v>15916413.916518303</v>
      </c>
      <c r="H29" s="262">
        <v>16700474.831006728</v>
      </c>
      <c r="I29" s="262">
        <v>19303870.20408624</v>
      </c>
      <c r="J29" s="262">
        <v>19954258.836327907</v>
      </c>
      <c r="K29" s="294">
        <v>21157665.831800085</v>
      </c>
      <c r="L29" s="294">
        <v>23691624.075276405</v>
      </c>
      <c r="M29" s="294">
        <v>25779256.658387903</v>
      </c>
      <c r="N29" s="294">
        <v>17637260.472586822</v>
      </c>
      <c r="O29" s="324">
        <v>35668323.820286348</v>
      </c>
      <c r="P29" s="481">
        <f t="shared" si="2"/>
        <v>234882396.70208704</v>
      </c>
      <c r="Q29" s="265">
        <f t="shared" si="3"/>
        <v>6.6803867093881406</v>
      </c>
      <c r="R29" s="438"/>
      <c r="S29" s="439"/>
      <c r="T29" s="43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" customHeight="1">
      <c r="A30" s="9"/>
      <c r="B30" s="9"/>
      <c r="C30" s="260" t="str">
        <f>IF(MasterSheet!$A$1=1,MasterSheet!C348,MasterSheet!B348)</f>
        <v>Doprinosi za zdravstvo</v>
      </c>
      <c r="D30" s="261">
        <v>4579090.5759970825</v>
      </c>
      <c r="E30" s="262">
        <v>10104184.39535567</v>
      </c>
      <c r="F30" s="262">
        <v>10560309.670724479</v>
      </c>
      <c r="G30" s="262">
        <v>9541998.6085077375</v>
      </c>
      <c r="H30" s="262">
        <v>10202539.325177701</v>
      </c>
      <c r="I30" s="262">
        <v>10655134.986795479</v>
      </c>
      <c r="J30" s="262">
        <v>10928389.183865616</v>
      </c>
      <c r="K30" s="294">
        <v>12720604.592646427</v>
      </c>
      <c r="L30" s="294">
        <v>12433910.598023046</v>
      </c>
      <c r="M30" s="294">
        <v>15255623.222713828</v>
      </c>
      <c r="N30" s="294">
        <v>10791600.785030248</v>
      </c>
      <c r="O30" s="324">
        <v>20893912.876006678</v>
      </c>
      <c r="P30" s="481">
        <f t="shared" si="2"/>
        <v>138667298.82084399</v>
      </c>
      <c r="Q30" s="265">
        <f t="shared" si="3"/>
        <v>3.9438935955871446</v>
      </c>
      <c r="R30" s="43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" customHeight="1">
      <c r="A31" s="9"/>
      <c r="B31" s="9"/>
      <c r="C31" s="260" t="str">
        <f>IF(MasterSheet!$A$1=1,MasterSheet!C349,MasterSheet!B349)</f>
        <v>Doprinosi za nezaposlene</v>
      </c>
      <c r="D31" s="261">
        <v>345360.47830525995</v>
      </c>
      <c r="E31" s="262">
        <v>922696.95629602508</v>
      </c>
      <c r="F31" s="262">
        <v>857271.67153218063</v>
      </c>
      <c r="G31" s="262">
        <v>794944.20445414912</v>
      </c>
      <c r="H31" s="262">
        <v>860500.23373355891</v>
      </c>
      <c r="I31" s="262">
        <v>876623.14344260271</v>
      </c>
      <c r="J31" s="262">
        <v>897950.85198249156</v>
      </c>
      <c r="K31" s="294">
        <v>1049404.4207832785</v>
      </c>
      <c r="L31" s="294">
        <v>1051499.288563821</v>
      </c>
      <c r="M31" s="294">
        <v>1282491.8621105079</v>
      </c>
      <c r="N31" s="294">
        <v>895782.74311122345</v>
      </c>
      <c r="O31" s="324">
        <v>1782859.6661754006</v>
      </c>
      <c r="P31" s="481">
        <f t="shared" si="2"/>
        <v>11617385.520490499</v>
      </c>
      <c r="Q31" s="265">
        <f t="shared" si="3"/>
        <v>0.33041483277845562</v>
      </c>
      <c r="R31" s="4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 customHeight="1">
      <c r="A32" s="9"/>
      <c r="B32" s="9"/>
      <c r="C32" s="260" t="str">
        <f>IF(MasterSheet!$A$1=1,MasterSheet!C350,MasterSheet!B350)</f>
        <v>Ostali doprinosi</v>
      </c>
      <c r="D32" s="261">
        <v>393983.99785530567</v>
      </c>
      <c r="E32" s="262">
        <v>814303.25480471749</v>
      </c>
      <c r="F32" s="262">
        <v>943121.35406345711</v>
      </c>
      <c r="G32" s="262">
        <v>1004970.8891509315</v>
      </c>
      <c r="H32" s="262">
        <v>829048.34586379305</v>
      </c>
      <c r="I32" s="262">
        <v>1296094.8736363046</v>
      </c>
      <c r="J32" s="262">
        <v>1236215.2520219143</v>
      </c>
      <c r="K32" s="294">
        <v>1144671.7494812885</v>
      </c>
      <c r="L32" s="294">
        <v>1026094.5663691361</v>
      </c>
      <c r="M32" s="294">
        <v>1355598.0308241891</v>
      </c>
      <c r="N32" s="294">
        <v>840008.78680477664</v>
      </c>
      <c r="O32" s="324">
        <v>1771981.5648852838</v>
      </c>
      <c r="P32" s="481">
        <f t="shared" si="2"/>
        <v>12656092.665761098</v>
      </c>
      <c r="Q32" s="265">
        <f t="shared" si="3"/>
        <v>0.35995712928785834</v>
      </c>
      <c r="R32" s="43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" customHeight="1">
      <c r="A33" s="9"/>
      <c r="B33" s="9"/>
      <c r="C33" s="266" t="str">
        <f>IF(MasterSheet!$A$1=1,MasterSheet!C351,MasterSheet!B351)</f>
        <v>Takse</v>
      </c>
      <c r="D33" s="374">
        <f>+SUM(D34:D37)</f>
        <v>902871.84498938802</v>
      </c>
      <c r="E33" s="372">
        <f t="shared" ref="E33:O33" si="5">+SUM(E34:E37)</f>
        <v>1376722.835592885</v>
      </c>
      <c r="F33" s="372">
        <f t="shared" si="5"/>
        <v>1533902.3810318899</v>
      </c>
      <c r="G33" s="372">
        <f t="shared" si="5"/>
        <v>1769167.7909803819</v>
      </c>
      <c r="H33" s="372">
        <f t="shared" si="5"/>
        <v>1635179.6025759527</v>
      </c>
      <c r="I33" s="372">
        <f t="shared" si="5"/>
        <v>1713767.4441061548</v>
      </c>
      <c r="J33" s="372">
        <f t="shared" si="5"/>
        <v>2233130.224239069</v>
      </c>
      <c r="K33" s="375">
        <f t="shared" si="5"/>
        <v>1791089.1999486499</v>
      </c>
      <c r="L33" s="375">
        <f t="shared" si="5"/>
        <v>1407201.854776232</v>
      </c>
      <c r="M33" s="375">
        <f t="shared" si="5"/>
        <v>2107131.608306407</v>
      </c>
      <c r="N33" s="375">
        <f t="shared" si="5"/>
        <v>2082325.1460510979</v>
      </c>
      <c r="O33" s="418">
        <f t="shared" si="5"/>
        <v>2370557.2656825301</v>
      </c>
      <c r="P33" s="475">
        <f t="shared" si="2"/>
        <v>20923047.198280636</v>
      </c>
      <c r="Q33" s="272">
        <f t="shared" si="3"/>
        <v>0.59508097833562679</v>
      </c>
      <c r="R33" s="43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" customHeight="1">
      <c r="A34" s="9"/>
      <c r="B34" s="9"/>
      <c r="C34" s="260" t="str">
        <f>IF(MasterSheet!$A$1=1,MasterSheet!C352,MasterSheet!B352)</f>
        <v>Administrativne takse</v>
      </c>
      <c r="D34" s="261">
        <v>475144.75561189075</v>
      </c>
      <c r="E34" s="262">
        <v>517492.56867088092</v>
      </c>
      <c r="F34" s="262">
        <v>430110.48270409956</v>
      </c>
      <c r="G34" s="262">
        <v>827362.00845956581</v>
      </c>
      <c r="H34" s="262">
        <v>765781.28778520983</v>
      </c>
      <c r="I34" s="262">
        <v>896155.50480476802</v>
      </c>
      <c r="J34" s="262">
        <v>900805.24859983311</v>
      </c>
      <c r="K34" s="294">
        <v>706704.35479965224</v>
      </c>
      <c r="L34" s="294">
        <v>671459.96419562609</v>
      </c>
      <c r="M34" s="294">
        <v>696792.8632873724</v>
      </c>
      <c r="N34" s="294">
        <v>610012.75737018313</v>
      </c>
      <c r="O34" s="324">
        <v>646794.70668566914</v>
      </c>
      <c r="P34" s="481">
        <f t="shared" si="2"/>
        <v>8144616.5029747505</v>
      </c>
      <c r="Q34" s="265">
        <f t="shared" si="3"/>
        <v>0.23164438290599407</v>
      </c>
      <c r="R34" s="4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" customHeight="1">
      <c r="A35" s="9"/>
      <c r="B35" s="9"/>
      <c r="C35" s="260" t="str">
        <f>IF(MasterSheet!$A$1=1,MasterSheet!C353,MasterSheet!B353)</f>
        <v>Sudske takse</v>
      </c>
      <c r="D35" s="261">
        <v>200925.57354147307</v>
      </c>
      <c r="E35" s="262">
        <v>221010.12831298116</v>
      </c>
      <c r="F35" s="262">
        <v>261413.19362561635</v>
      </c>
      <c r="G35" s="262">
        <v>275003.00170006976</v>
      </c>
      <c r="H35" s="262">
        <v>190388.87737213133</v>
      </c>
      <c r="I35" s="262">
        <v>266102.24570597394</v>
      </c>
      <c r="J35" s="262">
        <v>318564.24003599695</v>
      </c>
      <c r="K35" s="294">
        <v>156169.82755441542</v>
      </c>
      <c r="L35" s="294">
        <v>228583.32020986776</v>
      </c>
      <c r="M35" s="294">
        <v>285566.63661766285</v>
      </c>
      <c r="N35" s="294">
        <v>746594.09972241579</v>
      </c>
      <c r="O35" s="324">
        <v>525762.42851835978</v>
      </c>
      <c r="P35" s="481">
        <f t="shared" si="2"/>
        <v>3676083.5729169641</v>
      </c>
      <c r="Q35" s="265">
        <f t="shared" si="3"/>
        <v>0.10455300264268955</v>
      </c>
      <c r="R35" s="43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" customHeight="1">
      <c r="A36" s="9"/>
      <c r="B36" s="9"/>
      <c r="C36" s="260" t="str">
        <f>IF(MasterSheet!$A$1=1,MasterSheet!C354,MasterSheet!B354)</f>
        <v>Boravišne takse</v>
      </c>
      <c r="D36" s="261">
        <v>7581.0977141313906</v>
      </c>
      <c r="E36" s="262">
        <v>9769.7546189308214</v>
      </c>
      <c r="F36" s="262">
        <v>13652.477623191922</v>
      </c>
      <c r="G36" s="262">
        <v>30023.611015219602</v>
      </c>
      <c r="H36" s="262">
        <v>51574.349619775021</v>
      </c>
      <c r="I36" s="262">
        <v>87997.575035473725</v>
      </c>
      <c r="J36" s="262">
        <v>162130.62126952593</v>
      </c>
      <c r="K36" s="294">
        <v>195839.46053647876</v>
      </c>
      <c r="L36" s="294">
        <v>110676.34726776603</v>
      </c>
      <c r="M36" s="294">
        <v>50069.953945792906</v>
      </c>
      <c r="N36" s="294">
        <v>30853.684736779614</v>
      </c>
      <c r="O36" s="324">
        <v>12342.508532882457</v>
      </c>
      <c r="P36" s="481">
        <f t="shared" si="2"/>
        <v>762511.44191594818</v>
      </c>
      <c r="Q36" s="265">
        <f t="shared" si="3"/>
        <v>2.1686901078383055E-2</v>
      </c>
      <c r="R36" s="43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" customHeight="1">
      <c r="A37" s="9"/>
      <c r="B37" s="9"/>
      <c r="C37" s="260" t="str">
        <f>IF(MasterSheet!$A$1=1,MasterSheet!C355,MasterSheet!B355)</f>
        <v>Ostale takse</v>
      </c>
      <c r="D37" s="261">
        <v>219220.41812189278</v>
      </c>
      <c r="E37" s="262">
        <v>628450.3839900922</v>
      </c>
      <c r="F37" s="262">
        <v>828726.22707898216</v>
      </c>
      <c r="G37" s="262">
        <v>636779.16980552685</v>
      </c>
      <c r="H37" s="262">
        <v>627435.08779883629</v>
      </c>
      <c r="I37" s="262">
        <v>463512.11855993903</v>
      </c>
      <c r="J37" s="262">
        <v>851630.11433371319</v>
      </c>
      <c r="K37" s="294">
        <v>732375.55705810327</v>
      </c>
      <c r="L37" s="294">
        <v>396482.22310297209</v>
      </c>
      <c r="M37" s="294">
        <v>1074702.1544555787</v>
      </c>
      <c r="N37" s="294">
        <v>694864.60422171932</v>
      </c>
      <c r="O37" s="324">
        <v>1185657.6219456189</v>
      </c>
      <c r="P37" s="481">
        <f t="shared" si="2"/>
        <v>8339835.6804729747</v>
      </c>
      <c r="Q37" s="265">
        <f t="shared" si="3"/>
        <v>0.23719669170856017</v>
      </c>
      <c r="R37" s="43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" customHeight="1">
      <c r="A38" s="9"/>
      <c r="B38" s="9"/>
      <c r="C38" s="266" t="str">
        <f>IF(MasterSheet!$A$1=1,MasterSheet!C356,MasterSheet!B356)</f>
        <v>Naknade</v>
      </c>
      <c r="D38" s="374">
        <f>+SUM(D39:D44)</f>
        <v>874647.32532018784</v>
      </c>
      <c r="E38" s="372">
        <f t="shared" ref="E38:O38" si="6">+SUM(E39:E44)</f>
        <v>1141795.5130265537</v>
      </c>
      <c r="F38" s="372">
        <f t="shared" si="6"/>
        <v>1392255.6905662352</v>
      </c>
      <c r="G38" s="372">
        <f t="shared" si="6"/>
        <v>1012251.8295932285</v>
      </c>
      <c r="H38" s="372">
        <f t="shared" si="6"/>
        <v>647746.68080012128</v>
      </c>
      <c r="I38" s="372">
        <f t="shared" si="6"/>
        <v>954989.7774594496</v>
      </c>
      <c r="J38" s="372">
        <f t="shared" si="6"/>
        <v>1184343.1262543593</v>
      </c>
      <c r="K38" s="375">
        <f t="shared" si="6"/>
        <v>1056013.1087953006</v>
      </c>
      <c r="L38" s="375">
        <f t="shared" si="6"/>
        <v>1308372.2565571361</v>
      </c>
      <c r="M38" s="375">
        <f t="shared" si="6"/>
        <v>1299421.3451732181</v>
      </c>
      <c r="N38" s="375">
        <f t="shared" si="6"/>
        <v>1236718.8760774885</v>
      </c>
      <c r="O38" s="418">
        <f t="shared" si="6"/>
        <v>915688.23864849063</v>
      </c>
      <c r="P38" s="475">
        <f t="shared" si="2"/>
        <v>13024243.768271768</v>
      </c>
      <c r="Q38" s="272">
        <f t="shared" si="3"/>
        <v>0.37042786599180233</v>
      </c>
      <c r="R38" s="43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" customHeight="1">
      <c r="A39" s="9"/>
      <c r="B39" s="9"/>
      <c r="C39" s="260" t="str">
        <f>IF(MasterSheet!$A$1=1,MasterSheet!C357,MasterSheet!B357)</f>
        <v>Nakn. za koriš. dob. od opš. int.</v>
      </c>
      <c r="D39" s="261">
        <v>13374.96592979776</v>
      </c>
      <c r="E39" s="262">
        <v>9999.5066580478688</v>
      </c>
      <c r="F39" s="262">
        <v>20867.434190068099</v>
      </c>
      <c r="G39" s="262">
        <v>52237.811965447087</v>
      </c>
      <c r="H39" s="262">
        <v>29954.027638769621</v>
      </c>
      <c r="I39" s="262">
        <v>75989.810977853747</v>
      </c>
      <c r="J39" s="262">
        <v>69124.693281453248</v>
      </c>
      <c r="K39" s="294">
        <v>68296.533545507307</v>
      </c>
      <c r="L39" s="294">
        <v>81324.552086676718</v>
      </c>
      <c r="M39" s="294">
        <v>103792.89001602873</v>
      </c>
      <c r="N39" s="294">
        <v>83406.301181671501</v>
      </c>
      <c r="O39" s="324">
        <v>90282.957525940728</v>
      </c>
      <c r="P39" s="481">
        <f t="shared" si="2"/>
        <v>698651.48499726236</v>
      </c>
      <c r="Q39" s="265">
        <f t="shared" si="3"/>
        <v>1.9870633816759454E-2</v>
      </c>
      <c r="R39" s="43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" customHeight="1">
      <c r="A40" s="9"/>
      <c r="B40" s="9"/>
      <c r="C40" s="260" t="str">
        <f>IF(MasterSheet!$A$1=1,MasterSheet!C358,MasterSheet!B358)</f>
        <v>Naknada za kor. prirodnih dobara</v>
      </c>
      <c r="D40" s="261">
        <v>68560.439383830249</v>
      </c>
      <c r="E40" s="262">
        <v>158760.55168773123</v>
      </c>
      <c r="F40" s="262">
        <v>86996.200905318663</v>
      </c>
      <c r="G40" s="262">
        <v>139217.3680976172</v>
      </c>
      <c r="H40" s="262">
        <v>88290.272881141384</v>
      </c>
      <c r="I40" s="262">
        <v>150975.511135493</v>
      </c>
      <c r="J40" s="262">
        <v>282556.34547435516</v>
      </c>
      <c r="K40" s="294">
        <v>250904.43065756923</v>
      </c>
      <c r="L40" s="294">
        <v>340061.28023376479</v>
      </c>
      <c r="M40" s="294">
        <v>157592.48517262322</v>
      </c>
      <c r="N40" s="294">
        <v>139352.60641494626</v>
      </c>
      <c r="O40" s="324">
        <v>134698.27532869682</v>
      </c>
      <c r="P40" s="481">
        <f t="shared" si="2"/>
        <v>1997965.7673730874</v>
      </c>
      <c r="Q40" s="265">
        <f t="shared" si="3"/>
        <v>5.6824964942351744E-2</v>
      </c>
      <c r="R40" s="43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" customHeight="1">
      <c r="A41" s="9"/>
      <c r="B41" s="9"/>
      <c r="C41" s="260" t="str">
        <f>IF(MasterSheet!$A$1=1,MasterSheet!C359,MasterSheet!B359)</f>
        <v>Ekološke naknade</v>
      </c>
      <c r="D41" s="261">
        <v>8283.3722056747156</v>
      </c>
      <c r="E41" s="262">
        <v>438.42431824711196</v>
      </c>
      <c r="F41" s="262">
        <v>76941.598341280071</v>
      </c>
      <c r="G41" s="262">
        <v>179198.95167301106</v>
      </c>
      <c r="H41" s="262">
        <v>22946.159958340497</v>
      </c>
      <c r="I41" s="262">
        <v>1047.213826418807</v>
      </c>
      <c r="J41" s="262">
        <v>1252.6546053293903</v>
      </c>
      <c r="K41" s="294">
        <v>57902.127626807072</v>
      </c>
      <c r="L41" s="294">
        <v>19062.836179061087</v>
      </c>
      <c r="M41" s="294">
        <v>18058.764916213506</v>
      </c>
      <c r="N41" s="294">
        <v>19001.902444036212</v>
      </c>
      <c r="O41" s="324">
        <v>20239.874881699459</v>
      </c>
      <c r="P41" s="481">
        <f t="shared" si="2"/>
        <v>424373.88097611902</v>
      </c>
      <c r="Q41" s="265">
        <f t="shared" si="3"/>
        <v>1.2069791836635922E-2</v>
      </c>
      <c r="R41" s="43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" customHeight="1">
      <c r="A42" s="9"/>
      <c r="B42" s="9"/>
      <c r="C42" s="260" t="str">
        <f>IF(MasterSheet!$A$1=1,MasterSheet!C360,MasterSheet!B360)</f>
        <v>Naknade za priređ.  igara na sreću</v>
      </c>
      <c r="D42" s="261">
        <v>218156.88822096359</v>
      </c>
      <c r="E42" s="262">
        <v>255882.09299293195</v>
      </c>
      <c r="F42" s="262">
        <v>308454.01078105619</v>
      </c>
      <c r="G42" s="262">
        <v>291256.03931849444</v>
      </c>
      <c r="H42" s="262">
        <v>209319.05160094475</v>
      </c>
      <c r="I42" s="262">
        <v>235732.32623325672</v>
      </c>
      <c r="J42" s="262">
        <v>266247.77742806828</v>
      </c>
      <c r="K42" s="294">
        <v>225983.32279932156</v>
      </c>
      <c r="L42" s="294">
        <v>293786.09202076163</v>
      </c>
      <c r="M42" s="294">
        <v>277605.57542804343</v>
      </c>
      <c r="N42" s="294">
        <v>365063.29270523117</v>
      </c>
      <c r="O42" s="324">
        <v>318856.58209443517</v>
      </c>
      <c r="P42" s="481">
        <f t="shared" si="2"/>
        <v>3266343.0516235088</v>
      </c>
      <c r="Q42" s="265">
        <f t="shared" si="3"/>
        <v>9.2899404198620833E-2</v>
      </c>
      <c r="R42" s="4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" customHeight="1">
      <c r="A43" s="9"/>
      <c r="B43" s="9"/>
      <c r="C43" s="260" t="str">
        <f>IF(MasterSheet!$A$1=1,MasterSheet!C361,MasterSheet!B361)</f>
        <v>Naknade za puteve</v>
      </c>
      <c r="D43" s="261">
        <v>183579.79065691191</v>
      </c>
      <c r="E43" s="262">
        <v>170354.4182538364</v>
      </c>
      <c r="F43" s="262">
        <v>210009.94619420799</v>
      </c>
      <c r="G43" s="262">
        <v>251630.44241899281</v>
      </c>
      <c r="H43" s="262">
        <v>223289.79532645864</v>
      </c>
      <c r="I43" s="262">
        <v>351783.78129680996</v>
      </c>
      <c r="J43" s="262">
        <v>404590.35850671574</v>
      </c>
      <c r="K43" s="294">
        <v>357989.68957817386</v>
      </c>
      <c r="L43" s="294">
        <v>250924.7303258453</v>
      </c>
      <c r="M43" s="294">
        <v>578231.79621344688</v>
      </c>
      <c r="N43" s="294">
        <v>177457.81689161048</v>
      </c>
      <c r="O43" s="324">
        <v>195909.45190988353</v>
      </c>
      <c r="P43" s="481">
        <f t="shared" si="2"/>
        <v>3355752.0175728933</v>
      </c>
      <c r="Q43" s="265">
        <f t="shared" si="3"/>
        <v>9.5442321318910506E-2</v>
      </c>
      <c r="R43" s="43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" customHeight="1">
      <c r="A44" s="9"/>
      <c r="B44" s="9"/>
      <c r="C44" s="260" t="str">
        <f>IF(MasterSheet!$A$1=1,MasterSheet!C362,MasterSheet!B362)</f>
        <v>Ostale naknade</v>
      </c>
      <c r="D44" s="261">
        <v>382691.86892300961</v>
      </c>
      <c r="E44" s="262">
        <v>546360.51911575894</v>
      </c>
      <c r="F44" s="262">
        <v>688986.50015430432</v>
      </c>
      <c r="G44" s="262">
        <v>98711.216119666002</v>
      </c>
      <c r="H44" s="262">
        <v>73947.373394466355</v>
      </c>
      <c r="I44" s="262">
        <v>139461.13398961752</v>
      </c>
      <c r="J44" s="262">
        <v>160571.2969584376</v>
      </c>
      <c r="K44" s="294">
        <v>94937.00458792159</v>
      </c>
      <c r="L44" s="294">
        <v>323212.76571102644</v>
      </c>
      <c r="M44" s="294">
        <v>164139.83342686231</v>
      </c>
      <c r="N44" s="294">
        <v>452436.956439993</v>
      </c>
      <c r="O44" s="324">
        <v>155701.09690783496</v>
      </c>
      <c r="P44" s="481">
        <f t="shared" si="2"/>
        <v>3281157.5657288986</v>
      </c>
      <c r="Q44" s="265">
        <f t="shared" si="3"/>
        <v>9.3320749878523845E-2</v>
      </c>
      <c r="R44" s="43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" customHeight="1">
      <c r="A45" s="9"/>
      <c r="B45" s="9"/>
      <c r="C45" s="266" t="str">
        <f>IF(MasterSheet!$A$1=1,MasterSheet!C363,MasterSheet!B363)</f>
        <v>Ostali prihodi</v>
      </c>
      <c r="D45" s="374">
        <f>+SUM(D46:D49)</f>
        <v>2128432.1735986122</v>
      </c>
      <c r="E45" s="372">
        <f t="shared" ref="E45:O45" si="7">+SUM(E46:E49)</f>
        <v>1320017.4642991112</v>
      </c>
      <c r="F45" s="372">
        <f t="shared" si="7"/>
        <v>1521512.068415079</v>
      </c>
      <c r="G45" s="372">
        <f t="shared" si="7"/>
        <v>2595680.0159037258</v>
      </c>
      <c r="H45" s="372">
        <f t="shared" si="7"/>
        <v>2783027.0466008885</v>
      </c>
      <c r="I45" s="372">
        <f t="shared" si="7"/>
        <v>1934475.5951932021</v>
      </c>
      <c r="J45" s="372">
        <f t="shared" si="7"/>
        <v>3103592.0848331661</v>
      </c>
      <c r="K45" s="375">
        <f t="shared" si="7"/>
        <v>2451881.0862679579</v>
      </c>
      <c r="L45" s="375">
        <f t="shared" si="7"/>
        <v>2469058.8016255274</v>
      </c>
      <c r="M45" s="375">
        <f t="shared" si="7"/>
        <v>2200822.8981059212</v>
      </c>
      <c r="N45" s="375">
        <f t="shared" si="7"/>
        <v>4135986.1632531187</v>
      </c>
      <c r="O45" s="418">
        <f t="shared" si="7"/>
        <v>4766285.5166419055</v>
      </c>
      <c r="P45" s="475">
        <f t="shared" si="2"/>
        <v>31410770.914738216</v>
      </c>
      <c r="Q45" s="272">
        <f t="shared" si="3"/>
        <v>0.89336663580029052</v>
      </c>
      <c r="R45" s="43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" customHeight="1">
      <c r="A46" s="9"/>
      <c r="B46" s="9"/>
      <c r="C46" s="260" t="str">
        <f>IF(MasterSheet!$A$1=1,MasterSheet!C364,MasterSheet!B364)</f>
        <v>Prihodi od kapitala</v>
      </c>
      <c r="D46" s="261">
        <v>9591.9361269248839</v>
      </c>
      <c r="E46" s="262">
        <v>14192.527552946081</v>
      </c>
      <c r="F46" s="262">
        <v>42685.597995647251</v>
      </c>
      <c r="G46" s="262">
        <v>907796.75200148032</v>
      </c>
      <c r="H46" s="262">
        <v>233793.93329700391</v>
      </c>
      <c r="I46" s="262">
        <v>104006.28981622387</v>
      </c>
      <c r="J46" s="262">
        <v>72531.959400060427</v>
      </c>
      <c r="K46" s="294">
        <v>7130.6443796449739</v>
      </c>
      <c r="L46" s="294">
        <v>29236.203122810326</v>
      </c>
      <c r="M46" s="294">
        <v>68741.409645039341</v>
      </c>
      <c r="N46" s="294">
        <v>1926287.3644220931</v>
      </c>
      <c r="O46" s="324">
        <v>2117612.1246805554</v>
      </c>
      <c r="P46" s="481">
        <f t="shared" si="2"/>
        <v>5533606.7424404295</v>
      </c>
      <c r="Q46" s="265">
        <f t="shared" si="3"/>
        <v>0.15738358198067207</v>
      </c>
      <c r="R46" s="43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" customHeight="1">
      <c r="A47" s="9"/>
      <c r="B47" s="9"/>
      <c r="C47" s="260" t="str">
        <f>IF(MasterSheet!$A$1=1,MasterSheet!C365,MasterSheet!B365)</f>
        <v>Novčane kazne i oduzete imovinske koristi</v>
      </c>
      <c r="D47" s="261">
        <v>535547.49781744892</v>
      </c>
      <c r="E47" s="262">
        <v>740506.73838263343</v>
      </c>
      <c r="F47" s="262">
        <v>726627.07689493673</v>
      </c>
      <c r="G47" s="262">
        <v>753352.97544523817</v>
      </c>
      <c r="H47" s="262">
        <v>980566.87007629289</v>
      </c>
      <c r="I47" s="262">
        <v>1039527.5505012028</v>
      </c>
      <c r="J47" s="262">
        <v>1558137.8337055335</v>
      </c>
      <c r="K47" s="294">
        <v>1561185.5179963366</v>
      </c>
      <c r="L47" s="294">
        <v>1147702.3811617089</v>
      </c>
      <c r="M47" s="294">
        <v>885534.92711899593</v>
      </c>
      <c r="N47" s="294">
        <v>834922.44557827106</v>
      </c>
      <c r="O47" s="324">
        <v>1060462.0751362641</v>
      </c>
      <c r="P47" s="481">
        <f t="shared" si="2"/>
        <v>11824073.889814865</v>
      </c>
      <c r="Q47" s="265">
        <f t="shared" si="3"/>
        <v>0.33629334157607693</v>
      </c>
      <c r="R47" s="43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" customHeight="1">
      <c r="A48" s="9"/>
      <c r="B48" s="9"/>
      <c r="C48" s="260" t="str">
        <f>IF(MasterSheet!$A$1=1,MasterSheet!C366,MasterSheet!B366)</f>
        <v>Prihodi koje organi ostvaruju vršenjem svoje djel.</v>
      </c>
      <c r="D48" s="261">
        <v>92458.128568339904</v>
      </c>
      <c r="E48" s="262">
        <v>125098.74235606998</v>
      </c>
      <c r="F48" s="262">
        <v>200562.96704692073</v>
      </c>
      <c r="G48" s="262">
        <v>169433.33677156322</v>
      </c>
      <c r="H48" s="262">
        <v>151549.42955971754</v>
      </c>
      <c r="I48" s="294">
        <v>216223.29722223387</v>
      </c>
      <c r="J48" s="262">
        <v>259541.65890583134</v>
      </c>
      <c r="K48" s="294">
        <v>251424.40878451712</v>
      </c>
      <c r="L48" s="294">
        <v>173451.27421913247</v>
      </c>
      <c r="M48" s="294">
        <v>183220.99765206236</v>
      </c>
      <c r="N48" s="294">
        <v>149346.20651691291</v>
      </c>
      <c r="O48" s="324">
        <v>247894.89587613087</v>
      </c>
      <c r="P48" s="481">
        <f t="shared" si="2"/>
        <v>2220205.3434794322</v>
      </c>
      <c r="Q48" s="265">
        <f t="shared" si="3"/>
        <v>6.314577199884619E-2</v>
      </c>
      <c r="R48" s="43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>
      <c r="A49" s="9"/>
      <c r="B49" s="9"/>
      <c r="C49" s="260" t="str">
        <f>IF(MasterSheet!$A$1=1,MasterSheet!C367,MasterSheet!B367)</f>
        <v>Ostali prihodi</v>
      </c>
      <c r="D49" s="261">
        <v>1490834.6110858985</v>
      </c>
      <c r="E49" s="262">
        <v>440219.45600746165</v>
      </c>
      <c r="F49" s="262">
        <v>551636.42647757428</v>
      </c>
      <c r="G49" s="262">
        <v>765096.95168544387</v>
      </c>
      <c r="H49" s="262">
        <v>1417116.8136678741</v>
      </c>
      <c r="I49" s="294">
        <v>574718.45765354158</v>
      </c>
      <c r="J49" s="262">
        <v>1213380.6328217408</v>
      </c>
      <c r="K49" s="294">
        <v>632140.51510745951</v>
      </c>
      <c r="L49" s="294">
        <v>1118668.9431218756</v>
      </c>
      <c r="M49" s="294">
        <v>1063325.5636898233</v>
      </c>
      <c r="N49" s="294">
        <v>1225430.1467358419</v>
      </c>
      <c r="O49" s="324">
        <v>1340316.4209489555</v>
      </c>
      <c r="P49" s="481">
        <f t="shared" si="2"/>
        <v>11832884.939003492</v>
      </c>
      <c r="Q49" s="265">
        <f t="shared" si="3"/>
        <v>0.33654394024469542</v>
      </c>
      <c r="R49" s="4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3.5" thickBot="1">
      <c r="A50" s="9"/>
      <c r="B50" s="9"/>
      <c r="C50" s="275" t="str">
        <f>IF(MasterSheet!$A$1=1,MasterSheet!C368,MasterSheet!B368)</f>
        <v>Primici od otplate kredita i sredstva prenijeta iz prethodne godine</v>
      </c>
      <c r="D50" s="334">
        <v>192772.11381205477</v>
      </c>
      <c r="E50" s="335">
        <v>219000.95458843262</v>
      </c>
      <c r="F50" s="335">
        <v>279212.95056261157</v>
      </c>
      <c r="G50" s="335">
        <v>278484.14214295219</v>
      </c>
      <c r="H50" s="335">
        <v>194564.22932022985</v>
      </c>
      <c r="I50" s="335">
        <v>305977.50152959337</v>
      </c>
      <c r="J50" s="335">
        <v>3232893.976992269</v>
      </c>
      <c r="K50" s="336">
        <v>546027.11320662138</v>
      </c>
      <c r="L50" s="335">
        <v>373977.62507384352</v>
      </c>
      <c r="M50" s="335">
        <v>572522.69594572182</v>
      </c>
      <c r="N50" s="335">
        <v>159825.78339378684</v>
      </c>
      <c r="O50" s="423">
        <v>691003.4005981891</v>
      </c>
      <c r="P50" s="395">
        <f t="shared" si="2"/>
        <v>7046262.487166306</v>
      </c>
      <c r="Q50" s="282">
        <f t="shared" si="3"/>
        <v>0.20040564525501436</v>
      </c>
      <c r="R50" s="43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4.25" thickTop="1" thickBot="1">
      <c r="A51" s="9"/>
      <c r="B51" s="9"/>
      <c r="C51" s="248" t="str">
        <f>IF(MasterSheet!$A$1=1,MasterSheet!C369,MasterSheet!B369)</f>
        <v>Izdaci</v>
      </c>
      <c r="D51" s="366">
        <v>111467089.15166669</v>
      </c>
      <c r="E51" s="366">
        <v>111467089.15166669</v>
      </c>
      <c r="F51" s="366">
        <v>111467089.15166669</v>
      </c>
      <c r="G51" s="366">
        <v>111467089.15166669</v>
      </c>
      <c r="H51" s="366">
        <v>111467089.15166669</v>
      </c>
      <c r="I51" s="366">
        <v>111467089.15166669</v>
      </c>
      <c r="J51" s="366">
        <v>111467089.15166669</v>
      </c>
      <c r="K51" s="366">
        <v>111467089.15166669</v>
      </c>
      <c r="L51" s="366">
        <v>111467089.15166669</v>
      </c>
      <c r="M51" s="366">
        <v>111467089.15166669</v>
      </c>
      <c r="N51" s="366">
        <v>111467089.15166669</v>
      </c>
      <c r="O51" s="367">
        <v>111467089.15166669</v>
      </c>
      <c r="P51" s="283">
        <f>+SUM(D51:O51)</f>
        <v>1337605069.8199999</v>
      </c>
      <c r="Q51" s="251">
        <f t="shared" si="3"/>
        <v>38.043375137087601</v>
      </c>
      <c r="R51" s="98"/>
      <c r="S51" s="43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4.25" thickTop="1" thickBot="1">
      <c r="A52" s="9"/>
      <c r="B52" s="9"/>
      <c r="C52" s="248" t="str">
        <f>IF(MasterSheet!$A$1=1,MasterSheet!C370,MasterSheet!B370)</f>
        <v>Tekuća budžetska potrošnja</v>
      </c>
      <c r="D52" s="366">
        <v>102982047.48500001</v>
      </c>
      <c r="E52" s="366">
        <v>102982047.48500001</v>
      </c>
      <c r="F52" s="366">
        <v>102982047.48500001</v>
      </c>
      <c r="G52" s="366">
        <v>102982047.48500001</v>
      </c>
      <c r="H52" s="366">
        <v>102982047.48500001</v>
      </c>
      <c r="I52" s="366">
        <v>102982047.48500001</v>
      </c>
      <c r="J52" s="366">
        <v>102982047.48500001</v>
      </c>
      <c r="K52" s="366">
        <v>102982047.48500001</v>
      </c>
      <c r="L52" s="366">
        <v>102982047.48500001</v>
      </c>
      <c r="M52" s="366">
        <v>102982047.48500001</v>
      </c>
      <c r="N52" s="366">
        <v>102982047.48500001</v>
      </c>
      <c r="O52" s="367">
        <v>102982047.48500001</v>
      </c>
      <c r="P52" s="283">
        <f>+SUM(D52:O52)</f>
        <v>1235784569.8200002</v>
      </c>
      <c r="Q52" s="251">
        <f t="shared" si="3"/>
        <v>35.147456479522191</v>
      </c>
      <c r="R52" s="98"/>
      <c r="S52" s="43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3.5" thickTop="1">
      <c r="A53" s="9"/>
      <c r="B53" s="9"/>
      <c r="C53" s="266" t="str">
        <f>IF(MasterSheet!$A$1=1,MasterSheet!C371,MasterSheet!B371)</f>
        <v>Tekući izdaci</v>
      </c>
      <c r="D53" s="554">
        <v>52127206.121666677</v>
      </c>
      <c r="E53" s="287">
        <v>52127206.121666677</v>
      </c>
      <c r="F53" s="287">
        <v>52127206.121666677</v>
      </c>
      <c r="G53" s="287">
        <v>52127206.121666677</v>
      </c>
      <c r="H53" s="287">
        <v>52127206.121666677</v>
      </c>
      <c r="I53" s="287">
        <v>52127206.121666677</v>
      </c>
      <c r="J53" s="287">
        <v>52127206.121666677</v>
      </c>
      <c r="K53" s="287">
        <v>52127206.121666677</v>
      </c>
      <c r="L53" s="287">
        <v>52127206.121666677</v>
      </c>
      <c r="M53" s="287">
        <v>52127206.121666677</v>
      </c>
      <c r="N53" s="287">
        <v>52127206.121666677</v>
      </c>
      <c r="O53" s="565">
        <v>52127206.121666677</v>
      </c>
      <c r="P53" s="511">
        <f t="shared" si="2"/>
        <v>625526473.46000016</v>
      </c>
      <c r="Q53" s="290">
        <f t="shared" si="3"/>
        <v>17.790855331626855</v>
      </c>
      <c r="R53" s="98"/>
      <c r="S53" s="43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>
      <c r="A54" s="9"/>
      <c r="B54" s="9"/>
      <c r="C54" s="266" t="str">
        <f>IF(MasterSheet!$A$1=1,MasterSheet!C372,MasterSheet!B372)</f>
        <v>Bruto zarade i doprinosi na teret poslodavca</v>
      </c>
      <c r="D54" s="284">
        <v>32207391.143333346</v>
      </c>
      <c r="E54" s="285">
        <v>32207391.143333346</v>
      </c>
      <c r="F54" s="285">
        <v>32207391.143333346</v>
      </c>
      <c r="G54" s="285">
        <v>32207391.143333346</v>
      </c>
      <c r="H54" s="285">
        <v>32207391.143333346</v>
      </c>
      <c r="I54" s="285">
        <v>32207391.143333346</v>
      </c>
      <c r="J54" s="285">
        <v>32207391.143333346</v>
      </c>
      <c r="K54" s="285">
        <v>32207391.143333346</v>
      </c>
      <c r="L54" s="285">
        <v>32207391.143333346</v>
      </c>
      <c r="M54" s="285">
        <v>32207391.143333346</v>
      </c>
      <c r="N54" s="285">
        <v>32207391.143333346</v>
      </c>
      <c r="O54" s="419">
        <v>32207391.143333346</v>
      </c>
      <c r="P54" s="511">
        <f t="shared" si="2"/>
        <v>386488693.72000003</v>
      </c>
      <c r="Q54" s="293">
        <f t="shared" si="3"/>
        <v>10.992283666666667</v>
      </c>
      <c r="R54" s="98"/>
      <c r="S54" s="43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>
      <c r="A55" s="9"/>
      <c r="B55" s="9"/>
      <c r="C55" s="260" t="str">
        <f>IF(MasterSheet!$A$1=1,MasterSheet!C373,MasterSheet!B373)</f>
        <v>Neto zarade</v>
      </c>
      <c r="D55" s="261">
        <v>18874730.465000015</v>
      </c>
      <c r="E55" s="294">
        <v>18874730.465000015</v>
      </c>
      <c r="F55" s="294">
        <v>18874730.465000015</v>
      </c>
      <c r="G55" s="294">
        <v>18874730.465000015</v>
      </c>
      <c r="H55" s="294">
        <v>18874730.465000015</v>
      </c>
      <c r="I55" s="294">
        <v>18874730.465000015</v>
      </c>
      <c r="J55" s="294">
        <v>18874730.465000015</v>
      </c>
      <c r="K55" s="294">
        <v>18874730.465000015</v>
      </c>
      <c r="L55" s="294">
        <v>18874730.465000015</v>
      </c>
      <c r="M55" s="294">
        <v>18874730.465000015</v>
      </c>
      <c r="N55" s="294">
        <v>18874730.465000015</v>
      </c>
      <c r="O55" s="324">
        <v>18874730.465000015</v>
      </c>
      <c r="P55" s="516">
        <f t="shared" si="2"/>
        <v>226496765.58000013</v>
      </c>
      <c r="Q55" s="296">
        <f t="shared" si="3"/>
        <v>6.4418875307167278</v>
      </c>
      <c r="R55" s="179"/>
      <c r="S55" s="43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>
      <c r="A56" s="9"/>
      <c r="B56" s="9"/>
      <c r="C56" s="260" t="str">
        <f>IF(MasterSheet!$A$1=1,MasterSheet!C374,MasterSheet!B374)</f>
        <v>Porez na zarade</v>
      </c>
      <c r="D56" s="261">
        <v>2713409.8733333321</v>
      </c>
      <c r="E56" s="294">
        <v>2713409.8733333321</v>
      </c>
      <c r="F56" s="294">
        <v>2713409.8733333321</v>
      </c>
      <c r="G56" s="294">
        <v>2713409.8733333321</v>
      </c>
      <c r="H56" s="294">
        <v>2713409.8733333321</v>
      </c>
      <c r="I56" s="294">
        <v>2713409.8733333321</v>
      </c>
      <c r="J56" s="294">
        <v>2713409.8733333321</v>
      </c>
      <c r="K56" s="294">
        <v>2713409.8733333321</v>
      </c>
      <c r="L56" s="294">
        <v>2713409.8733333321</v>
      </c>
      <c r="M56" s="294">
        <v>2713409.8733333321</v>
      </c>
      <c r="N56" s="294">
        <v>2713409.8733333321</v>
      </c>
      <c r="O56" s="324">
        <v>2713409.8733333321</v>
      </c>
      <c r="P56" s="516">
        <f t="shared" si="2"/>
        <v>32560918.479999978</v>
      </c>
      <c r="Q56" s="296">
        <f t="shared" si="3"/>
        <v>0.92607845506257036</v>
      </c>
      <c r="R56" s="98"/>
      <c r="S56" s="43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>
      <c r="A57" s="9"/>
      <c r="B57" s="9"/>
      <c r="C57" s="260" t="str">
        <f>IF(MasterSheet!$A$1=1,MasterSheet!C375,MasterSheet!B375)</f>
        <v>Doprinosi na teret zaposlenog</v>
      </c>
      <c r="D57" s="261">
        <v>6760180.5116666667</v>
      </c>
      <c r="E57" s="294">
        <v>6760180.5116666667</v>
      </c>
      <c r="F57" s="294">
        <v>6760180.5116666667</v>
      </c>
      <c r="G57" s="294">
        <v>6760180.5116666667</v>
      </c>
      <c r="H57" s="294">
        <v>6760180.5116666667</v>
      </c>
      <c r="I57" s="294">
        <v>6760180.5116666667</v>
      </c>
      <c r="J57" s="294">
        <v>6760180.5116666667</v>
      </c>
      <c r="K57" s="294">
        <v>6760180.5116666667</v>
      </c>
      <c r="L57" s="294">
        <v>6760180.5116666667</v>
      </c>
      <c r="M57" s="294">
        <v>6760180.5116666667</v>
      </c>
      <c r="N57" s="294">
        <v>6760180.5116666667</v>
      </c>
      <c r="O57" s="324">
        <v>6760180.5116666667</v>
      </c>
      <c r="P57" s="516">
        <f t="shared" si="2"/>
        <v>81122166.14000003</v>
      </c>
      <c r="Q57" s="296">
        <f t="shared" si="3"/>
        <v>2.3072288435722421</v>
      </c>
      <c r="R57" s="98"/>
      <c r="S57" s="43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>
      <c r="A58" s="9"/>
      <c r="B58" s="9"/>
      <c r="C58" s="260" t="str">
        <f>IF(MasterSheet!$A$1=1,MasterSheet!C376,MasterSheet!B376)</f>
        <v>Doprinosi na teret poslodavca</v>
      </c>
      <c r="D58" s="261">
        <v>3474942.3550000004</v>
      </c>
      <c r="E58" s="294">
        <v>3474942.3550000004</v>
      </c>
      <c r="F58" s="294">
        <v>3474942.3550000004</v>
      </c>
      <c r="G58" s="294">
        <v>3474942.3550000004</v>
      </c>
      <c r="H58" s="294">
        <v>3474942.3550000004</v>
      </c>
      <c r="I58" s="294">
        <v>3474942.3550000004</v>
      </c>
      <c r="J58" s="294">
        <v>3474942.3550000004</v>
      </c>
      <c r="K58" s="294">
        <v>3474942.3550000004</v>
      </c>
      <c r="L58" s="294">
        <v>3474942.3550000004</v>
      </c>
      <c r="M58" s="294">
        <v>3474942.3550000004</v>
      </c>
      <c r="N58" s="294">
        <v>3474942.3550000004</v>
      </c>
      <c r="O58" s="324">
        <v>3474942.3550000004</v>
      </c>
      <c r="P58" s="516">
        <f t="shared" si="2"/>
        <v>41699308.260000005</v>
      </c>
      <c r="Q58" s="296">
        <f t="shared" si="3"/>
        <v>1.1859871518771332</v>
      </c>
      <c r="R58" s="98"/>
      <c r="S58" s="43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>
      <c r="A59" s="9"/>
      <c r="B59" s="9"/>
      <c r="C59" s="260" t="str">
        <f>IF(MasterSheet!$A$1=1,MasterSheet!C377,MasterSheet!B377)</f>
        <v>Prirez na porez na dohodak</v>
      </c>
      <c r="D59" s="261">
        <v>384127.93833333341</v>
      </c>
      <c r="E59" s="294">
        <v>384127.93833333341</v>
      </c>
      <c r="F59" s="294">
        <v>384127.93833333341</v>
      </c>
      <c r="G59" s="294">
        <v>384127.93833333341</v>
      </c>
      <c r="H59" s="294">
        <v>384127.93833333341</v>
      </c>
      <c r="I59" s="294">
        <v>384127.93833333341</v>
      </c>
      <c r="J59" s="294">
        <v>384127.93833333341</v>
      </c>
      <c r="K59" s="294">
        <v>384127.93833333341</v>
      </c>
      <c r="L59" s="294">
        <v>384127.93833333341</v>
      </c>
      <c r="M59" s="294">
        <v>384127.93833333341</v>
      </c>
      <c r="N59" s="294">
        <v>384127.93833333341</v>
      </c>
      <c r="O59" s="324">
        <v>384127.93833333341</v>
      </c>
      <c r="P59" s="516">
        <f t="shared" si="2"/>
        <v>4609535.2600000007</v>
      </c>
      <c r="Q59" s="296">
        <f t="shared" si="3"/>
        <v>0.13110168543799774</v>
      </c>
      <c r="R59" s="98"/>
      <c r="S59" s="43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>
      <c r="A60" s="9"/>
      <c r="B60" s="9"/>
      <c r="C60" s="266" t="str">
        <f>IF(MasterSheet!$A$1=1,MasterSheet!C378,MasterSheet!B378)</f>
        <v>Ostala lična primanja</v>
      </c>
      <c r="D60" s="284">
        <v>956513.66333333333</v>
      </c>
      <c r="E60" s="285">
        <v>956513.66333333333</v>
      </c>
      <c r="F60" s="285">
        <v>956513.66333333333</v>
      </c>
      <c r="G60" s="285">
        <v>956513.66333333333</v>
      </c>
      <c r="H60" s="285">
        <v>956513.66333333333</v>
      </c>
      <c r="I60" s="285">
        <v>956513.66333333333</v>
      </c>
      <c r="J60" s="285">
        <v>956513.66333333333</v>
      </c>
      <c r="K60" s="285">
        <v>956513.66333333333</v>
      </c>
      <c r="L60" s="285">
        <v>956513.66333333333</v>
      </c>
      <c r="M60" s="285">
        <v>956513.66333333333</v>
      </c>
      <c r="N60" s="285">
        <v>956513.66333333333</v>
      </c>
      <c r="O60" s="419">
        <v>956513.66333333333</v>
      </c>
      <c r="P60" s="516">
        <f t="shared" si="2"/>
        <v>11478163.960000001</v>
      </c>
      <c r="Q60" s="298">
        <f t="shared" si="3"/>
        <v>0.3264551751990899</v>
      </c>
      <c r="R60" s="98"/>
      <c r="S60" s="43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>
      <c r="A61" s="9"/>
      <c r="B61" s="9"/>
      <c r="C61" s="266" t="str">
        <f>IF(MasterSheet!$A$1=1,MasterSheet!C379,MasterSheet!B379)</f>
        <v>Rashodi za materijal i usluge</v>
      </c>
      <c r="D61" s="284">
        <v>7434194.1891666669</v>
      </c>
      <c r="E61" s="285">
        <v>7434194.1891666669</v>
      </c>
      <c r="F61" s="285">
        <v>7434194.1891666669</v>
      </c>
      <c r="G61" s="285">
        <v>7434194.1891666669</v>
      </c>
      <c r="H61" s="285">
        <v>7434194.1891666669</v>
      </c>
      <c r="I61" s="285">
        <v>7434194.1891666669</v>
      </c>
      <c r="J61" s="285">
        <v>7434194.1891666669</v>
      </c>
      <c r="K61" s="285">
        <v>7434194.1891666669</v>
      </c>
      <c r="L61" s="285">
        <v>7434194.1891666669</v>
      </c>
      <c r="M61" s="285">
        <v>7434194.1891666669</v>
      </c>
      <c r="N61" s="285">
        <v>7434194.1891666669</v>
      </c>
      <c r="O61" s="419">
        <v>7434194.1891666669</v>
      </c>
      <c r="P61" s="516">
        <f t="shared" si="2"/>
        <v>89210330.269999996</v>
      </c>
      <c r="Q61" s="272">
        <f t="shared" si="3"/>
        <v>2.5372676413538109</v>
      </c>
      <c r="R61" s="98"/>
      <c r="S61" s="43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>
      <c r="A62" s="9"/>
      <c r="B62" s="9"/>
      <c r="C62" s="266" t="str">
        <f>IF(MasterSheet!$A$1=1,MasterSheet!C380,MasterSheet!B380)</f>
        <v>Tekuće održavanje</v>
      </c>
      <c r="D62" s="284">
        <v>1804616.9333333331</v>
      </c>
      <c r="E62" s="285">
        <v>1804616.9333333331</v>
      </c>
      <c r="F62" s="285">
        <v>1804616.9333333331</v>
      </c>
      <c r="G62" s="285">
        <v>1804616.9333333331</v>
      </c>
      <c r="H62" s="285">
        <v>1804616.9333333331</v>
      </c>
      <c r="I62" s="285">
        <v>1804616.9333333331</v>
      </c>
      <c r="J62" s="285">
        <v>1804616.9333333331</v>
      </c>
      <c r="K62" s="285">
        <v>1804616.9333333331</v>
      </c>
      <c r="L62" s="285">
        <v>1804616.9333333331</v>
      </c>
      <c r="M62" s="285">
        <v>1804616.9333333331</v>
      </c>
      <c r="N62" s="285">
        <v>1804616.9333333331</v>
      </c>
      <c r="O62" s="419">
        <v>1804616.9333333331</v>
      </c>
      <c r="P62" s="516">
        <f t="shared" si="2"/>
        <v>21655403.199999999</v>
      </c>
      <c r="Q62" s="298">
        <f t="shared" si="3"/>
        <v>0.6159102161547213</v>
      </c>
      <c r="R62" s="98"/>
      <c r="S62" s="43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>
      <c r="A63" s="9"/>
      <c r="B63" s="9"/>
      <c r="C63" s="266" t="str">
        <f>IF(MasterSheet!$A$1=1,MasterSheet!C381,MasterSheet!B381)</f>
        <v>Kamate</v>
      </c>
      <c r="D63" s="284">
        <v>6109676.9266666668</v>
      </c>
      <c r="E63" s="285">
        <v>6109676.9266666668</v>
      </c>
      <c r="F63" s="285">
        <v>6109676.9266666668</v>
      </c>
      <c r="G63" s="285">
        <v>6109676.9266666668</v>
      </c>
      <c r="H63" s="285">
        <v>6109676.9266666668</v>
      </c>
      <c r="I63" s="285">
        <v>6109676.9266666668</v>
      </c>
      <c r="J63" s="285">
        <v>6109676.9266666668</v>
      </c>
      <c r="K63" s="285">
        <v>6109676.9266666668</v>
      </c>
      <c r="L63" s="285">
        <v>6109676.9266666668</v>
      </c>
      <c r="M63" s="285">
        <v>6109676.9266666668</v>
      </c>
      <c r="N63" s="285">
        <v>6109676.9266666668</v>
      </c>
      <c r="O63" s="419">
        <v>6109676.9266666668</v>
      </c>
      <c r="P63" s="516">
        <f t="shared" si="2"/>
        <v>73316123.120000005</v>
      </c>
      <c r="Q63" s="272">
        <f t="shared" si="3"/>
        <v>2.0852139681456201</v>
      </c>
      <c r="R63" s="98"/>
      <c r="S63" s="43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>
      <c r="A64" s="9"/>
      <c r="B64" s="9"/>
      <c r="C64" s="266" t="str">
        <f>IF(MasterSheet!$A$1=1,MasterSheet!C382,MasterSheet!B382)</f>
        <v>Renta</v>
      </c>
      <c r="D64" s="284">
        <v>681066.84499999997</v>
      </c>
      <c r="E64" s="285">
        <v>681066.84499999997</v>
      </c>
      <c r="F64" s="285">
        <v>681066.84499999997</v>
      </c>
      <c r="G64" s="285">
        <v>681066.84499999997</v>
      </c>
      <c r="H64" s="285">
        <v>681066.84499999997</v>
      </c>
      <c r="I64" s="285">
        <v>681066.84499999997</v>
      </c>
      <c r="J64" s="285">
        <v>681066.84499999997</v>
      </c>
      <c r="K64" s="285">
        <v>681066.84499999997</v>
      </c>
      <c r="L64" s="285">
        <v>681066.84499999997</v>
      </c>
      <c r="M64" s="285">
        <v>681066.84499999997</v>
      </c>
      <c r="N64" s="285">
        <v>681066.84499999997</v>
      </c>
      <c r="O64" s="419">
        <v>681066.84499999997</v>
      </c>
      <c r="P64" s="516">
        <f t="shared" si="2"/>
        <v>8172802.1399999978</v>
      </c>
      <c r="Q64" s="298">
        <f t="shared" si="3"/>
        <v>0.23244602218430027</v>
      </c>
      <c r="R64" s="98"/>
      <c r="S64" s="43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>
      <c r="A65" s="9"/>
      <c r="B65" s="9"/>
      <c r="C65" s="266" t="str">
        <f>IF(MasterSheet!$A$1=1,MasterSheet!C383,MasterSheet!B383)</f>
        <v>Subvencije</v>
      </c>
      <c r="D65" s="284">
        <v>1572883.3333333333</v>
      </c>
      <c r="E65" s="285">
        <v>1572883.3333333333</v>
      </c>
      <c r="F65" s="285">
        <v>1572883.3333333333</v>
      </c>
      <c r="G65" s="285">
        <v>1572883.3333333333</v>
      </c>
      <c r="H65" s="285">
        <v>1572883.3333333333</v>
      </c>
      <c r="I65" s="285">
        <v>1572883.3333333333</v>
      </c>
      <c r="J65" s="285">
        <v>1572883.3333333333</v>
      </c>
      <c r="K65" s="285">
        <v>1572883.3333333333</v>
      </c>
      <c r="L65" s="285">
        <v>1572883.3333333333</v>
      </c>
      <c r="M65" s="285">
        <v>1572883.3333333333</v>
      </c>
      <c r="N65" s="285">
        <v>1572883.3333333333</v>
      </c>
      <c r="O65" s="419">
        <v>1572883.3333333333</v>
      </c>
      <c r="P65" s="516">
        <f t="shared" si="2"/>
        <v>18874600</v>
      </c>
      <c r="Q65" s="298">
        <f t="shared" si="3"/>
        <v>0.53682025028441416</v>
      </c>
      <c r="R65" s="98"/>
      <c r="S65" s="43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>
      <c r="A66" s="9"/>
      <c r="B66" s="9"/>
      <c r="C66" s="266" t="str">
        <f>IF(MasterSheet!$A$1=1,MasterSheet!C384,MasterSheet!B384)</f>
        <v>Ostali izdaci</v>
      </c>
      <c r="D66" s="284">
        <v>485616.14416666661</v>
      </c>
      <c r="E66" s="285">
        <v>485616.14416666661</v>
      </c>
      <c r="F66" s="285">
        <v>485616.14416666661</v>
      </c>
      <c r="G66" s="285">
        <v>485616.14416666661</v>
      </c>
      <c r="H66" s="285">
        <v>485616.14416666661</v>
      </c>
      <c r="I66" s="285">
        <v>485616.14416666661</v>
      </c>
      <c r="J66" s="285">
        <v>485616.14416666661</v>
      </c>
      <c r="K66" s="285">
        <v>485616.14416666661</v>
      </c>
      <c r="L66" s="285">
        <v>485616.14416666661</v>
      </c>
      <c r="M66" s="285">
        <v>485616.14416666661</v>
      </c>
      <c r="N66" s="285">
        <v>485616.14416666661</v>
      </c>
      <c r="O66" s="419">
        <v>485616.14416666661</v>
      </c>
      <c r="P66" s="516">
        <f t="shared" si="2"/>
        <v>5827393.7300000004</v>
      </c>
      <c r="Q66" s="298">
        <f t="shared" si="3"/>
        <v>0.16573929835039819</v>
      </c>
      <c r="R66" s="98"/>
      <c r="S66" s="43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>
      <c r="A67" s="9"/>
      <c r="B67" s="9"/>
      <c r="C67" s="266" t="s">
        <v>130</v>
      </c>
      <c r="D67" s="284">
        <v>875246.94333333336</v>
      </c>
      <c r="E67" s="285">
        <v>875246.94333333336</v>
      </c>
      <c r="F67" s="285">
        <v>875246.94333333336</v>
      </c>
      <c r="G67" s="285">
        <v>875246.94333333336</v>
      </c>
      <c r="H67" s="285">
        <v>875246.94333333336</v>
      </c>
      <c r="I67" s="285">
        <v>875246.94333333336</v>
      </c>
      <c r="J67" s="285">
        <v>875246.94333333336</v>
      </c>
      <c r="K67" s="285">
        <v>875246.94333333336</v>
      </c>
      <c r="L67" s="285">
        <v>875246.94333333336</v>
      </c>
      <c r="M67" s="285">
        <v>875246.94333333336</v>
      </c>
      <c r="N67" s="285">
        <v>875246.94333333336</v>
      </c>
      <c r="O67" s="419">
        <v>875246.94333333336</v>
      </c>
      <c r="P67" s="516">
        <f t="shared" si="2"/>
        <v>10502963.32</v>
      </c>
      <c r="Q67" s="298">
        <f t="shared" si="3"/>
        <v>0.29871909328782709</v>
      </c>
      <c r="R67" s="98"/>
      <c r="S67" s="43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>
      <c r="A68" s="9"/>
      <c r="B68" s="9"/>
      <c r="C68" s="266" t="str">
        <f>IF(MasterSheet!$A$1=1,MasterSheet!C386,MasterSheet!B386)</f>
        <v>Transferi za socijalnu zaštitu</v>
      </c>
      <c r="D68" s="284">
        <v>41518616.580833346</v>
      </c>
      <c r="E68" s="285">
        <v>41518616.580833346</v>
      </c>
      <c r="F68" s="285">
        <v>41518616.580833346</v>
      </c>
      <c r="G68" s="285">
        <v>41518616.580833346</v>
      </c>
      <c r="H68" s="285">
        <v>41518616.580833346</v>
      </c>
      <c r="I68" s="285">
        <v>41518616.580833346</v>
      </c>
      <c r="J68" s="285">
        <v>41518616.580833346</v>
      </c>
      <c r="K68" s="285">
        <v>41518616.580833346</v>
      </c>
      <c r="L68" s="285">
        <v>41518616.580833346</v>
      </c>
      <c r="M68" s="285">
        <v>41518616.580833346</v>
      </c>
      <c r="N68" s="285">
        <v>41518616.580833346</v>
      </c>
      <c r="O68" s="419">
        <v>41518616.580833346</v>
      </c>
      <c r="P68" s="511">
        <f t="shared" si="2"/>
        <v>498223398.97000003</v>
      </c>
      <c r="Q68" s="290">
        <f t="shared" si="3"/>
        <v>14.170176307451651</v>
      </c>
      <c r="R68" s="98"/>
      <c r="S68" s="43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>
      <c r="A69" s="9"/>
      <c r="B69" s="9"/>
      <c r="C69" s="260" t="str">
        <f>IF(MasterSheet!$A$1=1,MasterSheet!C387,MasterSheet!B387)</f>
        <v>Prava iz oblasti socijalne zaštite</v>
      </c>
      <c r="D69" s="261">
        <v>4887083.333333333</v>
      </c>
      <c r="E69" s="294">
        <v>4887083.333333333</v>
      </c>
      <c r="F69" s="294">
        <v>4887083.333333333</v>
      </c>
      <c r="G69" s="294">
        <v>4887083.333333333</v>
      </c>
      <c r="H69" s="294">
        <v>4887083.333333333</v>
      </c>
      <c r="I69" s="294">
        <v>4887083.333333333</v>
      </c>
      <c r="J69" s="294">
        <v>4887083.333333333</v>
      </c>
      <c r="K69" s="294">
        <v>4887083.333333333</v>
      </c>
      <c r="L69" s="294">
        <v>4887083.333333333</v>
      </c>
      <c r="M69" s="294">
        <v>4887083.333333333</v>
      </c>
      <c r="N69" s="294">
        <v>4887083.333333333</v>
      </c>
      <c r="O69" s="324">
        <v>4887083.333333333</v>
      </c>
      <c r="P69" s="516">
        <f t="shared" si="2"/>
        <v>58645000.000000007</v>
      </c>
      <c r="Q69" s="296">
        <f t="shared" si="3"/>
        <v>1.6679465301478953</v>
      </c>
      <c r="R69" s="98"/>
      <c r="S69" s="43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>
      <c r="A70" s="9"/>
      <c r="B70" s="9"/>
      <c r="C70" s="260" t="str">
        <f>IF(MasterSheet!$A$1=1,MasterSheet!C388,MasterSheet!B388)</f>
        <v>Sredstva za tehnološke viškove</v>
      </c>
      <c r="D70" s="261">
        <v>1729843.6666666665</v>
      </c>
      <c r="E70" s="294">
        <v>1729843.6666666665</v>
      </c>
      <c r="F70" s="294">
        <v>1729843.6666666665</v>
      </c>
      <c r="G70" s="294">
        <v>1729843.6666666665</v>
      </c>
      <c r="H70" s="294">
        <v>1729843.6666666665</v>
      </c>
      <c r="I70" s="294">
        <v>1729843.6666666665</v>
      </c>
      <c r="J70" s="294">
        <v>1729843.6666666665</v>
      </c>
      <c r="K70" s="294">
        <v>1729843.6666666665</v>
      </c>
      <c r="L70" s="294">
        <v>1729843.6666666665</v>
      </c>
      <c r="M70" s="294">
        <v>1729843.6666666665</v>
      </c>
      <c r="N70" s="294">
        <v>1729843.6666666665</v>
      </c>
      <c r="O70" s="324">
        <v>1729843.6666666665</v>
      </c>
      <c r="P70" s="516">
        <f t="shared" si="2"/>
        <v>20758124</v>
      </c>
      <c r="Q70" s="296">
        <f t="shared" si="3"/>
        <v>0.590390329920364</v>
      </c>
      <c r="R70" s="98"/>
      <c r="S70" s="43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>
      <c r="A71" s="9"/>
      <c r="B71" s="9"/>
      <c r="C71" s="260" t="str">
        <f>IF(MasterSheet!$A$1=1,MasterSheet!C389,MasterSheet!B389)</f>
        <v>Prava iz oblasti penzijskog i invalidskog osiguranja</v>
      </c>
      <c r="D71" s="261">
        <v>33110022.91416667</v>
      </c>
      <c r="E71" s="294">
        <v>33110022.91416667</v>
      </c>
      <c r="F71" s="294">
        <v>33110022.91416667</v>
      </c>
      <c r="G71" s="294">
        <v>33110022.91416667</v>
      </c>
      <c r="H71" s="294">
        <v>33110022.91416667</v>
      </c>
      <c r="I71" s="294">
        <v>33110022.91416667</v>
      </c>
      <c r="J71" s="294">
        <v>33110022.91416667</v>
      </c>
      <c r="K71" s="294">
        <v>33110022.91416667</v>
      </c>
      <c r="L71" s="294">
        <v>33110022.91416667</v>
      </c>
      <c r="M71" s="294">
        <v>33110022.91416667</v>
      </c>
      <c r="N71" s="294">
        <v>33110022.91416667</v>
      </c>
      <c r="O71" s="324">
        <v>33110022.91416667</v>
      </c>
      <c r="P71" s="516">
        <f t="shared" si="2"/>
        <v>397320274.97000009</v>
      </c>
      <c r="Q71" s="296">
        <f t="shared" si="3"/>
        <v>11.300349117463028</v>
      </c>
      <c r="R71" s="98"/>
      <c r="S71" s="43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>
      <c r="A72" s="9"/>
      <c r="B72" s="9"/>
      <c r="C72" s="260" t="str">
        <f>IF(MasterSheet!$A$1=1,MasterSheet!C390,MasterSheet!B390)</f>
        <v>Ostala prava iz oblasti zdravstvene zaštite</v>
      </c>
      <c r="D72" s="261">
        <v>1208333.3333333333</v>
      </c>
      <c r="E72" s="294">
        <v>1208333.3333333333</v>
      </c>
      <c r="F72" s="294">
        <v>1208333.3333333333</v>
      </c>
      <c r="G72" s="294">
        <v>1208333.3333333333</v>
      </c>
      <c r="H72" s="294">
        <v>1208333.3333333333</v>
      </c>
      <c r="I72" s="294">
        <v>1208333.3333333333</v>
      </c>
      <c r="J72" s="294">
        <v>1208333.3333333333</v>
      </c>
      <c r="K72" s="294">
        <v>1208333.3333333333</v>
      </c>
      <c r="L72" s="294">
        <v>1208333.3333333333</v>
      </c>
      <c r="M72" s="294">
        <v>1208333.3333333333</v>
      </c>
      <c r="N72" s="294">
        <v>1208333.3333333333</v>
      </c>
      <c r="O72" s="324">
        <v>1208333.3333333333</v>
      </c>
      <c r="P72" s="516">
        <f t="shared" si="2"/>
        <v>14500000.000000002</v>
      </c>
      <c r="Q72" s="296">
        <f t="shared" si="3"/>
        <v>0.41240045506257111</v>
      </c>
      <c r="R72" s="98"/>
      <c r="S72" s="43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>
      <c r="A73" s="9"/>
      <c r="B73" s="9"/>
      <c r="C73" s="260" t="str">
        <f>IF(MasterSheet!$A$1=1,MasterSheet!C391,MasterSheet!B391)</f>
        <v>Ostala prava iz oblasti zdravstvenog osiguranja</v>
      </c>
      <c r="D73" s="261">
        <v>583333.33333333326</v>
      </c>
      <c r="E73" s="294">
        <v>583333.33333333326</v>
      </c>
      <c r="F73" s="294">
        <v>583333.33333333326</v>
      </c>
      <c r="G73" s="294">
        <v>583333.33333333326</v>
      </c>
      <c r="H73" s="294">
        <v>583333.33333333326</v>
      </c>
      <c r="I73" s="294">
        <v>583333.33333333326</v>
      </c>
      <c r="J73" s="294">
        <v>583333.33333333326</v>
      </c>
      <c r="K73" s="294">
        <v>583333.33333333326</v>
      </c>
      <c r="L73" s="294">
        <v>583333.33333333326</v>
      </c>
      <c r="M73" s="294">
        <v>583333.33333333326</v>
      </c>
      <c r="N73" s="294">
        <v>583333.33333333326</v>
      </c>
      <c r="O73" s="324">
        <v>583333.33333333326</v>
      </c>
      <c r="P73" s="516">
        <f t="shared" si="2"/>
        <v>6999999.9999999972</v>
      </c>
      <c r="Q73" s="296">
        <f t="shared" si="3"/>
        <v>0.19908987485779289</v>
      </c>
      <c r="R73" s="98"/>
      <c r="S73" s="43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>
      <c r="A74" s="9"/>
      <c r="B74" s="9"/>
      <c r="C74" s="301" t="str">
        <f>IF(MasterSheet!$A$1=1,MasterSheet!C392,MasterSheet!B392)</f>
        <v>Transferi institucijama pojedinicima nevladinom i javnom sektoru</v>
      </c>
      <c r="D74" s="284">
        <v>8420003.9683333337</v>
      </c>
      <c r="E74" s="285">
        <v>8420003.9683333337</v>
      </c>
      <c r="F74" s="285">
        <v>8420003.9683333337</v>
      </c>
      <c r="G74" s="285">
        <v>8420003.9683333337</v>
      </c>
      <c r="H74" s="285">
        <v>8420003.9683333337</v>
      </c>
      <c r="I74" s="285">
        <v>8420003.9683333337</v>
      </c>
      <c r="J74" s="285">
        <v>8420003.9683333337</v>
      </c>
      <c r="K74" s="285">
        <v>8420003.9683333337</v>
      </c>
      <c r="L74" s="285">
        <v>8420003.9683333337</v>
      </c>
      <c r="M74" s="285">
        <v>8420003.9683333337</v>
      </c>
      <c r="N74" s="285">
        <v>8420003.9683333337</v>
      </c>
      <c r="O74" s="419">
        <v>8420003.9683333337</v>
      </c>
      <c r="P74" s="511">
        <f t="shared" si="2"/>
        <v>101040047.62</v>
      </c>
      <c r="Q74" s="290">
        <f t="shared" si="3"/>
        <v>2.8737214908987485</v>
      </c>
      <c r="R74" s="98"/>
      <c r="S74" s="43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>
      <c r="A75" s="9"/>
      <c r="B75" s="9"/>
      <c r="C75" s="260" t="str">
        <f>IF(MasterSheet!$A$1=1,MasterSheet!C393,MasterSheet!B393)</f>
        <v>Transferi javnim institucijama</v>
      </c>
      <c r="D75" s="261">
        <v>6403923.8533333335</v>
      </c>
      <c r="E75" s="294">
        <v>6403923.8533333335</v>
      </c>
      <c r="F75" s="294">
        <v>6403923.8533333335</v>
      </c>
      <c r="G75" s="294">
        <v>6403923.8533333335</v>
      </c>
      <c r="H75" s="294">
        <v>6403923.8533333335</v>
      </c>
      <c r="I75" s="294">
        <v>6403923.8533333335</v>
      </c>
      <c r="J75" s="294">
        <v>6403923.8533333335</v>
      </c>
      <c r="K75" s="294">
        <v>6403923.8533333335</v>
      </c>
      <c r="L75" s="294">
        <v>6403923.8533333335</v>
      </c>
      <c r="M75" s="294">
        <v>6403923.8533333335</v>
      </c>
      <c r="N75" s="294">
        <v>6403923.8533333335</v>
      </c>
      <c r="O75" s="324">
        <v>6403923.8533333335</v>
      </c>
      <c r="P75" s="516">
        <f t="shared" si="2"/>
        <v>76847086.239999995</v>
      </c>
      <c r="Q75" s="296">
        <f t="shared" si="3"/>
        <v>2.185639540386803</v>
      </c>
      <c r="R75" s="98"/>
      <c r="S75" s="43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>
      <c r="A76" s="9"/>
      <c r="B76" s="9"/>
      <c r="C76" s="260" t="str">
        <f>IF(MasterSheet!$A$1=1,MasterSheet!C394,MasterSheet!B394)</f>
        <v>Transferi nevladinim organizacijama</v>
      </c>
      <c r="D76" s="261">
        <v>206125.82833333334</v>
      </c>
      <c r="E76" s="294">
        <v>206125.82833333334</v>
      </c>
      <c r="F76" s="294">
        <v>206125.82833333334</v>
      </c>
      <c r="G76" s="294">
        <v>206125.82833333334</v>
      </c>
      <c r="H76" s="294">
        <v>206125.82833333334</v>
      </c>
      <c r="I76" s="294">
        <v>206125.82833333334</v>
      </c>
      <c r="J76" s="294">
        <v>206125.82833333334</v>
      </c>
      <c r="K76" s="294">
        <v>206125.82833333334</v>
      </c>
      <c r="L76" s="294">
        <v>206125.82833333334</v>
      </c>
      <c r="M76" s="294">
        <v>206125.82833333334</v>
      </c>
      <c r="N76" s="294">
        <v>206125.82833333334</v>
      </c>
      <c r="O76" s="324">
        <v>206125.82833333334</v>
      </c>
      <c r="P76" s="516">
        <f t="shared" si="2"/>
        <v>2473509.94</v>
      </c>
      <c r="Q76" s="296">
        <f t="shared" si="3"/>
        <v>7.0350112059158129E-2</v>
      </c>
      <c r="R76" s="98"/>
      <c r="S76" s="43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>
      <c r="A77" s="9"/>
      <c r="B77" s="9"/>
      <c r="C77" s="260" t="str">
        <f>IF(MasterSheet!$A$1=1,MasterSheet!C395,MasterSheet!B395)</f>
        <v>Transferi pojedincima</v>
      </c>
      <c r="D77" s="261">
        <v>1620971</v>
      </c>
      <c r="E77" s="294">
        <v>1620971</v>
      </c>
      <c r="F77" s="294">
        <v>1620971</v>
      </c>
      <c r="G77" s="294">
        <v>1620971</v>
      </c>
      <c r="H77" s="294">
        <v>1620971</v>
      </c>
      <c r="I77" s="294">
        <v>1620971</v>
      </c>
      <c r="J77" s="294">
        <v>1620971</v>
      </c>
      <c r="K77" s="294">
        <v>1620971</v>
      </c>
      <c r="L77" s="294">
        <v>1620971</v>
      </c>
      <c r="M77" s="294">
        <v>1620971</v>
      </c>
      <c r="N77" s="294">
        <v>1620971</v>
      </c>
      <c r="O77" s="324">
        <v>1620971</v>
      </c>
      <c r="P77" s="516">
        <f t="shared" si="2"/>
        <v>19451652</v>
      </c>
      <c r="Q77" s="296">
        <f t="shared" si="3"/>
        <v>0.5532324232081911</v>
      </c>
      <c r="R77" s="98"/>
      <c r="S77" s="43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>
      <c r="A78" s="9"/>
      <c r="B78" s="9"/>
      <c r="C78" s="260" t="str">
        <f>IF(MasterSheet!$A$1=1,MasterSheet!C396,MasterSheet!B396)</f>
        <v>Transferi opštinama</v>
      </c>
      <c r="D78" s="261">
        <v>157676.39749999999</v>
      </c>
      <c r="E78" s="294">
        <v>157676.39749999999</v>
      </c>
      <c r="F78" s="294">
        <v>157676.39749999999</v>
      </c>
      <c r="G78" s="294">
        <v>157676.39749999999</v>
      </c>
      <c r="H78" s="294">
        <v>157676.39749999999</v>
      </c>
      <c r="I78" s="294">
        <v>157676.39749999999</v>
      </c>
      <c r="J78" s="294">
        <v>157676.39749999999</v>
      </c>
      <c r="K78" s="294">
        <v>157676.39749999999</v>
      </c>
      <c r="L78" s="294">
        <v>157676.39749999999</v>
      </c>
      <c r="M78" s="294">
        <v>157676.39749999999</v>
      </c>
      <c r="N78" s="294">
        <v>157676.39749999999</v>
      </c>
      <c r="O78" s="324">
        <v>157676.39749999999</v>
      </c>
      <c r="P78" s="516">
        <f t="shared" si="2"/>
        <v>1892116.7699999998</v>
      </c>
      <c r="Q78" s="296">
        <f t="shared" si="3"/>
        <v>5.3814470136518765E-2</v>
      </c>
      <c r="R78" s="98"/>
      <c r="S78" s="43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>
      <c r="A79" s="9"/>
      <c r="B79" s="9"/>
      <c r="C79" s="260" t="s">
        <v>426</v>
      </c>
      <c r="D79" s="261">
        <v>2140.2224999999999</v>
      </c>
      <c r="E79" s="294">
        <v>2140.2224999999999</v>
      </c>
      <c r="F79" s="294">
        <v>2140.2224999999999</v>
      </c>
      <c r="G79" s="294">
        <v>2140.2224999999999</v>
      </c>
      <c r="H79" s="294">
        <v>2140.2224999999999</v>
      </c>
      <c r="I79" s="294">
        <v>2140.2224999999999</v>
      </c>
      <c r="J79" s="294">
        <v>2140.2224999999999</v>
      </c>
      <c r="K79" s="294">
        <v>2140.2224999999999</v>
      </c>
      <c r="L79" s="294">
        <v>2140.2224999999999</v>
      </c>
      <c r="M79" s="294">
        <v>2140.2224999999999</v>
      </c>
      <c r="N79" s="294">
        <v>2140.2224999999999</v>
      </c>
      <c r="O79" s="324">
        <v>2140.2224999999999</v>
      </c>
      <c r="P79" s="516"/>
      <c r="Q79" s="296">
        <f t="shared" si="3"/>
        <v>0</v>
      </c>
      <c r="R79" s="98"/>
      <c r="S79" s="43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3.5" thickBot="1">
      <c r="A80" s="9"/>
      <c r="B80" s="9"/>
      <c r="C80" s="302" t="str">
        <f>IF(MasterSheet!$A$1=1,MasterSheet!C397,MasterSheet!B397)</f>
        <v>Transferi javnim preduzećima</v>
      </c>
      <c r="D80" s="303">
        <v>29166.666666666668</v>
      </c>
      <c r="E80" s="304">
        <v>29166.666666666668</v>
      </c>
      <c r="F80" s="304">
        <v>29166.666666666668</v>
      </c>
      <c r="G80" s="304">
        <v>29166.666666666668</v>
      </c>
      <c r="H80" s="304">
        <v>29166.666666666668</v>
      </c>
      <c r="I80" s="304">
        <v>29166.666666666668</v>
      </c>
      <c r="J80" s="304">
        <v>29166.666666666668</v>
      </c>
      <c r="K80" s="304">
        <v>29166.666666666668</v>
      </c>
      <c r="L80" s="304">
        <v>29166.666666666668</v>
      </c>
      <c r="M80" s="304">
        <v>29166.666666666668</v>
      </c>
      <c r="N80" s="304">
        <v>29166.666666666668</v>
      </c>
      <c r="O80" s="420">
        <v>29166.666666666668</v>
      </c>
      <c r="P80" s="540">
        <f t="shared" si="2"/>
        <v>350000.00000000006</v>
      </c>
      <c r="Q80" s="308">
        <f t="shared" si="3"/>
        <v>9.9544937428896491E-3</v>
      </c>
      <c r="R80" s="98"/>
      <c r="S80" s="43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4.25" thickTop="1" thickBot="1">
      <c r="A81" s="9"/>
      <c r="B81" s="9"/>
      <c r="C81" s="248" t="str">
        <f>IF(MasterSheet!$A$1=1,MasterSheet!C398,MasterSheet!B398)</f>
        <v>Kapitalni budžet</v>
      </c>
      <c r="D81" s="441">
        <v>8485041.666666666</v>
      </c>
      <c r="E81" s="441">
        <v>8485041.666666666</v>
      </c>
      <c r="F81" s="441">
        <v>8485041.666666666</v>
      </c>
      <c r="G81" s="442">
        <v>8485041.666666666</v>
      </c>
      <c r="H81" s="442">
        <v>8485041.666666666</v>
      </c>
      <c r="I81" s="442">
        <v>8485041.666666666</v>
      </c>
      <c r="J81" s="442">
        <v>8485041.666666666</v>
      </c>
      <c r="K81" s="442">
        <v>8485041.666666666</v>
      </c>
      <c r="L81" s="442">
        <v>8485041.666666666</v>
      </c>
      <c r="M81" s="443">
        <v>8485041.666666666</v>
      </c>
      <c r="N81" s="313">
        <v>8485041.666666666</v>
      </c>
      <c r="O81" s="442">
        <v>8485041.666666666</v>
      </c>
      <c r="P81" s="568">
        <f t="shared" si="2"/>
        <v>101820500.00000001</v>
      </c>
      <c r="Q81" s="316">
        <f t="shared" si="3"/>
        <v>2.8959186575654159</v>
      </c>
      <c r="R81" s="98">
        <f>E81+E67</f>
        <v>9360288.6099999994</v>
      </c>
      <c r="S81" s="43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3.5" thickTop="1">
      <c r="A82" s="9"/>
      <c r="B82" s="9"/>
      <c r="C82" s="260" t="str">
        <f>IF(MasterSheet!$A$1=1,MasterSheet!C399,MasterSheet!B399)</f>
        <v>Pozajmice i krediti</v>
      </c>
      <c r="D82" s="261">
        <v>178333.33333333334</v>
      </c>
      <c r="E82" s="262">
        <v>178333.33333333334</v>
      </c>
      <c r="F82" s="262">
        <v>178333.33333333334</v>
      </c>
      <c r="G82" s="262">
        <v>178333.33333333334</v>
      </c>
      <c r="H82" s="262">
        <v>178333.33333333334</v>
      </c>
      <c r="I82" s="294">
        <v>178333.33333333334</v>
      </c>
      <c r="J82" s="262">
        <v>178333.33333333334</v>
      </c>
      <c r="K82" s="294">
        <v>178333.33333333334</v>
      </c>
      <c r="L82" s="294">
        <v>178333.33333333334</v>
      </c>
      <c r="M82" s="294">
        <v>178333.33333333334</v>
      </c>
      <c r="N82" s="294">
        <v>178333.33333333334</v>
      </c>
      <c r="O82" s="324">
        <v>178333.33333333334</v>
      </c>
      <c r="P82" s="569">
        <f t="shared" si="2"/>
        <v>2139999.9999999995</v>
      </c>
      <c r="Q82" s="318">
        <f t="shared" si="3"/>
        <v>6.0864618885096686E-2</v>
      </c>
      <c r="R82" s="98"/>
      <c r="S82" s="43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3.5" thickBot="1">
      <c r="A83" s="9"/>
      <c r="B83" s="9"/>
      <c r="C83" s="302" t="str">
        <f>IF(MasterSheet!$A$1=1,MasterSheet!C400,MasterSheet!B400)</f>
        <v>Rezerve</v>
      </c>
      <c r="D83" s="303">
        <v>737887.48083333333</v>
      </c>
      <c r="E83" s="305">
        <v>737887.48083333333</v>
      </c>
      <c r="F83" s="305">
        <v>737887.48083333333</v>
      </c>
      <c r="G83" s="305">
        <v>737887.48083333333</v>
      </c>
      <c r="H83" s="305">
        <v>737887.48083333333</v>
      </c>
      <c r="I83" s="304">
        <v>737887.48083333333</v>
      </c>
      <c r="J83" s="305">
        <v>737887.48083333333</v>
      </c>
      <c r="K83" s="304">
        <v>737887.48083333333</v>
      </c>
      <c r="L83" s="304">
        <v>737887.48083333333</v>
      </c>
      <c r="M83" s="304">
        <v>737887.48083333333</v>
      </c>
      <c r="N83" s="304">
        <v>737887.48083333333</v>
      </c>
      <c r="O83" s="420">
        <v>737887.48083333333</v>
      </c>
      <c r="P83" s="540">
        <f t="shared" si="2"/>
        <v>8854649.7699999977</v>
      </c>
      <c r="Q83" s="308">
        <f t="shared" si="3"/>
        <v>0.25183873065984069</v>
      </c>
      <c r="R83" s="98"/>
      <c r="S83" s="43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4.25" thickTop="1" thickBot="1">
      <c r="A84" s="9"/>
      <c r="B84" s="9"/>
      <c r="C84" s="302" t="str">
        <f>IF(MasterSheet!$A$1=1,MasterSheet!C408,MasterSheet!B408)</f>
        <v>Otplata garancija</v>
      </c>
      <c r="D84" s="261">
        <v>0</v>
      </c>
      <c r="E84" s="262">
        <v>0</v>
      </c>
      <c r="F84" s="262">
        <v>0</v>
      </c>
      <c r="G84" s="262">
        <v>0</v>
      </c>
      <c r="H84" s="262">
        <v>0</v>
      </c>
      <c r="I84" s="294">
        <v>0</v>
      </c>
      <c r="J84" s="262">
        <v>0</v>
      </c>
      <c r="K84" s="294">
        <v>0</v>
      </c>
      <c r="L84" s="294">
        <v>0</v>
      </c>
      <c r="M84" s="294">
        <v>0</v>
      </c>
      <c r="N84" s="294">
        <v>0</v>
      </c>
      <c r="O84" s="324">
        <v>0</v>
      </c>
      <c r="P84" s="481">
        <f>+SUM(D84:O84)</f>
        <v>0</v>
      </c>
      <c r="Q84" s="296">
        <f t="shared" ref="Q84:Q98" si="8">+$P84/$D$14*100</f>
        <v>0</v>
      </c>
      <c r="R84" s="96"/>
      <c r="S84" s="43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4.25" thickTop="1" thickBot="1">
      <c r="A85" s="9"/>
      <c r="B85" s="9"/>
      <c r="C85" s="302" t="s">
        <v>152</v>
      </c>
      <c r="D85" s="408">
        <v>0</v>
      </c>
      <c r="E85" s="410">
        <v>0</v>
      </c>
      <c r="F85" s="410">
        <v>0</v>
      </c>
      <c r="G85" s="410">
        <v>0</v>
      </c>
      <c r="H85" s="410">
        <v>0</v>
      </c>
      <c r="I85" s="410">
        <v>0</v>
      </c>
      <c r="J85" s="410">
        <v>0</v>
      </c>
      <c r="K85" s="410">
        <v>0</v>
      </c>
      <c r="L85" s="410">
        <v>0</v>
      </c>
      <c r="M85" s="410">
        <v>0</v>
      </c>
      <c r="N85" s="410">
        <v>0</v>
      </c>
      <c r="O85" s="422">
        <v>0</v>
      </c>
      <c r="P85" s="433"/>
      <c r="Q85" s="432">
        <f t="shared" si="8"/>
        <v>0</v>
      </c>
      <c r="R85" s="96"/>
      <c r="S85" s="43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4.25" thickTop="1" thickBot="1">
      <c r="A86" s="9"/>
      <c r="B86" s="9"/>
      <c r="C86" s="248" t="str">
        <f>IF(MasterSheet!$A$1=1,MasterSheet!C402,MasterSheet!B402)</f>
        <v>Suficit/ Deficit</v>
      </c>
      <c r="D86" s="366">
        <f>+D19-D51</f>
        <v>-49041795.994701102</v>
      </c>
      <c r="E86" s="366">
        <f t="shared" ref="E86:O86" si="9">+E19-E51</f>
        <v>-31704901.553145796</v>
      </c>
      <c r="F86" s="366">
        <f t="shared" si="9"/>
        <v>-22148400.999747783</v>
      </c>
      <c r="G86" s="366">
        <f t="shared" si="9"/>
        <v>-5173007.8763120472</v>
      </c>
      <c r="H86" s="366">
        <f>+H19-H51</f>
        <v>-14277427.325741768</v>
      </c>
      <c r="I86" s="366">
        <f t="shared" si="9"/>
        <v>-6275287.8066015542</v>
      </c>
      <c r="J86" s="366">
        <f t="shared" si="9"/>
        <v>11805800.026917681</v>
      </c>
      <c r="K86" s="366">
        <f t="shared" si="9"/>
        <v>14112044.501598388</v>
      </c>
      <c r="L86" s="366">
        <f t="shared" si="9"/>
        <v>9580808.186764136</v>
      </c>
      <c r="M86" s="366">
        <f t="shared" si="9"/>
        <v>3322416.7034923881</v>
      </c>
      <c r="N86" s="366">
        <f t="shared" si="9"/>
        <v>-14060787.671951637</v>
      </c>
      <c r="O86" s="367">
        <f t="shared" si="9"/>
        <v>34311869.426599339</v>
      </c>
      <c r="P86" s="283">
        <f t="shared" ref="P86:P97" si="10">+SUM(D86:O86)</f>
        <v>-69548670.382829756</v>
      </c>
      <c r="Q86" s="251">
        <f t="shared" si="8"/>
        <v>-1.9780622975776381</v>
      </c>
      <c r="R86" s="98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4.25" thickTop="1" thickBot="1">
      <c r="A87" s="9"/>
      <c r="B87" s="9"/>
      <c r="C87" s="248" t="str">
        <f>IF(MasterSheet!$A$1=1,MasterSheet!C403,MasterSheet!B403)</f>
        <v>Primarni deficit</v>
      </c>
      <c r="D87" s="366">
        <f t="shared" ref="D87:O87" si="11">+D86+D63</f>
        <v>-42932119.068034433</v>
      </c>
      <c r="E87" s="366">
        <f t="shared" si="11"/>
        <v>-25595224.62647913</v>
      </c>
      <c r="F87" s="366">
        <f t="shared" si="11"/>
        <v>-16038724.073081117</v>
      </c>
      <c r="G87" s="366">
        <f t="shared" si="11"/>
        <v>936669.05035461951</v>
      </c>
      <c r="H87" s="366">
        <f t="shared" si="11"/>
        <v>-8167750.3990751011</v>
      </c>
      <c r="I87" s="366">
        <f t="shared" si="11"/>
        <v>-165610.8799348874</v>
      </c>
      <c r="J87" s="366">
        <f t="shared" si="11"/>
        <v>17915476.953584347</v>
      </c>
      <c r="K87" s="366">
        <f t="shared" si="11"/>
        <v>20221721.428265054</v>
      </c>
      <c r="L87" s="366">
        <f t="shared" si="11"/>
        <v>15690485.113430802</v>
      </c>
      <c r="M87" s="366">
        <f t="shared" si="11"/>
        <v>9432093.630159054</v>
      </c>
      <c r="N87" s="366">
        <f t="shared" si="11"/>
        <v>-7951110.7452849699</v>
      </c>
      <c r="O87" s="367">
        <f t="shared" si="11"/>
        <v>40421546.353266008</v>
      </c>
      <c r="P87" s="283">
        <f t="shared" si="10"/>
        <v>3767452.7371702194</v>
      </c>
      <c r="Q87" s="251">
        <f t="shared" si="8"/>
        <v>0.10715167056798121</v>
      </c>
      <c r="R87" s="98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4.25" thickTop="1" thickBot="1">
      <c r="A88" s="9"/>
      <c r="B88" s="9"/>
      <c r="C88" s="248" t="str">
        <f>IF(MasterSheet!$A$1=1,MasterSheet!C404,MasterSheet!B404)</f>
        <v>Otplata duga</v>
      </c>
      <c r="D88" s="366">
        <f>+SUM(D89:D91)</f>
        <v>14285575.4575</v>
      </c>
      <c r="E88" s="366">
        <f t="shared" ref="E88:O88" si="12">+SUM(E89:E91)</f>
        <v>14285575.4575</v>
      </c>
      <c r="F88" s="366">
        <f t="shared" si="12"/>
        <v>14285575.4575</v>
      </c>
      <c r="G88" s="366">
        <f t="shared" si="12"/>
        <v>14285575.4575</v>
      </c>
      <c r="H88" s="366">
        <f t="shared" si="12"/>
        <v>14285575.4575</v>
      </c>
      <c r="I88" s="366">
        <f t="shared" si="12"/>
        <v>14285575.4575</v>
      </c>
      <c r="J88" s="366">
        <f t="shared" si="12"/>
        <v>14285575.4575</v>
      </c>
      <c r="K88" s="366">
        <f t="shared" si="12"/>
        <v>14285575.4575</v>
      </c>
      <c r="L88" s="366">
        <f t="shared" si="12"/>
        <v>14285575.4575</v>
      </c>
      <c r="M88" s="366">
        <f t="shared" si="12"/>
        <v>14285575.4575</v>
      </c>
      <c r="N88" s="366">
        <f t="shared" si="12"/>
        <v>14285575.4575</v>
      </c>
      <c r="O88" s="367">
        <f t="shared" si="12"/>
        <v>14285575.4575</v>
      </c>
      <c r="P88" s="283">
        <f>+SUM(D88:O88)</f>
        <v>171426905.49000001</v>
      </c>
      <c r="Q88" s="251">
        <f t="shared" si="8"/>
        <v>4.8756230230375435</v>
      </c>
      <c r="R88" s="176"/>
      <c r="S88" s="6"/>
      <c r="T88" s="6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3.5" thickTop="1">
      <c r="A89" s="9"/>
      <c r="B89" s="9"/>
      <c r="C89" s="260" t="str">
        <f>IF(MasterSheet!$A$1=1,MasterSheet!C405,MasterSheet!B405)</f>
        <v>Otplata duga rezidentima</v>
      </c>
      <c r="D89" s="261">
        <v>2500695.4391666665</v>
      </c>
      <c r="E89" s="262">
        <v>2500695.4391666665</v>
      </c>
      <c r="F89" s="262">
        <v>2500695.4391666665</v>
      </c>
      <c r="G89" s="262">
        <v>2500695.4391666665</v>
      </c>
      <c r="H89" s="262">
        <v>2500695.4391666665</v>
      </c>
      <c r="I89" s="294">
        <v>2500695.4391666665</v>
      </c>
      <c r="J89" s="262">
        <v>2500695.4391666665</v>
      </c>
      <c r="K89" s="294">
        <v>2500695.4391666665</v>
      </c>
      <c r="L89" s="294">
        <v>2500695.4391666665</v>
      </c>
      <c r="M89" s="294">
        <v>2500695.4391666665</v>
      </c>
      <c r="N89" s="294">
        <v>2500695.4391666665</v>
      </c>
      <c r="O89" s="324">
        <v>2500695.4391666665</v>
      </c>
      <c r="P89" s="481">
        <f t="shared" si="10"/>
        <v>30008345.269999992</v>
      </c>
      <c r="Q89" s="296">
        <f t="shared" si="8"/>
        <v>0.85347967207053455</v>
      </c>
      <c r="R89" s="17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>
      <c r="A90" s="9"/>
      <c r="B90" s="9"/>
      <c r="C90" s="260" t="str">
        <f>IF(MasterSheet!$A$1=1,MasterSheet!C406,MasterSheet!B406)</f>
        <v>Otplata duga nerezidentima</v>
      </c>
      <c r="D90" s="261">
        <v>9006700.020833334</v>
      </c>
      <c r="E90" s="262">
        <v>9006700.020833334</v>
      </c>
      <c r="F90" s="262">
        <v>9006700.020833334</v>
      </c>
      <c r="G90" s="262">
        <v>9006700.020833334</v>
      </c>
      <c r="H90" s="262">
        <v>9006700.020833334</v>
      </c>
      <c r="I90" s="294">
        <v>9006700.020833334</v>
      </c>
      <c r="J90" s="262">
        <v>9006700.020833334</v>
      </c>
      <c r="K90" s="294">
        <v>9006700.020833334</v>
      </c>
      <c r="L90" s="294">
        <v>9006700.020833334</v>
      </c>
      <c r="M90" s="294">
        <v>9006700.020833334</v>
      </c>
      <c r="N90" s="294">
        <v>9006700.020833334</v>
      </c>
      <c r="O90" s="324">
        <v>9006700.020833334</v>
      </c>
      <c r="P90" s="516">
        <f t="shared" si="10"/>
        <v>108080400.24999999</v>
      </c>
      <c r="Q90" s="296">
        <f t="shared" si="8"/>
        <v>3.073959051478953</v>
      </c>
      <c r="R90" s="17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3.5" thickBot="1">
      <c r="A91" s="9"/>
      <c r="B91" s="9"/>
      <c r="C91" s="260" t="str">
        <f>IF(MasterSheet!$A$1=1,MasterSheet!C407,MasterSheet!B407)</f>
        <v>Otplata obaveza iz prethodnog perioda</v>
      </c>
      <c r="D91" s="261">
        <v>2778179.9974999996</v>
      </c>
      <c r="E91" s="262">
        <v>2778179.9974999996</v>
      </c>
      <c r="F91" s="262">
        <v>2778179.9974999996</v>
      </c>
      <c r="G91" s="262">
        <v>2778179.9974999996</v>
      </c>
      <c r="H91" s="262">
        <v>2778179.9974999996</v>
      </c>
      <c r="I91" s="294">
        <v>2778179.9974999996</v>
      </c>
      <c r="J91" s="262">
        <v>2778179.9974999996</v>
      </c>
      <c r="K91" s="294">
        <v>2778179.9974999996</v>
      </c>
      <c r="L91" s="294">
        <v>2778179.9974999996</v>
      </c>
      <c r="M91" s="294">
        <v>2778179.9974999996</v>
      </c>
      <c r="N91" s="294">
        <v>2778179.9974999996</v>
      </c>
      <c r="O91" s="324">
        <v>2778179.9974999996</v>
      </c>
      <c r="P91" s="481">
        <f t="shared" si="10"/>
        <v>33338159.969999988</v>
      </c>
      <c r="Q91" s="296">
        <f t="shared" si="8"/>
        <v>0.94818429948805427</v>
      </c>
      <c r="R91" s="17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4.25" thickTop="1" thickBot="1">
      <c r="A92" s="9"/>
      <c r="B92" s="9"/>
      <c r="C92" s="248" t="str">
        <f>IF(MasterSheet!$A$1=1,MasterSheet!C409,MasterSheet!B409)</f>
        <v>Nedostajuća sredstva</v>
      </c>
      <c r="D92" s="366">
        <f>+D86-D88</f>
        <v>-63327371.452201098</v>
      </c>
      <c r="E92" s="366">
        <f t="shared" ref="E92:O92" si="13">+E86-E88</f>
        <v>-45990477.010645792</v>
      </c>
      <c r="F92" s="366">
        <f t="shared" si="13"/>
        <v>-36433976.457247779</v>
      </c>
      <c r="G92" s="366">
        <f t="shared" si="13"/>
        <v>-19458583.333812047</v>
      </c>
      <c r="H92" s="366">
        <f t="shared" si="13"/>
        <v>-28563002.783241767</v>
      </c>
      <c r="I92" s="366">
        <f t="shared" si="13"/>
        <v>-20560863.264101554</v>
      </c>
      <c r="J92" s="366">
        <f t="shared" si="13"/>
        <v>-2479775.4305823185</v>
      </c>
      <c r="K92" s="366">
        <f t="shared" si="13"/>
        <v>-173530.9559016116</v>
      </c>
      <c r="L92" s="366">
        <f t="shared" si="13"/>
        <v>-4704767.2707358636</v>
      </c>
      <c r="M92" s="366">
        <f t="shared" si="13"/>
        <v>-10963158.754007611</v>
      </c>
      <c r="N92" s="366">
        <f t="shared" si="13"/>
        <v>-28346363.129451636</v>
      </c>
      <c r="O92" s="367">
        <f t="shared" si="13"/>
        <v>20026293.969099339</v>
      </c>
      <c r="P92" s="283">
        <f t="shared" si="10"/>
        <v>-240975575.87282977</v>
      </c>
      <c r="Q92" s="251">
        <f t="shared" si="8"/>
        <v>-6.8536853206151811</v>
      </c>
      <c r="R92" s="98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4.25" thickTop="1" thickBot="1">
      <c r="A93" s="9"/>
      <c r="B93" s="9"/>
      <c r="C93" s="248" t="str">
        <f>IF(MasterSheet!$A$1=1,MasterSheet!C410,MasterSheet!B410)</f>
        <v>Finansiranje</v>
      </c>
      <c r="D93" s="366">
        <f>+SUM(D94:D98)</f>
        <v>63327371.452201098</v>
      </c>
      <c r="E93" s="366">
        <f t="shared" ref="E93:O93" si="14">+SUM(E94:E98)</f>
        <v>45990477.010645792</v>
      </c>
      <c r="F93" s="366">
        <f t="shared" si="14"/>
        <v>36433976.457247779</v>
      </c>
      <c r="G93" s="366">
        <f t="shared" si="14"/>
        <v>19458583.333812047</v>
      </c>
      <c r="H93" s="366">
        <f t="shared" si="14"/>
        <v>28563002.783241767</v>
      </c>
      <c r="I93" s="366">
        <f t="shared" si="14"/>
        <v>20560863.264101554</v>
      </c>
      <c r="J93" s="366">
        <f t="shared" si="14"/>
        <v>2479775.4305823185</v>
      </c>
      <c r="K93" s="366">
        <f t="shared" si="14"/>
        <v>173530.9559016116</v>
      </c>
      <c r="L93" s="366">
        <f t="shared" si="14"/>
        <v>4704767.2707358636</v>
      </c>
      <c r="M93" s="366">
        <f t="shared" si="14"/>
        <v>10963158.754007611</v>
      </c>
      <c r="N93" s="366">
        <f t="shared" si="14"/>
        <v>28346363.129451636</v>
      </c>
      <c r="O93" s="367">
        <f t="shared" si="14"/>
        <v>-20026293.969099339</v>
      </c>
      <c r="P93" s="283">
        <f t="shared" si="10"/>
        <v>240975575.87282977</v>
      </c>
      <c r="Q93" s="251">
        <f t="shared" si="8"/>
        <v>6.8536853206151811</v>
      </c>
      <c r="R93" s="9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3.5" thickTop="1">
      <c r="A94" s="9"/>
      <c r="B94" s="9"/>
      <c r="C94" s="260" t="str">
        <f>IF(MasterSheet!$A$1=1,MasterSheet!C411,MasterSheet!B411)</f>
        <v>Pozajmice i krediti iz domaćih izvora</v>
      </c>
      <c r="D94" s="261">
        <v>0</v>
      </c>
      <c r="E94" s="261">
        <v>0</v>
      </c>
      <c r="F94" s="261">
        <v>0</v>
      </c>
      <c r="G94" s="261">
        <v>0</v>
      </c>
      <c r="H94" s="261">
        <v>0</v>
      </c>
      <c r="I94" s="261">
        <v>0</v>
      </c>
      <c r="J94" s="261">
        <v>0</v>
      </c>
      <c r="K94" s="261">
        <v>0</v>
      </c>
      <c r="L94" s="261">
        <v>0</v>
      </c>
      <c r="M94" s="261">
        <v>0</v>
      </c>
      <c r="N94" s="261">
        <v>0</v>
      </c>
      <c r="O94" s="566">
        <v>0</v>
      </c>
      <c r="P94" s="481">
        <f t="shared" si="10"/>
        <v>0</v>
      </c>
      <c r="Q94" s="296">
        <f t="shared" si="8"/>
        <v>0</v>
      </c>
      <c r="R94" s="9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>
      <c r="A95" s="9"/>
      <c r="B95" s="9"/>
      <c r="C95" s="260" t="str">
        <f>IF(MasterSheet!$A$1=1,MasterSheet!C412,MasterSheet!B412)</f>
        <v>Pozajmice i krediti iz inostranih izvora</v>
      </c>
      <c r="D95" s="261">
        <v>18997964.655235786</v>
      </c>
      <c r="E95" s="261">
        <v>18997964.655235786</v>
      </c>
      <c r="F95" s="261">
        <v>18997964.655235786</v>
      </c>
      <c r="G95" s="444">
        <v>18997964.655235786</v>
      </c>
      <c r="H95" s="262">
        <v>18997964.655235786</v>
      </c>
      <c r="I95" s="262">
        <v>18997964.655235786</v>
      </c>
      <c r="J95" s="262">
        <v>18997964.655235786</v>
      </c>
      <c r="K95" s="262">
        <v>18997964.655235786</v>
      </c>
      <c r="L95" s="262">
        <v>18997964.655235786</v>
      </c>
      <c r="M95" s="445">
        <v>18997964.655235786</v>
      </c>
      <c r="N95" s="294">
        <v>18997964.655235786</v>
      </c>
      <c r="O95" s="324">
        <v>18997964.655235786</v>
      </c>
      <c r="P95" s="481">
        <f t="shared" si="10"/>
        <v>227975575.86282948</v>
      </c>
      <c r="Q95" s="296">
        <f t="shared" si="8"/>
        <v>6.4839469813091437</v>
      </c>
      <c r="R95" s="9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>
      <c r="A96" s="9"/>
      <c r="B96" s="9"/>
      <c r="C96" s="260" t="str">
        <f>IF(MasterSheet!$A$1=1,MasterSheet!C413,MasterSheet!B413)</f>
        <v>Donacije</v>
      </c>
      <c r="D96" s="261">
        <v>666666.66666666663</v>
      </c>
      <c r="E96" s="261">
        <v>666666.66666666663</v>
      </c>
      <c r="F96" s="261">
        <v>666666.66666666663</v>
      </c>
      <c r="G96" s="261">
        <v>666666.66666666663</v>
      </c>
      <c r="H96" s="261">
        <v>666666.66666666663</v>
      </c>
      <c r="I96" s="261">
        <v>666666.66666666663</v>
      </c>
      <c r="J96" s="261">
        <v>666666.66666666663</v>
      </c>
      <c r="K96" s="261">
        <v>666666.66666666663</v>
      </c>
      <c r="L96" s="261">
        <v>666666.66666666663</v>
      </c>
      <c r="M96" s="261">
        <v>666666.66666666663</v>
      </c>
      <c r="N96" s="261">
        <v>666666.66666666663</v>
      </c>
      <c r="O96" s="566">
        <v>666666.66666666663</v>
      </c>
      <c r="P96" s="481">
        <f t="shared" si="10"/>
        <v>8000000.0000000009</v>
      </c>
      <c r="Q96" s="296">
        <f t="shared" si="8"/>
        <v>0.22753128555176338</v>
      </c>
      <c r="R96" s="9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>
      <c r="A97" s="9"/>
      <c r="B97" s="9"/>
      <c r="C97" s="260" t="str">
        <f>IF(MasterSheet!$A$1=1,MasterSheet!C414,MasterSheet!B414)</f>
        <v>Prihodi od privatizacije</v>
      </c>
      <c r="D97" s="261">
        <v>416666.66666666669</v>
      </c>
      <c r="E97" s="261">
        <v>416666.66666666669</v>
      </c>
      <c r="F97" s="261">
        <v>416666.66666666669</v>
      </c>
      <c r="G97" s="262">
        <v>416666.66666666669</v>
      </c>
      <c r="H97" s="262">
        <v>416666.66666666669</v>
      </c>
      <c r="I97" s="262">
        <v>416666.66666666669</v>
      </c>
      <c r="J97" s="262">
        <v>416666.66666666669</v>
      </c>
      <c r="K97" s="262">
        <v>416666.66666666669</v>
      </c>
      <c r="L97" s="262">
        <v>416666.66666666669</v>
      </c>
      <c r="M97" s="262">
        <v>416666.66666666669</v>
      </c>
      <c r="N97" s="262">
        <v>416666.66666666669</v>
      </c>
      <c r="O97" s="387">
        <v>416666.66666666669</v>
      </c>
      <c r="P97" s="481">
        <f t="shared" si="10"/>
        <v>5000000</v>
      </c>
      <c r="Q97" s="296">
        <f t="shared" si="8"/>
        <v>0.1422070534698521</v>
      </c>
      <c r="R97" s="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3.5" thickBot="1">
      <c r="A98" s="9"/>
      <c r="B98" s="9"/>
      <c r="C98" s="333" t="str">
        <f>IF(MasterSheet!$A$1=1,MasterSheet!C415,MasterSheet!B415)</f>
        <v>Povećanje/smanjenje depozita</v>
      </c>
      <c r="D98" s="334">
        <f>-D92-SUM(D94:D97)</f>
        <v>43246073.463631973</v>
      </c>
      <c r="E98" s="335">
        <f>-E92-SUM(E94:E97)</f>
        <v>25909179.02207667</v>
      </c>
      <c r="F98" s="335">
        <f>-F92-SUM(F94:F97)</f>
        <v>16352678.468678657</v>
      </c>
      <c r="G98" s="423">
        <f t="shared" ref="G98:O98" si="15">-G92-SUM(G94:G97)</f>
        <v>-622714.65475707501</v>
      </c>
      <c r="H98" s="423">
        <f t="shared" si="15"/>
        <v>8481704.7946726456</v>
      </c>
      <c r="I98" s="423">
        <f t="shared" si="15"/>
        <v>479565.2755324319</v>
      </c>
      <c r="J98" s="423">
        <f t="shared" si="15"/>
        <v>-17601522.557986803</v>
      </c>
      <c r="K98" s="423">
        <f t="shared" si="15"/>
        <v>-19907767.03266751</v>
      </c>
      <c r="L98" s="423">
        <f t="shared" si="15"/>
        <v>-15376530.717833258</v>
      </c>
      <c r="M98" s="423">
        <f t="shared" si="15"/>
        <v>-9118139.2345615104</v>
      </c>
      <c r="N98" s="423">
        <f t="shared" si="15"/>
        <v>8265065.1408825144</v>
      </c>
      <c r="O98" s="423">
        <f t="shared" si="15"/>
        <v>-40107591.957668461</v>
      </c>
      <c r="P98" s="395">
        <f>+SUM(D98:O98)</f>
        <v>1.0000266134738922E-2</v>
      </c>
      <c r="Q98" s="339">
        <f t="shared" si="8"/>
        <v>2.8442167618711383E-10</v>
      </c>
      <c r="R98" s="6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3.5" thickTop="1">
      <c r="A99" s="9"/>
      <c r="B99" s="9"/>
      <c r="C99" s="340" t="str">
        <f>IF(MasterSheet!$A$1=1,MasterSheet!C416,MasterSheet!B416)</f>
        <v>Izvor: Ministarstvo finansija Crne Gore</v>
      </c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43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>
      <c r="A101" s="9"/>
      <c r="B101" s="9"/>
      <c r="C101" s="9"/>
      <c r="D101" s="9"/>
      <c r="E101" s="9"/>
      <c r="F101" s="9"/>
      <c r="G101" s="9"/>
      <c r="H101" s="4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>
      <c r="A102" s="9"/>
      <c r="B102" s="9"/>
      <c r="C102" s="9"/>
      <c r="D102" s="9"/>
      <c r="E102" s="9"/>
      <c r="F102" s="9"/>
      <c r="G102" s="43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>
      <c r="A103" s="9"/>
      <c r="B103" s="9"/>
      <c r="C103" s="9"/>
      <c r="D103" s="9"/>
      <c r="E103" s="9"/>
      <c r="F103" s="9"/>
      <c r="G103" s="43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32">
      <c r="D157" s="9"/>
      <c r="E157" s="9"/>
      <c r="F157" s="9"/>
      <c r="G157" s="9"/>
      <c r="H157" s="9"/>
      <c r="I157" s="9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F18" sqref="F18"/>
    </sheetView>
  </sheetViews>
  <sheetFormatPr defaultRowHeight="12.75"/>
  <cols>
    <col min="1" max="1" width="6.140625" style="3" customWidth="1"/>
    <col min="2" max="2" width="9.85546875" customWidth="1"/>
    <col min="3" max="3" width="51.140625" customWidth="1"/>
    <col min="4" max="4" width="10.7109375" customWidth="1"/>
    <col min="5" max="8" width="10.7109375" style="2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3"/>
      <c r="C1" s="4"/>
      <c r="D1" s="3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B2" s="3"/>
      <c r="C2" s="4"/>
      <c r="D2" s="3"/>
      <c r="E2" s="6"/>
      <c r="F2" s="3"/>
      <c r="G2" s="6"/>
      <c r="H2" s="3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B3" s="3"/>
      <c r="C3" s="4"/>
      <c r="D3" s="3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B4" s="3"/>
      <c r="C4" s="4"/>
      <c r="D4" s="3"/>
      <c r="E4" s="6"/>
      <c r="F4" s="3"/>
      <c r="G4" s="6"/>
      <c r="H4" s="3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B5" s="3"/>
      <c r="C5" s="4"/>
      <c r="D5" s="3"/>
      <c r="E5" s="6"/>
      <c r="F5" s="6"/>
      <c r="G5" s="6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B6" s="3"/>
      <c r="C6" s="4"/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">
      <c r="B7" s="3"/>
      <c r="C7" s="4"/>
      <c r="D7" s="585" t="str">
        <f>IF(MasterSheet!$A$1=1, MasterSheet!C5,MasterSheet!B5)</f>
        <v>CRNA GORA</v>
      </c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">
      <c r="B8" s="3"/>
      <c r="C8" s="3"/>
      <c r="D8" s="585" t="str">
        <f>IF(MasterSheet!$A$1=1, MasterSheet!C6,MasterSheet!B6)</f>
        <v>MINISTARSTVO FINANSIJA</v>
      </c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B9" s="3"/>
      <c r="C9" s="6"/>
      <c r="D9" s="6"/>
      <c r="E9" s="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"/>
      <c r="S9" s="3"/>
      <c r="T9" s="3"/>
      <c r="U9" s="3"/>
      <c r="V9" s="4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B10" s="3"/>
      <c r="C10" s="6"/>
      <c r="D10" s="6"/>
      <c r="E10" s="6"/>
      <c r="F10" s="6"/>
      <c r="G10" s="6"/>
      <c r="H10" s="6"/>
      <c r="I10" s="3"/>
      <c r="J10" s="6"/>
      <c r="K10" s="6"/>
      <c r="L10" s="6"/>
      <c r="M10" s="6"/>
      <c r="N10" s="6"/>
      <c r="O10" s="6"/>
      <c r="P10" s="6"/>
      <c r="Q10" s="6"/>
      <c r="R10" s="3"/>
      <c r="S10" s="3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B11" s="3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F11" s="3"/>
    </row>
    <row r="12" spans="1:32" ht="13.5" thickBot="1">
      <c r="B12" s="3"/>
      <c r="C12" s="6"/>
      <c r="D12" s="6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1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7.25" thickTop="1" thickBot="1">
      <c r="B13" s="84"/>
      <c r="C13" s="85" t="str">
        <f>IF(MasterSheet!$A$1=1,MasterSheet!B67,MasterSheet!B66)</f>
        <v>BDP (u mil. €)</v>
      </c>
      <c r="D13" s="588">
        <f>+'2014 - plan'!D14</f>
        <v>3516000000</v>
      </c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90"/>
      <c r="Y13" s="3"/>
      <c r="Z13" s="3"/>
      <c r="AA13" s="3"/>
      <c r="AB13" s="3"/>
      <c r="AC13" s="3"/>
      <c r="AD13" s="3"/>
      <c r="AE13" s="3"/>
      <c r="AF13" s="3"/>
    </row>
    <row r="14" spans="1:32" ht="15.75" thickTop="1">
      <c r="A14" s="78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79"/>
      <c r="N14" s="79"/>
      <c r="O14" s="80"/>
      <c r="P14" s="80"/>
      <c r="Q14" s="80"/>
      <c r="R14" s="80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7.25" customHeight="1" thickBot="1"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7.25" customHeight="1" thickTop="1">
      <c r="B16" s="3"/>
      <c r="C16" s="586" t="str">
        <f>IF(MasterSheet!$A$1=1,MasterSheet!B422,MasterSheet!B421)</f>
        <v>Izvršenje budžeta, po mjesecima</v>
      </c>
      <c r="D16" s="594">
        <v>2014</v>
      </c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6"/>
      <c r="Y16" s="3"/>
      <c r="Z16" s="3"/>
      <c r="AA16" s="3"/>
      <c r="AB16" s="3"/>
      <c r="AC16" s="3"/>
      <c r="AD16" s="3"/>
      <c r="AE16" s="3"/>
      <c r="AF16" s="3"/>
    </row>
    <row r="17" spans="2:32" ht="13.5" thickBot="1">
      <c r="B17" s="3"/>
      <c r="C17" s="587"/>
      <c r="D17" s="242" t="str">
        <f>IF(MasterSheet!$A$1=1,MasterSheet!C336,MasterSheet!C335)</f>
        <v>Januar</v>
      </c>
      <c r="E17" s="243" t="str">
        <f>IF(MasterSheet!$A$1=1,MasterSheet!D336,MasterSheet!D335)</f>
        <v>Februar</v>
      </c>
      <c r="F17" s="243" t="str">
        <f>IF(MasterSheet!$A$1=1,MasterSheet!E336,MasterSheet!E335)</f>
        <v>Mart</v>
      </c>
      <c r="G17" s="243" t="str">
        <f>IF(MasterSheet!$A$1=1,MasterSheet!F336,MasterSheet!F335)</f>
        <v>April</v>
      </c>
      <c r="H17" s="243" t="str">
        <f>IF(MasterSheet!$A$1=1,MasterSheet!G336,MasterSheet!G335)</f>
        <v>Maj</v>
      </c>
      <c r="I17" s="243" t="str">
        <f>IF(MasterSheet!$A$1=1,MasterSheet!H336,MasterSheet!H335)</f>
        <v>Jun</v>
      </c>
      <c r="J17" s="243" t="str">
        <f>IF(MasterSheet!$A$1=1,MasterSheet!I336,MasterSheet!I335)</f>
        <v>Jul</v>
      </c>
      <c r="K17" s="244" t="str">
        <f>IF(MasterSheet!$A$1=1,MasterSheet!J336,MasterSheet!J335)</f>
        <v>Avgust</v>
      </c>
      <c r="L17" s="244" t="str">
        <f>IF(MasterSheet!$A$1=1,MasterSheet!K336,MasterSheet!K335)</f>
        <v>Septembar</v>
      </c>
      <c r="M17" s="244" t="str">
        <f>IF(MasterSheet!$A$1=1,MasterSheet!L336,MasterSheet!L335)</f>
        <v>Oktobar</v>
      </c>
      <c r="N17" s="244" t="str">
        <f>IF(MasterSheet!$A$1=1,MasterSheet!M336,MasterSheet!M335)</f>
        <v>Novembar</v>
      </c>
      <c r="O17" s="343" t="str">
        <f>IF(MasterSheet!$A$1=1,MasterSheet!N336,MasterSheet!N335)</f>
        <v>Decembar</v>
      </c>
      <c r="P17" s="396" t="s">
        <v>425</v>
      </c>
      <c r="Q17" s="244"/>
      <c r="R17" s="244"/>
      <c r="S17" s="244"/>
      <c r="T17" s="244"/>
      <c r="U17" s="244"/>
      <c r="V17" s="244"/>
      <c r="W17" s="244"/>
      <c r="X17" s="244" t="s">
        <v>150</v>
      </c>
      <c r="Y17" s="3"/>
      <c r="Z17" s="3"/>
      <c r="AA17" s="3"/>
      <c r="AB17" s="3"/>
      <c r="AC17" s="3"/>
      <c r="AD17" s="3"/>
      <c r="AE17" s="3"/>
      <c r="AF17" s="3"/>
    </row>
    <row r="18" spans="2:32" ht="15" customHeight="1" thickTop="1" thickBot="1">
      <c r="B18" s="3"/>
      <c r="C18" s="344" t="str">
        <f>IF(MasterSheet!$A$1=1,MasterSheet!C337,MasterSheet!B337)</f>
        <v>Izvorni prihodi</v>
      </c>
      <c r="D18" s="345">
        <f>+D19+D27+D32+D37+D44+D49</f>
        <v>70632268.589999989</v>
      </c>
      <c r="E18" s="543">
        <f t="shared" ref="E18:O18" si="0">+E19+E27+E32+E37+E44+E49</f>
        <v>81381758.450000018</v>
      </c>
      <c r="F18" s="345">
        <f t="shared" si="0"/>
        <v>100495765.61000001</v>
      </c>
      <c r="G18" s="345">
        <f t="shared" si="0"/>
        <v>0</v>
      </c>
      <c r="H18" s="345">
        <f t="shared" si="0"/>
        <v>0</v>
      </c>
      <c r="I18" s="345">
        <f t="shared" si="0"/>
        <v>0</v>
      </c>
      <c r="J18" s="345">
        <f t="shared" si="0"/>
        <v>0</v>
      </c>
      <c r="K18" s="345">
        <f t="shared" si="0"/>
        <v>0</v>
      </c>
      <c r="L18" s="345">
        <f t="shared" si="0"/>
        <v>0</v>
      </c>
      <c r="M18" s="345">
        <f t="shared" si="0"/>
        <v>0</v>
      </c>
      <c r="N18" s="345">
        <f t="shared" si="0"/>
        <v>0</v>
      </c>
      <c r="O18" s="346">
        <f t="shared" si="0"/>
        <v>0</v>
      </c>
      <c r="P18" s="446">
        <f>SUM(D18:O18)</f>
        <v>252509792.65000004</v>
      </c>
      <c r="Q18" s="347">
        <f>+P18+P93+P94+P95+P96</f>
        <v>332816790.24000007</v>
      </c>
      <c r="R18" s="348"/>
      <c r="S18" s="348"/>
      <c r="T18" s="348"/>
      <c r="U18" s="348"/>
      <c r="V18" s="348"/>
      <c r="W18" s="348"/>
      <c r="X18" s="251">
        <f>+P18/$D$13*100</f>
        <v>7.1817347170079646</v>
      </c>
      <c r="Y18" s="3"/>
      <c r="Z18" s="3"/>
      <c r="AA18" s="3"/>
      <c r="AB18" s="3"/>
      <c r="AC18" s="3"/>
      <c r="AD18" s="3"/>
      <c r="AE18" s="3"/>
      <c r="AF18" s="3"/>
    </row>
    <row r="19" spans="2:32" ht="15" customHeight="1" thickTop="1">
      <c r="B19" s="3"/>
      <c r="C19" s="349" t="str">
        <f>IF(MasterSheet!$A$1=1,MasterSheet!C338,MasterSheet!B338)</f>
        <v>Porezi</v>
      </c>
      <c r="D19" s="267">
        <f t="shared" ref="D19:N19" si="1">SUM(D20:D26)</f>
        <v>48388139.909999996</v>
      </c>
      <c r="E19" s="255">
        <f t="shared" si="1"/>
        <v>48891680.690000005</v>
      </c>
      <c r="F19" s="254">
        <f t="shared" si="1"/>
        <v>66983401.860000007</v>
      </c>
      <c r="G19" s="254">
        <f t="shared" si="1"/>
        <v>0</v>
      </c>
      <c r="H19" s="254">
        <f t="shared" si="1"/>
        <v>0</v>
      </c>
      <c r="I19" s="254">
        <f t="shared" si="1"/>
        <v>0</v>
      </c>
      <c r="J19" s="254">
        <f t="shared" si="1"/>
        <v>0</v>
      </c>
      <c r="K19" s="254">
        <f t="shared" si="1"/>
        <v>0</v>
      </c>
      <c r="L19" s="254">
        <f t="shared" si="1"/>
        <v>0</v>
      </c>
      <c r="M19" s="254">
        <f t="shared" si="1"/>
        <v>0</v>
      </c>
      <c r="N19" s="414">
        <f t="shared" si="1"/>
        <v>0</v>
      </c>
      <c r="O19" s="428">
        <f t="shared" ref="O19" si="2">+SUM(O20:O26)</f>
        <v>0</v>
      </c>
      <c r="P19" s="447">
        <f t="shared" ref="P19:P49" si="3">SUM(D19:O19)</f>
        <v>164263222.46000001</v>
      </c>
      <c r="Q19" s="341"/>
      <c r="R19" s="341"/>
      <c r="S19" s="341"/>
      <c r="T19" s="341"/>
      <c r="U19" s="341"/>
      <c r="V19" s="341"/>
      <c r="W19" s="341"/>
      <c r="X19" s="259">
        <f t="shared" ref="X19:X83" si="4">+P19/$D$13*100</f>
        <v>4.6718777718998865</v>
      </c>
      <c r="Y19" s="132"/>
      <c r="Z19" s="3"/>
      <c r="AA19" s="3"/>
      <c r="AB19" s="3"/>
      <c r="AC19" s="3"/>
      <c r="AD19" s="3"/>
      <c r="AE19" s="3"/>
      <c r="AF19" s="3"/>
    </row>
    <row r="20" spans="2:32" ht="15" customHeight="1">
      <c r="B20" s="3"/>
      <c r="C20" s="352" t="str">
        <f>IF(MasterSheet!$A$1=1,MasterSheet!C339,MasterSheet!B339)</f>
        <v>Porez na dohodak fizičkih lica</v>
      </c>
      <c r="D20" s="261">
        <v>3618675.86</v>
      </c>
      <c r="E20" s="262">
        <v>6667541.54</v>
      </c>
      <c r="F20" s="294">
        <v>8194536.0300000003</v>
      </c>
      <c r="G20" s="294"/>
      <c r="H20" s="294"/>
      <c r="I20" s="294"/>
      <c r="J20" s="294"/>
      <c r="K20" s="294"/>
      <c r="L20" s="294"/>
      <c r="M20" s="294"/>
      <c r="N20" s="324"/>
      <c r="O20" s="353"/>
      <c r="P20" s="448">
        <f t="shared" si="3"/>
        <v>18480753.43</v>
      </c>
      <c r="Q20" s="341"/>
      <c r="R20" s="342"/>
      <c r="S20" s="341"/>
      <c r="T20" s="341"/>
      <c r="U20" s="341"/>
      <c r="V20" s="341"/>
      <c r="W20" s="341"/>
      <c r="X20" s="265">
        <f t="shared" si="4"/>
        <v>0.52561869823663254</v>
      </c>
      <c r="Y20" s="3"/>
      <c r="Z20" s="3"/>
      <c r="AA20" s="3"/>
      <c r="AB20" s="3"/>
      <c r="AC20" s="3"/>
      <c r="AD20" s="3"/>
      <c r="AE20" s="3"/>
      <c r="AF20" s="3"/>
    </row>
    <row r="21" spans="2:32" ht="15" customHeight="1">
      <c r="B21" s="3"/>
      <c r="C21" s="352" t="str">
        <f>IF(MasterSheet!$A$1=1,MasterSheet!C340,MasterSheet!B340)</f>
        <v>Porez na dobit pravnih lica</v>
      </c>
      <c r="D21" s="261">
        <v>1541172.27</v>
      </c>
      <c r="E21" s="262">
        <v>956251.9</v>
      </c>
      <c r="F21" s="294">
        <v>12105724.380000001</v>
      </c>
      <c r="G21" s="294"/>
      <c r="H21" s="294"/>
      <c r="I21" s="294"/>
      <c r="J21" s="294"/>
      <c r="K21" s="294"/>
      <c r="L21" s="294"/>
      <c r="M21" s="294"/>
      <c r="N21" s="324"/>
      <c r="O21" s="353"/>
      <c r="P21" s="448">
        <f t="shared" si="3"/>
        <v>14603148.550000001</v>
      </c>
      <c r="Q21" s="341"/>
      <c r="R21" s="341"/>
      <c r="S21" s="341"/>
      <c r="T21" s="341"/>
      <c r="U21" s="341"/>
      <c r="V21" s="341"/>
      <c r="W21" s="341"/>
      <c r="X21" s="265">
        <f t="shared" si="4"/>
        <v>0.41533414533560864</v>
      </c>
      <c r="Y21" s="3"/>
      <c r="Z21" s="3"/>
      <c r="AA21" s="3"/>
      <c r="AB21" s="3"/>
      <c r="AC21" s="3"/>
      <c r="AD21" s="3"/>
      <c r="AE21" s="3"/>
      <c r="AF21" s="3"/>
    </row>
    <row r="22" spans="2:32" ht="15" customHeight="1">
      <c r="B22" s="3"/>
      <c r="C22" s="352" t="str">
        <f>IF(MasterSheet!$A$1=1,MasterSheet!C341,MasterSheet!B341)</f>
        <v>Porez na imovinu</v>
      </c>
      <c r="D22" s="261">
        <v>101912.43</v>
      </c>
      <c r="E22" s="262">
        <v>108443.93</v>
      </c>
      <c r="F22" s="294">
        <v>147063.39000000001</v>
      </c>
      <c r="G22" s="294"/>
      <c r="H22" s="294"/>
      <c r="I22" s="294"/>
      <c r="J22" s="294"/>
      <c r="K22" s="294"/>
      <c r="L22" s="294"/>
      <c r="M22" s="294"/>
      <c r="N22" s="324"/>
      <c r="O22" s="353"/>
      <c r="P22" s="448">
        <f t="shared" si="3"/>
        <v>357419.75</v>
      </c>
      <c r="Q22" s="341"/>
      <c r="R22" s="341"/>
      <c r="S22" s="341"/>
      <c r="T22" s="341"/>
      <c r="U22" s="341"/>
      <c r="V22" s="341"/>
      <c r="W22" s="341"/>
      <c r="X22" s="265">
        <f t="shared" si="4"/>
        <v>1.0165521899886234E-2</v>
      </c>
      <c r="Y22" s="3"/>
      <c r="Z22" s="3"/>
      <c r="AA22" s="3"/>
      <c r="AB22" s="3"/>
      <c r="AC22" s="3"/>
      <c r="AD22" s="3"/>
      <c r="AE22" s="3"/>
      <c r="AF22" s="3"/>
    </row>
    <row r="23" spans="2:32" ht="15" customHeight="1">
      <c r="B23" s="3"/>
      <c r="C23" s="352" t="str">
        <f>IF(MasterSheet!$A$1=1,MasterSheet!C342,MasterSheet!B342)</f>
        <v>Porez na dodatu vrijednost</v>
      </c>
      <c r="D23" s="261">
        <v>32174209.809999999</v>
      </c>
      <c r="E23" s="262">
        <v>31155049.949999999</v>
      </c>
      <c r="F23" s="294">
        <v>34924206.759999998</v>
      </c>
      <c r="G23" s="294"/>
      <c r="H23" s="294"/>
      <c r="I23" s="294"/>
      <c r="J23" s="294"/>
      <c r="K23" s="294"/>
      <c r="L23" s="294"/>
      <c r="M23" s="294"/>
      <c r="N23" s="324"/>
      <c r="O23" s="353"/>
      <c r="P23" s="448">
        <f t="shared" si="3"/>
        <v>98253466.519999996</v>
      </c>
      <c r="Q23" s="341"/>
      <c r="R23" s="341"/>
      <c r="S23" s="341"/>
      <c r="T23" s="341"/>
      <c r="U23" s="341"/>
      <c r="V23" s="341"/>
      <c r="W23" s="341"/>
      <c r="X23" s="265">
        <f t="shared" si="4"/>
        <v>2.7944671934015926</v>
      </c>
      <c r="Y23" s="3"/>
      <c r="Z23" s="3"/>
      <c r="AA23" s="3"/>
      <c r="AB23" s="3"/>
      <c r="AC23" s="3"/>
      <c r="AD23" s="3"/>
      <c r="AE23" s="3"/>
      <c r="AF23" s="3"/>
    </row>
    <row r="24" spans="2:32" ht="15" customHeight="1">
      <c r="B24" s="3"/>
      <c r="C24" s="352" t="str">
        <f>IF(MasterSheet!$A$1=1,MasterSheet!C343,MasterSheet!B343)</f>
        <v xml:space="preserve">Akcize </v>
      </c>
      <c r="D24" s="261">
        <v>9737815.5600000005</v>
      </c>
      <c r="E24" s="262">
        <v>8372894.3799999999</v>
      </c>
      <c r="F24" s="294">
        <v>9529436.2400000002</v>
      </c>
      <c r="G24" s="294"/>
      <c r="H24" s="294"/>
      <c r="I24" s="294"/>
      <c r="J24" s="294"/>
      <c r="K24" s="294"/>
      <c r="L24" s="294"/>
      <c r="M24" s="294"/>
      <c r="N24" s="324"/>
      <c r="O24" s="353"/>
      <c r="P24" s="448">
        <f t="shared" si="3"/>
        <v>27640146.18</v>
      </c>
      <c r="Q24" s="341"/>
      <c r="R24" s="341"/>
      <c r="S24" s="341"/>
      <c r="T24" s="341"/>
      <c r="U24" s="341"/>
      <c r="V24" s="341"/>
      <c r="W24" s="341"/>
      <c r="X24" s="265">
        <f t="shared" si="4"/>
        <v>0.78612474914675767</v>
      </c>
      <c r="Y24" s="3"/>
      <c r="Z24" s="3"/>
      <c r="AA24" s="3"/>
      <c r="AB24" s="3"/>
      <c r="AC24" s="3"/>
      <c r="AD24" s="3"/>
      <c r="AE24" s="3"/>
      <c r="AF24" s="3"/>
    </row>
    <row r="25" spans="2:32" ht="15" customHeight="1">
      <c r="B25" s="3"/>
      <c r="C25" s="352" t="str">
        <f>IF(MasterSheet!$A$1=1,MasterSheet!C344,MasterSheet!B344)</f>
        <v>Porez na međ. trgov. i transakcije</v>
      </c>
      <c r="D25" s="261">
        <v>956509.68</v>
      </c>
      <c r="E25" s="262">
        <v>1301360.32</v>
      </c>
      <c r="F25" s="294">
        <v>1639263.5</v>
      </c>
      <c r="G25" s="294"/>
      <c r="H25" s="294"/>
      <c r="I25" s="294"/>
      <c r="J25" s="294"/>
      <c r="K25" s="294"/>
      <c r="L25" s="294"/>
      <c r="M25" s="294"/>
      <c r="N25" s="324"/>
      <c r="O25" s="353"/>
      <c r="P25" s="448">
        <f t="shared" si="3"/>
        <v>3897133.5</v>
      </c>
      <c r="Q25" s="341"/>
      <c r="R25" s="341"/>
      <c r="S25" s="341"/>
      <c r="T25" s="341"/>
      <c r="U25" s="341"/>
      <c r="V25" s="341"/>
      <c r="W25" s="341"/>
      <c r="X25" s="265">
        <f t="shared" si="4"/>
        <v>0.11083997440273037</v>
      </c>
      <c r="Y25" s="3"/>
      <c r="Z25" s="3"/>
      <c r="AA25" s="3"/>
      <c r="AB25" s="3"/>
      <c r="AC25" s="3"/>
      <c r="AD25" s="3"/>
      <c r="AE25" s="3"/>
      <c r="AF25" s="3"/>
    </row>
    <row r="26" spans="2:32" ht="15" customHeight="1">
      <c r="B26" s="3"/>
      <c r="C26" s="352" t="str">
        <f>IF(MasterSheet!$A$1=1,MasterSheet!C345,MasterSheet!B345)</f>
        <v>Ostali republički porezi</v>
      </c>
      <c r="D26" s="261">
        <v>257844.3</v>
      </c>
      <c r="E26" s="262">
        <v>330138.67</v>
      </c>
      <c r="F26" s="294">
        <v>443171.56</v>
      </c>
      <c r="G26" s="294"/>
      <c r="H26" s="294"/>
      <c r="I26" s="294"/>
      <c r="J26" s="294"/>
      <c r="K26" s="294"/>
      <c r="L26" s="294"/>
      <c r="M26" s="294"/>
      <c r="N26" s="324"/>
      <c r="O26" s="353"/>
      <c r="P26" s="448">
        <f t="shared" si="3"/>
        <v>1031154.53</v>
      </c>
      <c r="Q26" s="341"/>
      <c r="R26" s="341"/>
      <c r="S26" s="341"/>
      <c r="T26" s="341"/>
      <c r="U26" s="341"/>
      <c r="V26" s="341"/>
      <c r="W26" s="341"/>
      <c r="X26" s="265">
        <f t="shared" si="4"/>
        <v>2.9327489476678043E-2</v>
      </c>
      <c r="Y26" s="3"/>
      <c r="Z26" s="3"/>
      <c r="AA26" s="3"/>
      <c r="AB26" s="3"/>
      <c r="AC26" s="3"/>
      <c r="AD26" s="3"/>
      <c r="AE26" s="3"/>
      <c r="AF26" s="3"/>
    </row>
    <row r="27" spans="2:32" ht="15" customHeight="1">
      <c r="B27" s="3"/>
      <c r="C27" s="355" t="str">
        <f>IF(MasterSheet!$A$1=1,MasterSheet!C346,MasterSheet!B346)</f>
        <v>Doprinosi</v>
      </c>
      <c r="D27" s="267">
        <f t="shared" ref="D27:N27" si="5">SUM(D28:D31)</f>
        <v>17610366.02</v>
      </c>
      <c r="E27" s="269">
        <f t="shared" si="5"/>
        <v>27692962.630000003</v>
      </c>
      <c r="F27" s="268">
        <f t="shared" si="5"/>
        <v>29711005.169999998</v>
      </c>
      <c r="G27" s="268">
        <f t="shared" si="5"/>
        <v>0</v>
      </c>
      <c r="H27" s="268">
        <f t="shared" si="5"/>
        <v>0</v>
      </c>
      <c r="I27" s="268">
        <f t="shared" si="5"/>
        <v>0</v>
      </c>
      <c r="J27" s="268">
        <f t="shared" si="5"/>
        <v>0</v>
      </c>
      <c r="K27" s="268">
        <f t="shared" si="5"/>
        <v>0</v>
      </c>
      <c r="L27" s="268">
        <f t="shared" si="5"/>
        <v>0</v>
      </c>
      <c r="M27" s="268">
        <f t="shared" si="5"/>
        <v>0</v>
      </c>
      <c r="N27" s="415">
        <f t="shared" si="5"/>
        <v>0</v>
      </c>
      <c r="O27" s="429">
        <f t="shared" ref="O27" si="6">+SUM(O28:O31)</f>
        <v>0</v>
      </c>
      <c r="P27" s="449">
        <f t="shared" si="3"/>
        <v>75014333.820000008</v>
      </c>
      <c r="Q27" s="341"/>
      <c r="R27" s="341"/>
      <c r="S27" s="341"/>
      <c r="T27" s="341"/>
      <c r="U27" s="341"/>
      <c r="V27" s="341"/>
      <c r="W27" s="341"/>
      <c r="X27" s="272">
        <f t="shared" si="4"/>
        <v>2.1335134761092154</v>
      </c>
      <c r="Y27" s="3"/>
      <c r="Z27" s="3"/>
      <c r="AA27" s="3"/>
      <c r="AB27" s="3"/>
      <c r="AC27" s="3"/>
      <c r="AD27" s="3"/>
      <c r="AE27" s="3"/>
      <c r="AF27" s="3"/>
    </row>
    <row r="28" spans="2:32" ht="15" customHeight="1">
      <c r="B28" s="3"/>
      <c r="C28" s="352" t="str">
        <f>IF(MasterSheet!$A$1=1,MasterSheet!C347,MasterSheet!B347)</f>
        <v>Doprinosi za PIO</v>
      </c>
      <c r="D28" s="261">
        <v>11471497.619999999</v>
      </c>
      <c r="E28" s="262">
        <v>17428110.199999999</v>
      </c>
      <c r="F28" s="294">
        <v>17730616.32</v>
      </c>
      <c r="G28" s="294"/>
      <c r="H28" s="294"/>
      <c r="I28" s="294"/>
      <c r="J28" s="294"/>
      <c r="K28" s="294"/>
      <c r="L28" s="294"/>
      <c r="M28" s="294"/>
      <c r="N28" s="324"/>
      <c r="O28" s="353"/>
      <c r="P28" s="448">
        <f t="shared" si="3"/>
        <v>46630224.140000001</v>
      </c>
      <c r="Q28" s="341"/>
      <c r="R28" s="341"/>
      <c r="S28" s="341"/>
      <c r="T28" s="341"/>
      <c r="U28" s="341"/>
      <c r="V28" s="341"/>
      <c r="W28" s="341"/>
      <c r="X28" s="265">
        <f t="shared" si="4"/>
        <v>1.3262293555176337</v>
      </c>
      <c r="Y28" s="132"/>
      <c r="Z28" s="3"/>
      <c r="AA28" s="3"/>
      <c r="AB28" s="3"/>
      <c r="AC28" s="3"/>
      <c r="AD28" s="3"/>
      <c r="AE28" s="3"/>
      <c r="AF28" s="3"/>
    </row>
    <row r="29" spans="2:32" ht="15" customHeight="1">
      <c r="B29" s="3"/>
      <c r="C29" s="352" t="str">
        <f>IF(MasterSheet!$A$1=1,MasterSheet!C348,MasterSheet!B348)</f>
        <v>Doprinosi za zdravstvo</v>
      </c>
      <c r="D29" s="261">
        <v>5448406.1600000001</v>
      </c>
      <c r="E29" s="262">
        <v>8879083.2599999998</v>
      </c>
      <c r="F29" s="294">
        <v>10464094.869999999</v>
      </c>
      <c r="G29" s="294"/>
      <c r="H29" s="294"/>
      <c r="I29" s="294"/>
      <c r="J29" s="294"/>
      <c r="K29" s="294"/>
      <c r="L29" s="294"/>
      <c r="M29" s="294"/>
      <c r="N29" s="324"/>
      <c r="O29" s="353"/>
      <c r="P29" s="448">
        <f t="shared" si="3"/>
        <v>24791584.289999999</v>
      </c>
      <c r="Q29" s="341"/>
      <c r="R29" s="341"/>
      <c r="S29" s="341"/>
      <c r="T29" s="341"/>
      <c r="U29" s="341"/>
      <c r="V29" s="341"/>
      <c r="W29" s="341"/>
      <c r="X29" s="265">
        <f t="shared" si="4"/>
        <v>0.70510763054607506</v>
      </c>
      <c r="Y29" s="132"/>
      <c r="Z29" s="3"/>
      <c r="AA29" s="3"/>
      <c r="AB29" s="3"/>
      <c r="AC29" s="3"/>
      <c r="AD29" s="3"/>
      <c r="AE29" s="3"/>
      <c r="AF29" s="3"/>
    </row>
    <row r="30" spans="2:32" ht="15" customHeight="1">
      <c r="B30" s="3"/>
      <c r="C30" s="352" t="str">
        <f>IF(MasterSheet!$A$1=1,MasterSheet!C349,MasterSheet!B349)</f>
        <v>Doprinosi za nezaposlene</v>
      </c>
      <c r="D30" s="261">
        <v>423773.65</v>
      </c>
      <c r="E30" s="262">
        <v>737969.6</v>
      </c>
      <c r="F30" s="294">
        <v>824174.47</v>
      </c>
      <c r="G30" s="294"/>
      <c r="H30" s="294"/>
      <c r="I30" s="294"/>
      <c r="J30" s="294"/>
      <c r="K30" s="294"/>
      <c r="L30" s="294"/>
      <c r="M30" s="294"/>
      <c r="N30" s="324"/>
      <c r="O30" s="353"/>
      <c r="P30" s="448">
        <f t="shared" si="3"/>
        <v>1985917.72</v>
      </c>
      <c r="Q30" s="341"/>
      <c r="R30" s="341"/>
      <c r="S30" s="341"/>
      <c r="T30" s="341"/>
      <c r="U30" s="341"/>
      <c r="V30" s="341"/>
      <c r="W30" s="341"/>
      <c r="X30" s="265">
        <f t="shared" si="4"/>
        <v>5.6482301478953355E-2</v>
      </c>
      <c r="Y30" s="132"/>
      <c r="Z30" s="3"/>
      <c r="AA30" s="3"/>
      <c r="AB30" s="3"/>
      <c r="AC30" s="3"/>
      <c r="AD30" s="3"/>
      <c r="AE30" s="3"/>
      <c r="AF30" s="3"/>
    </row>
    <row r="31" spans="2:32" ht="15" customHeight="1">
      <c r="B31" s="3"/>
      <c r="C31" s="352" t="str">
        <f>IF(MasterSheet!$A$1=1,MasterSheet!C350,MasterSheet!B350)</f>
        <v>Ostali doprinosi</v>
      </c>
      <c r="D31" s="261">
        <v>266688.59000000003</v>
      </c>
      <c r="E31" s="262">
        <v>647799.56999999995</v>
      </c>
      <c r="F31" s="294">
        <v>692119.51</v>
      </c>
      <c r="G31" s="294"/>
      <c r="H31" s="294"/>
      <c r="I31" s="294"/>
      <c r="J31" s="294"/>
      <c r="K31" s="294"/>
      <c r="L31" s="294"/>
      <c r="M31" s="294"/>
      <c r="N31" s="324"/>
      <c r="O31" s="353"/>
      <c r="P31" s="448">
        <f t="shared" si="3"/>
        <v>1606607.67</v>
      </c>
      <c r="Q31" s="341"/>
      <c r="R31" s="341"/>
      <c r="S31" s="341"/>
      <c r="T31" s="341"/>
      <c r="U31" s="341"/>
      <c r="V31" s="341"/>
      <c r="W31" s="341"/>
      <c r="X31" s="265">
        <f t="shared" si="4"/>
        <v>4.5694188566552899E-2</v>
      </c>
      <c r="Y31" s="132"/>
      <c r="Z31" s="3"/>
      <c r="AA31" s="3"/>
      <c r="AB31" s="3"/>
      <c r="AC31" s="3"/>
      <c r="AD31" s="3"/>
      <c r="AE31" s="3"/>
      <c r="AF31" s="3"/>
    </row>
    <row r="32" spans="2:32" ht="15" customHeight="1">
      <c r="B32" s="3"/>
      <c r="C32" s="355" t="str">
        <f>IF(MasterSheet!$A$1=1,MasterSheet!C351,MasterSheet!B351)</f>
        <v>Takse</v>
      </c>
      <c r="D32" s="267">
        <f t="shared" ref="D32:N32" si="7">SUM(D33:D36)</f>
        <v>987210.26</v>
      </c>
      <c r="E32" s="269">
        <f t="shared" si="7"/>
        <v>2533522.59</v>
      </c>
      <c r="F32" s="268">
        <f t="shared" si="7"/>
        <v>989993.92999999993</v>
      </c>
      <c r="G32" s="268">
        <f t="shared" si="7"/>
        <v>0</v>
      </c>
      <c r="H32" s="268">
        <f t="shared" si="7"/>
        <v>0</v>
      </c>
      <c r="I32" s="268">
        <f t="shared" si="7"/>
        <v>0</v>
      </c>
      <c r="J32" s="268">
        <f t="shared" si="7"/>
        <v>0</v>
      </c>
      <c r="K32" s="268">
        <f t="shared" si="7"/>
        <v>0</v>
      </c>
      <c r="L32" s="268">
        <f t="shared" si="7"/>
        <v>0</v>
      </c>
      <c r="M32" s="268">
        <f t="shared" si="7"/>
        <v>0</v>
      </c>
      <c r="N32" s="415">
        <f t="shared" si="7"/>
        <v>0</v>
      </c>
      <c r="O32" s="429">
        <f t="shared" ref="O32" si="8">+SUM(O33:O36)</f>
        <v>0</v>
      </c>
      <c r="P32" s="449">
        <f t="shared" si="3"/>
        <v>4510726.7799999993</v>
      </c>
      <c r="Q32" s="341"/>
      <c r="R32" s="341"/>
      <c r="S32" s="341"/>
      <c r="T32" s="341"/>
      <c r="U32" s="341"/>
      <c r="V32" s="341"/>
      <c r="W32" s="341"/>
      <c r="X32" s="272">
        <f t="shared" si="4"/>
        <v>0.12829143287827074</v>
      </c>
      <c r="Y32" s="3"/>
      <c r="Z32" s="3"/>
      <c r="AA32" s="3"/>
      <c r="AB32" s="3"/>
      <c r="AC32" s="3"/>
      <c r="AD32" s="3"/>
      <c r="AE32" s="3"/>
      <c r="AF32" s="3"/>
    </row>
    <row r="33" spans="2:32" ht="15" customHeight="1">
      <c r="B33" s="3"/>
      <c r="C33" s="352" t="str">
        <f>IF(MasterSheet!$A$1=1,MasterSheet!C352,MasterSheet!B352)</f>
        <v>Administrativne takse</v>
      </c>
      <c r="D33" s="261">
        <v>413582.89</v>
      </c>
      <c r="E33" s="262">
        <v>502683.71</v>
      </c>
      <c r="F33" s="294">
        <v>579656.19999999995</v>
      </c>
      <c r="G33" s="294"/>
      <c r="H33" s="294"/>
      <c r="I33" s="294"/>
      <c r="J33" s="294"/>
      <c r="K33" s="294"/>
      <c r="L33" s="294"/>
      <c r="M33" s="294"/>
      <c r="N33" s="324"/>
      <c r="O33" s="353"/>
      <c r="P33" s="448">
        <f t="shared" si="3"/>
        <v>1495922.8</v>
      </c>
      <c r="Q33" s="358"/>
      <c r="R33" s="341"/>
      <c r="S33" s="341"/>
      <c r="T33" s="341"/>
      <c r="U33" s="341"/>
      <c r="V33" s="341"/>
      <c r="W33" s="341"/>
      <c r="X33" s="265">
        <f t="shared" si="4"/>
        <v>4.2546154721274175E-2</v>
      </c>
      <c r="Y33" s="3"/>
      <c r="Z33" s="3"/>
      <c r="AA33" s="3"/>
      <c r="AB33" s="3"/>
      <c r="AC33" s="3"/>
      <c r="AD33" s="3"/>
      <c r="AE33" s="3"/>
      <c r="AF33" s="3"/>
    </row>
    <row r="34" spans="2:32" ht="15" customHeight="1">
      <c r="B34" s="3"/>
      <c r="C34" s="352" t="str">
        <f>IF(MasterSheet!$A$1=1,MasterSheet!C353,MasterSheet!B353)</f>
        <v>Sudske takse</v>
      </c>
      <c r="D34" s="261">
        <v>245212.08</v>
      </c>
      <c r="E34" s="262">
        <v>1313502.6499999999</v>
      </c>
      <c r="F34" s="294">
        <v>318720.94</v>
      </c>
      <c r="G34" s="294"/>
      <c r="H34" s="294"/>
      <c r="I34" s="294"/>
      <c r="J34" s="294"/>
      <c r="K34" s="294"/>
      <c r="L34" s="294"/>
      <c r="M34" s="294"/>
      <c r="N34" s="324"/>
      <c r="O34" s="353"/>
      <c r="P34" s="448">
        <f t="shared" si="3"/>
        <v>1877435.67</v>
      </c>
      <c r="Q34" s="341"/>
      <c r="R34" s="341"/>
      <c r="S34" s="341"/>
      <c r="T34" s="341"/>
      <c r="U34" s="341"/>
      <c r="V34" s="341"/>
      <c r="W34" s="341"/>
      <c r="X34" s="265">
        <f t="shared" si="4"/>
        <v>5.3396918941979517E-2</v>
      </c>
      <c r="Y34" s="3"/>
      <c r="Z34" s="7"/>
      <c r="AA34" s="3"/>
      <c r="AB34" s="3"/>
      <c r="AC34" s="3"/>
      <c r="AD34" s="3"/>
      <c r="AE34" s="3"/>
      <c r="AF34" s="3"/>
    </row>
    <row r="35" spans="2:32" ht="15" customHeight="1">
      <c r="B35" s="3"/>
      <c r="C35" s="352" t="str">
        <f>IF(MasterSheet!$A$1=1,MasterSheet!C354,MasterSheet!B354)</f>
        <v>Boravišne takse</v>
      </c>
      <c r="D35" s="261">
        <v>8119.6</v>
      </c>
      <c r="E35" s="262">
        <v>9491.69</v>
      </c>
      <c r="F35" s="294">
        <v>11037.38</v>
      </c>
      <c r="G35" s="294"/>
      <c r="H35" s="294"/>
      <c r="I35" s="294"/>
      <c r="J35" s="294"/>
      <c r="K35" s="294"/>
      <c r="L35" s="294"/>
      <c r="M35" s="294"/>
      <c r="N35" s="324"/>
      <c r="O35" s="353"/>
      <c r="P35" s="448">
        <f t="shared" si="3"/>
        <v>28648.67</v>
      </c>
      <c r="Q35" s="341"/>
      <c r="R35" s="341"/>
      <c r="S35" s="341"/>
      <c r="T35" s="341"/>
      <c r="U35" s="341"/>
      <c r="V35" s="341"/>
      <c r="W35" s="341"/>
      <c r="X35" s="265">
        <f t="shared" si="4"/>
        <v>8.1480858930602952E-4</v>
      </c>
      <c r="Y35" s="3"/>
      <c r="Z35" s="3"/>
      <c r="AA35" s="3"/>
      <c r="AB35" s="3"/>
      <c r="AC35" s="3"/>
      <c r="AD35" s="3"/>
      <c r="AE35" s="3"/>
      <c r="AF35" s="3"/>
    </row>
    <row r="36" spans="2:32" ht="15" customHeight="1">
      <c r="B36" s="3"/>
      <c r="C36" s="352" t="str">
        <f>IF(MasterSheet!$A$1=1,MasterSheet!C355,MasterSheet!B355)</f>
        <v>Ostale takse</v>
      </c>
      <c r="D36" s="261">
        <v>320295.69</v>
      </c>
      <c r="E36" s="262">
        <v>707844.54</v>
      </c>
      <c r="F36" s="294">
        <v>80579.41</v>
      </c>
      <c r="G36" s="294"/>
      <c r="H36" s="294"/>
      <c r="I36" s="294"/>
      <c r="J36" s="294"/>
      <c r="K36" s="294"/>
      <c r="L36" s="294"/>
      <c r="M36" s="294"/>
      <c r="N36" s="324"/>
      <c r="O36" s="353"/>
      <c r="P36" s="448">
        <f t="shared" si="3"/>
        <v>1108719.6399999999</v>
      </c>
      <c r="Q36" s="341"/>
      <c r="R36" s="341"/>
      <c r="S36" s="341"/>
      <c r="T36" s="341"/>
      <c r="U36" s="341"/>
      <c r="V36" s="341"/>
      <c r="W36" s="341"/>
      <c r="X36" s="265">
        <f t="shared" si="4"/>
        <v>3.1533550625711032E-2</v>
      </c>
      <c r="Y36" s="3"/>
      <c r="Z36" s="3"/>
      <c r="AA36" s="3"/>
      <c r="AB36" s="3"/>
      <c r="AC36" s="3"/>
      <c r="AD36" s="3"/>
      <c r="AE36" s="3"/>
      <c r="AF36" s="3"/>
    </row>
    <row r="37" spans="2:32" ht="15" customHeight="1">
      <c r="B37" s="3"/>
      <c r="C37" s="355" t="str">
        <f>IF(MasterSheet!$A$1=1,MasterSheet!C356,MasterSheet!B356)</f>
        <v>Naknade</v>
      </c>
      <c r="D37" s="267">
        <f t="shared" ref="D37:O37" si="9">SUM(D38:D43)</f>
        <v>1287580.6800000002</v>
      </c>
      <c r="E37" s="269">
        <f t="shared" si="9"/>
        <v>715085.05</v>
      </c>
      <c r="F37" s="268">
        <f t="shared" si="9"/>
        <v>890846.15</v>
      </c>
      <c r="G37" s="268">
        <f t="shared" si="9"/>
        <v>0</v>
      </c>
      <c r="H37" s="268">
        <f t="shared" si="9"/>
        <v>0</v>
      </c>
      <c r="I37" s="268">
        <f t="shared" si="9"/>
        <v>0</v>
      </c>
      <c r="J37" s="268">
        <f t="shared" si="9"/>
        <v>0</v>
      </c>
      <c r="K37" s="268">
        <f t="shared" si="9"/>
        <v>0</v>
      </c>
      <c r="L37" s="268">
        <f t="shared" si="9"/>
        <v>0</v>
      </c>
      <c r="M37" s="268">
        <f t="shared" si="9"/>
        <v>0</v>
      </c>
      <c r="N37" s="415">
        <f t="shared" si="9"/>
        <v>0</v>
      </c>
      <c r="O37" s="356">
        <f t="shared" si="9"/>
        <v>0</v>
      </c>
      <c r="P37" s="449">
        <f t="shared" si="3"/>
        <v>2893511.8800000004</v>
      </c>
      <c r="Q37" s="341"/>
      <c r="R37" s="341"/>
      <c r="S37" s="341"/>
      <c r="T37" s="341"/>
      <c r="U37" s="341"/>
      <c r="V37" s="341"/>
      <c r="W37" s="341"/>
      <c r="X37" s="272">
        <f t="shared" si="4"/>
        <v>8.2295559726962467E-2</v>
      </c>
      <c r="Y37" s="3"/>
      <c r="Z37" s="3"/>
      <c r="AA37" s="3"/>
      <c r="AB37" s="3"/>
      <c r="AC37" s="3"/>
      <c r="AD37" s="3"/>
      <c r="AE37" s="3"/>
      <c r="AF37" s="3"/>
    </row>
    <row r="38" spans="2:32" ht="15" customHeight="1">
      <c r="B38" s="3"/>
      <c r="C38" s="352" t="str">
        <f>IF(MasterSheet!$A$1=1,MasterSheet!C357,MasterSheet!B357)</f>
        <v>Nakn. za koriš. dob. od opš. int.</v>
      </c>
      <c r="D38" s="261">
        <v>11805.07</v>
      </c>
      <c r="E38" s="262">
        <v>13526.36</v>
      </c>
      <c r="F38" s="294">
        <v>13005.58</v>
      </c>
      <c r="G38" s="294"/>
      <c r="H38" s="294"/>
      <c r="I38" s="294"/>
      <c r="J38" s="294"/>
      <c r="K38" s="294"/>
      <c r="L38" s="294"/>
      <c r="M38" s="294"/>
      <c r="N38" s="324"/>
      <c r="O38" s="353"/>
      <c r="P38" s="448">
        <f t="shared" si="3"/>
        <v>38337.01</v>
      </c>
      <c r="Q38" s="341"/>
      <c r="R38" s="341"/>
      <c r="S38" s="341"/>
      <c r="T38" s="341"/>
      <c r="U38" s="341"/>
      <c r="V38" s="341"/>
      <c r="W38" s="341"/>
      <c r="X38" s="265">
        <f t="shared" si="4"/>
        <v>1.0903586461888509E-3</v>
      </c>
      <c r="Y38" s="3"/>
      <c r="Z38" s="3"/>
      <c r="AA38" s="3"/>
      <c r="AB38" s="3"/>
      <c r="AC38" s="3"/>
      <c r="AD38" s="3"/>
      <c r="AE38" s="3"/>
      <c r="AF38" s="3"/>
    </row>
    <row r="39" spans="2:32" ht="15" customHeight="1">
      <c r="B39" s="3"/>
      <c r="C39" s="352" t="str">
        <f>IF(MasterSheet!$A$1=1,MasterSheet!C358,MasterSheet!B358)</f>
        <v>Naknada za kor. prirodnih dobara</v>
      </c>
      <c r="D39" s="261">
        <v>199447.96</v>
      </c>
      <c r="E39" s="262">
        <v>95519.52</v>
      </c>
      <c r="F39" s="294">
        <v>97649.919999999998</v>
      </c>
      <c r="G39" s="294"/>
      <c r="H39" s="294"/>
      <c r="I39" s="294"/>
      <c r="J39" s="294"/>
      <c r="K39" s="294"/>
      <c r="L39" s="294"/>
      <c r="M39" s="294"/>
      <c r="N39" s="324"/>
      <c r="O39" s="353"/>
      <c r="P39" s="448">
        <f t="shared" si="3"/>
        <v>392617.39999999997</v>
      </c>
      <c r="Q39" s="341"/>
      <c r="R39" s="341"/>
      <c r="S39" s="341"/>
      <c r="T39" s="341"/>
      <c r="U39" s="341"/>
      <c r="V39" s="341"/>
      <c r="W39" s="341"/>
      <c r="X39" s="265">
        <f t="shared" si="4"/>
        <v>1.1166592718998862E-2</v>
      </c>
      <c r="Y39" s="3"/>
      <c r="Z39" s="3"/>
      <c r="AA39" s="3"/>
      <c r="AB39" s="3"/>
      <c r="AC39" s="3"/>
      <c r="AD39" s="3"/>
      <c r="AE39" s="3"/>
      <c r="AF39" s="3"/>
    </row>
    <row r="40" spans="2:32" ht="15" customHeight="1">
      <c r="B40" s="3"/>
      <c r="C40" s="352" t="str">
        <f>IF(MasterSheet!$A$1=1,MasterSheet!C359,MasterSheet!B359)</f>
        <v>Ekološke naknade</v>
      </c>
      <c r="D40" s="261">
        <v>1060.0899999999999</v>
      </c>
      <c r="E40" s="262">
        <v>375.97</v>
      </c>
      <c r="F40" s="294">
        <v>13202.22</v>
      </c>
      <c r="G40" s="294"/>
      <c r="H40" s="294"/>
      <c r="I40" s="294"/>
      <c r="J40" s="294"/>
      <c r="K40" s="294"/>
      <c r="L40" s="294"/>
      <c r="M40" s="294"/>
      <c r="N40" s="324"/>
      <c r="O40" s="353"/>
      <c r="P40" s="448">
        <f t="shared" si="3"/>
        <v>14638.279999999999</v>
      </c>
      <c r="Q40" s="341"/>
      <c r="R40" s="341"/>
      <c r="S40" s="341"/>
      <c r="T40" s="341"/>
      <c r="U40" s="341"/>
      <c r="V40" s="341"/>
      <c r="W40" s="341"/>
      <c r="X40" s="265">
        <f t="shared" si="4"/>
        <v>4.1633333333333328E-4</v>
      </c>
      <c r="Y40" s="3"/>
      <c r="Z40" s="3"/>
      <c r="AA40" s="3"/>
      <c r="AB40" s="3"/>
      <c r="AC40" s="3"/>
      <c r="AD40" s="3"/>
      <c r="AE40" s="3"/>
      <c r="AF40" s="3"/>
    </row>
    <row r="41" spans="2:32" ht="15" customHeight="1">
      <c r="B41" s="3"/>
      <c r="C41" s="352" t="str">
        <f>IF(MasterSheet!$A$1=1,MasterSheet!C360,MasterSheet!B360)</f>
        <v>Naknade za priređ.  igara na sreću</v>
      </c>
      <c r="D41" s="261">
        <v>353041.95</v>
      </c>
      <c r="E41" s="262">
        <v>346116.13</v>
      </c>
      <c r="F41" s="294">
        <v>387159.84</v>
      </c>
      <c r="G41" s="294"/>
      <c r="H41" s="294"/>
      <c r="I41" s="294"/>
      <c r="J41" s="294"/>
      <c r="K41" s="294"/>
      <c r="L41" s="294"/>
      <c r="M41" s="294"/>
      <c r="N41" s="324"/>
      <c r="O41" s="353"/>
      <c r="P41" s="448">
        <f t="shared" si="3"/>
        <v>1086317.9200000002</v>
      </c>
      <c r="Q41" s="341"/>
      <c r="R41" s="341"/>
      <c r="S41" s="341"/>
      <c r="T41" s="341"/>
      <c r="U41" s="341"/>
      <c r="V41" s="341"/>
      <c r="W41" s="341"/>
      <c r="X41" s="265">
        <f t="shared" si="4"/>
        <v>3.0896414106939711E-2</v>
      </c>
      <c r="Y41" s="3"/>
      <c r="Z41" s="3"/>
      <c r="AA41" s="3"/>
      <c r="AB41" s="3"/>
      <c r="AC41" s="3"/>
      <c r="AD41" s="3"/>
      <c r="AE41" s="3"/>
      <c r="AF41" s="3"/>
    </row>
    <row r="42" spans="2:32" ht="15" customHeight="1">
      <c r="B42" s="3"/>
      <c r="C42" s="352" t="str">
        <f>IF(MasterSheet!$A$1=1,MasterSheet!C361,MasterSheet!B361)</f>
        <v>Naknade za puteve</v>
      </c>
      <c r="D42" s="359">
        <v>125915.12</v>
      </c>
      <c r="E42" s="544">
        <v>108356.37</v>
      </c>
      <c r="F42" s="360">
        <v>205665.12</v>
      </c>
      <c r="G42" s="360"/>
      <c r="H42" s="360"/>
      <c r="I42" s="360"/>
      <c r="J42" s="360"/>
      <c r="K42" s="360"/>
      <c r="L42" s="360"/>
      <c r="M42" s="360"/>
      <c r="N42" s="416"/>
      <c r="O42" s="353"/>
      <c r="P42" s="450">
        <f t="shared" si="3"/>
        <v>439936.61</v>
      </c>
      <c r="Q42" s="341"/>
      <c r="R42" s="341"/>
      <c r="S42" s="341"/>
      <c r="T42" s="341"/>
      <c r="U42" s="341"/>
      <c r="V42" s="341"/>
      <c r="W42" s="341"/>
      <c r="X42" s="265">
        <f t="shared" si="4"/>
        <v>1.2512417804323094E-2</v>
      </c>
      <c r="Y42" s="3"/>
      <c r="Z42" s="3"/>
      <c r="AA42" s="3"/>
      <c r="AB42" s="3"/>
      <c r="AC42" s="3"/>
      <c r="AD42" s="3"/>
      <c r="AE42" s="3"/>
      <c r="AF42" s="3"/>
    </row>
    <row r="43" spans="2:32" ht="15" customHeight="1">
      <c r="B43" s="3"/>
      <c r="C43" s="352" t="str">
        <f>IF(MasterSheet!$A$1=1,MasterSheet!C362,MasterSheet!B362)</f>
        <v>Ostale naknade</v>
      </c>
      <c r="D43" s="261">
        <v>596310.49</v>
      </c>
      <c r="E43" s="262">
        <v>151190.70000000001</v>
      </c>
      <c r="F43" s="294">
        <v>174163.47</v>
      </c>
      <c r="G43" s="294"/>
      <c r="H43" s="294"/>
      <c r="I43" s="294"/>
      <c r="J43" s="294"/>
      <c r="K43" s="294"/>
      <c r="L43" s="294"/>
      <c r="M43" s="294"/>
      <c r="N43" s="324"/>
      <c r="O43" s="353"/>
      <c r="P43" s="448">
        <f t="shared" si="3"/>
        <v>921664.65999999992</v>
      </c>
      <c r="Q43" s="341"/>
      <c r="R43" s="341"/>
      <c r="S43" s="341"/>
      <c r="T43" s="341"/>
      <c r="U43" s="341"/>
      <c r="V43" s="341"/>
      <c r="W43" s="341"/>
      <c r="X43" s="265">
        <f t="shared" si="4"/>
        <v>2.6213443117178614E-2</v>
      </c>
      <c r="Y43" s="3"/>
      <c r="Z43" s="3"/>
      <c r="AA43" s="3"/>
      <c r="AB43" s="3"/>
      <c r="AC43" s="3"/>
      <c r="AD43" s="3"/>
      <c r="AE43" s="3"/>
      <c r="AF43" s="3"/>
    </row>
    <row r="44" spans="2:32" ht="15" customHeight="1">
      <c r="B44" s="3"/>
      <c r="C44" s="355" t="str">
        <f>IF(MasterSheet!$A$1=1,MasterSheet!C363,MasterSheet!B363)</f>
        <v>Ostali prihodi</v>
      </c>
      <c r="D44" s="267">
        <f t="shared" ref="D44:N44" si="10">SUM(D45:D48)</f>
        <v>2213002.4900000002</v>
      </c>
      <c r="E44" s="269">
        <f t="shared" si="10"/>
        <v>1441044.81</v>
      </c>
      <c r="F44" s="268">
        <f t="shared" si="10"/>
        <v>1627786.63</v>
      </c>
      <c r="G44" s="268">
        <f t="shared" si="10"/>
        <v>0</v>
      </c>
      <c r="H44" s="268">
        <f t="shared" si="10"/>
        <v>0</v>
      </c>
      <c r="I44" s="268">
        <f t="shared" si="10"/>
        <v>0</v>
      </c>
      <c r="J44" s="268">
        <f t="shared" si="10"/>
        <v>0</v>
      </c>
      <c r="K44" s="268">
        <f t="shared" si="10"/>
        <v>0</v>
      </c>
      <c r="L44" s="268">
        <f t="shared" si="10"/>
        <v>0</v>
      </c>
      <c r="M44" s="268">
        <f t="shared" si="10"/>
        <v>0</v>
      </c>
      <c r="N44" s="415">
        <f t="shared" si="10"/>
        <v>0</v>
      </c>
      <c r="O44" s="429">
        <f t="shared" ref="O44" si="11">+SUM(O45:O48)</f>
        <v>0</v>
      </c>
      <c r="P44" s="449">
        <f t="shared" si="3"/>
        <v>5281833.93</v>
      </c>
      <c r="Q44" s="341"/>
      <c r="R44" s="341"/>
      <c r="S44" s="341"/>
      <c r="T44" s="341"/>
      <c r="U44" s="341"/>
      <c r="V44" s="341"/>
      <c r="W44" s="341"/>
      <c r="X44" s="272">
        <f t="shared" si="4"/>
        <v>0.15022280802047783</v>
      </c>
      <c r="Y44" s="3"/>
      <c r="Z44" s="3"/>
      <c r="AA44" s="3"/>
      <c r="AB44" s="3"/>
      <c r="AC44" s="3"/>
      <c r="AD44" s="3"/>
      <c r="AE44" s="3"/>
      <c r="AF44" s="3"/>
    </row>
    <row r="45" spans="2:32" ht="15" customHeight="1">
      <c r="B45" s="3"/>
      <c r="C45" s="352" t="str">
        <f>IF(MasterSheet!$A$1=1,MasterSheet!C364,MasterSheet!B364)</f>
        <v>Prihodi od kapitala</v>
      </c>
      <c r="D45" s="261">
        <v>790825.37</v>
      </c>
      <c r="E45" s="262">
        <v>6808.18</v>
      </c>
      <c r="F45" s="294">
        <v>28429.95</v>
      </c>
      <c r="G45" s="294"/>
      <c r="H45" s="294"/>
      <c r="I45" s="294"/>
      <c r="J45" s="294"/>
      <c r="K45" s="294"/>
      <c r="L45" s="294"/>
      <c r="M45" s="294"/>
      <c r="N45" s="324"/>
      <c r="O45" s="353"/>
      <c r="P45" s="448">
        <f t="shared" si="3"/>
        <v>826063.5</v>
      </c>
      <c r="Q45" s="341"/>
      <c r="R45" s="341"/>
      <c r="S45" s="341"/>
      <c r="T45" s="341"/>
      <c r="U45" s="341"/>
      <c r="V45" s="341"/>
      <c r="W45" s="341"/>
      <c r="X45" s="265">
        <f t="shared" si="4"/>
        <v>2.3494411262798633E-2</v>
      </c>
      <c r="Y45" s="3"/>
      <c r="Z45" s="3"/>
      <c r="AA45" s="3"/>
      <c r="AB45" s="3"/>
      <c r="AC45" s="3"/>
      <c r="AD45" s="3"/>
      <c r="AE45" s="3"/>
      <c r="AF45" s="3"/>
    </row>
    <row r="46" spans="2:32" ht="15" customHeight="1">
      <c r="B46" s="3"/>
      <c r="C46" s="352" t="str">
        <f>IF(MasterSheet!$A$1=1,MasterSheet!C365,MasterSheet!B365)</f>
        <v>Novčane kazne i oduzete imovinske koristi</v>
      </c>
      <c r="D46" s="261">
        <v>656458.4</v>
      </c>
      <c r="E46" s="262">
        <v>837985.98</v>
      </c>
      <c r="F46" s="294">
        <v>970016.33</v>
      </c>
      <c r="G46" s="294"/>
      <c r="H46" s="294"/>
      <c r="I46" s="294"/>
      <c r="J46" s="294"/>
      <c r="K46" s="294"/>
      <c r="L46" s="294"/>
      <c r="M46" s="294"/>
      <c r="N46" s="324"/>
      <c r="O46" s="353"/>
      <c r="P46" s="448">
        <f t="shared" si="3"/>
        <v>2464460.71</v>
      </c>
      <c r="Q46" s="341"/>
      <c r="R46" s="341"/>
      <c r="S46" s="341"/>
      <c r="T46" s="341"/>
      <c r="U46" s="341"/>
      <c r="V46" s="341"/>
      <c r="W46" s="341"/>
      <c r="X46" s="265">
        <f t="shared" si="4"/>
        <v>7.0092739192263942E-2</v>
      </c>
      <c r="Y46" s="3"/>
      <c r="Z46" s="3"/>
      <c r="AA46" s="3"/>
      <c r="AB46" s="3"/>
      <c r="AC46" s="3"/>
      <c r="AD46" s="3"/>
      <c r="AE46" s="3"/>
      <c r="AF46" s="3"/>
    </row>
    <row r="47" spans="2:32" ht="15" customHeight="1">
      <c r="B47" s="3"/>
      <c r="C47" s="352" t="str">
        <f>IF(MasterSheet!$A$1=1,MasterSheet!C366,MasterSheet!B366)</f>
        <v>Prihodi koje organi ostvaruju vršenjem svoje djel.</v>
      </c>
      <c r="D47" s="261">
        <v>109376.37</v>
      </c>
      <c r="E47" s="262">
        <v>160251.59</v>
      </c>
      <c r="F47" s="294">
        <v>171488.41</v>
      </c>
      <c r="G47" s="294"/>
      <c r="H47" s="294"/>
      <c r="I47" s="294"/>
      <c r="J47" s="294"/>
      <c r="K47" s="294"/>
      <c r="L47" s="294"/>
      <c r="M47" s="294"/>
      <c r="N47" s="324"/>
      <c r="O47" s="353"/>
      <c r="P47" s="448">
        <f t="shared" si="3"/>
        <v>441116.37</v>
      </c>
      <c r="Q47" s="341"/>
      <c r="R47" s="341"/>
      <c r="S47" s="341"/>
      <c r="T47" s="341"/>
      <c r="U47" s="341"/>
      <c r="V47" s="341"/>
      <c r="W47" s="341"/>
      <c r="X47" s="265">
        <f t="shared" si="4"/>
        <v>1.2545971843003413E-2</v>
      </c>
      <c r="Y47" s="3"/>
      <c r="Z47" s="3"/>
      <c r="AA47" s="3"/>
      <c r="AB47" s="3"/>
      <c r="AC47" s="3"/>
      <c r="AD47" s="3"/>
      <c r="AE47" s="3"/>
      <c r="AF47" s="3"/>
    </row>
    <row r="48" spans="2:32">
      <c r="B48" s="3"/>
      <c r="C48" s="352" t="str">
        <f>IF(MasterSheet!$A$1=1,MasterSheet!C367,MasterSheet!B367)</f>
        <v>Ostali prihodi</v>
      </c>
      <c r="D48" s="261">
        <v>656342.35</v>
      </c>
      <c r="E48" s="262">
        <v>435999.06</v>
      </c>
      <c r="F48" s="294">
        <v>457851.94</v>
      </c>
      <c r="G48" s="294"/>
      <c r="H48" s="294"/>
      <c r="I48" s="294"/>
      <c r="J48" s="294"/>
      <c r="K48" s="294"/>
      <c r="L48" s="294"/>
      <c r="M48" s="294"/>
      <c r="N48" s="324"/>
      <c r="O48" s="353"/>
      <c r="P48" s="448">
        <f t="shared" si="3"/>
        <v>1550193.3499999999</v>
      </c>
      <c r="Q48" s="341"/>
      <c r="R48" s="341"/>
      <c r="S48" s="341"/>
      <c r="T48" s="341"/>
      <c r="U48" s="341"/>
      <c r="V48" s="341"/>
      <c r="W48" s="341"/>
      <c r="X48" s="265">
        <f t="shared" si="4"/>
        <v>4.4089685722411828E-2</v>
      </c>
      <c r="Y48" s="3"/>
      <c r="Z48" s="3"/>
      <c r="AA48" s="3"/>
      <c r="AB48" s="3"/>
      <c r="AC48" s="3"/>
      <c r="AD48" s="3"/>
      <c r="AE48" s="3"/>
      <c r="AF48" s="3"/>
    </row>
    <row r="49" spans="1:32" ht="31.5" customHeight="1" thickBot="1">
      <c r="B49" s="3"/>
      <c r="C49" s="362" t="str">
        <f>IF(MasterSheet!$A$1=1,MasterSheet!C368,MasterSheet!B368)</f>
        <v>Primici od otplate kredita i sredstva prenijeta iz prethodne godine</v>
      </c>
      <c r="D49" s="276">
        <v>145969.23000000001</v>
      </c>
      <c r="E49" s="278">
        <v>107462.68</v>
      </c>
      <c r="F49" s="277">
        <v>292731.87</v>
      </c>
      <c r="G49" s="277"/>
      <c r="H49" s="277"/>
      <c r="I49" s="277"/>
      <c r="J49" s="277"/>
      <c r="K49" s="277"/>
      <c r="L49" s="277"/>
      <c r="M49" s="363"/>
      <c r="N49" s="279"/>
      <c r="O49" s="364"/>
      <c r="P49" s="449">
        <f t="shared" si="3"/>
        <v>546163.78</v>
      </c>
      <c r="Q49" s="341"/>
      <c r="R49" s="365"/>
      <c r="S49" s="365"/>
      <c r="T49" s="365"/>
      <c r="U49" s="341"/>
      <c r="V49" s="341"/>
      <c r="W49" s="341"/>
      <c r="X49" s="293">
        <f t="shared" si="4"/>
        <v>1.5533668373151309E-2</v>
      </c>
      <c r="Y49" s="3"/>
      <c r="Z49" s="3"/>
      <c r="AA49" s="3"/>
      <c r="AB49" s="3"/>
      <c r="AC49" s="3"/>
      <c r="AD49" s="3"/>
      <c r="AE49" s="3"/>
      <c r="AF49" s="3"/>
    </row>
    <row r="50" spans="1:32" ht="14.25" thickTop="1" thickBot="1">
      <c r="B50" s="3"/>
      <c r="C50" s="344" t="str">
        <f>IF(MasterSheet!$A$1=1,MasterSheet!C369,MasterSheet!B369)</f>
        <v>Izdaci</v>
      </c>
      <c r="D50" s="366">
        <f>+D52+D67+D73+SUM(D80:D84)</f>
        <v>94324014.019999996</v>
      </c>
      <c r="E50" s="394">
        <f t="shared" ref="E50:O50" si="12">+E52+E67+E73+SUM(E80:E84)</f>
        <v>88928613.660000041</v>
      </c>
      <c r="F50" s="366">
        <f t="shared" si="12"/>
        <v>118427606.67570575</v>
      </c>
      <c r="G50" s="366">
        <f t="shared" si="12"/>
        <v>0</v>
      </c>
      <c r="H50" s="366">
        <f t="shared" si="12"/>
        <v>0</v>
      </c>
      <c r="I50" s="366">
        <f t="shared" si="12"/>
        <v>0</v>
      </c>
      <c r="J50" s="366">
        <f t="shared" si="12"/>
        <v>0</v>
      </c>
      <c r="K50" s="366">
        <f t="shared" si="12"/>
        <v>0</v>
      </c>
      <c r="L50" s="366">
        <f t="shared" si="12"/>
        <v>0</v>
      </c>
      <c r="M50" s="366">
        <f t="shared" si="12"/>
        <v>0</v>
      </c>
      <c r="N50" s="367">
        <f t="shared" si="12"/>
        <v>0</v>
      </c>
      <c r="O50" s="430">
        <f t="shared" si="12"/>
        <v>0</v>
      </c>
      <c r="P50" s="446">
        <f>+SUM(D50:O50)</f>
        <v>301680234.3557058</v>
      </c>
      <c r="Q50" s="250">
        <v>113729902.45999995</v>
      </c>
      <c r="R50" s="250">
        <f>+P50+Q50</f>
        <v>415410136.81570578</v>
      </c>
      <c r="S50" s="250">
        <f>+'2013 - plan'!D51+'2013 - plan'!E51+'2013 - plan'!F51</f>
        <v>314350240.43000001</v>
      </c>
      <c r="T50" s="562">
        <f>+R50-S50</f>
        <v>101059896.38570577</v>
      </c>
      <c r="U50" s="563"/>
      <c r="V50" s="563"/>
      <c r="W50" s="563">
        <f>286.98-30.35</f>
        <v>256.63</v>
      </c>
      <c r="X50" s="251">
        <f t="shared" si="4"/>
        <v>8.5802114435638739</v>
      </c>
      <c r="Y50" s="3"/>
      <c r="Z50" s="3"/>
      <c r="AA50" s="3"/>
      <c r="AB50" s="3"/>
      <c r="AC50" s="3"/>
      <c r="AD50" s="3"/>
      <c r="AE50" s="3"/>
      <c r="AF50" s="3"/>
    </row>
    <row r="51" spans="1:32" ht="14.25" thickTop="1" thickBot="1">
      <c r="B51" s="3"/>
      <c r="C51" s="344" t="str">
        <f>IF(MasterSheet!$A$1=1,MasterSheet!C370,MasterSheet!B370)</f>
        <v>Tekuća budžetska potrošnja</v>
      </c>
      <c r="D51" s="366">
        <f>+D50-D80</f>
        <v>92663032.339999989</v>
      </c>
      <c r="E51" s="394">
        <f t="shared" ref="E51:O51" si="13">+E50-E80</f>
        <v>88222039.180000037</v>
      </c>
      <c r="F51" s="366">
        <f t="shared" si="13"/>
        <v>112226958.04570575</v>
      </c>
      <c r="G51" s="366">
        <f t="shared" si="13"/>
        <v>0</v>
      </c>
      <c r="H51" s="366">
        <f t="shared" si="13"/>
        <v>0</v>
      </c>
      <c r="I51" s="366">
        <f t="shared" si="13"/>
        <v>0</v>
      </c>
      <c r="J51" s="366">
        <f t="shared" si="13"/>
        <v>0</v>
      </c>
      <c r="K51" s="366">
        <f t="shared" si="13"/>
        <v>0</v>
      </c>
      <c r="L51" s="366">
        <f t="shared" si="13"/>
        <v>0</v>
      </c>
      <c r="M51" s="366">
        <f t="shared" si="13"/>
        <v>0</v>
      </c>
      <c r="N51" s="367">
        <f t="shared" si="13"/>
        <v>0</v>
      </c>
      <c r="O51" s="430">
        <f t="shared" si="13"/>
        <v>0</v>
      </c>
      <c r="P51" s="446">
        <f t="shared" ref="P51:P97" si="14">+SUM(D51:O51)</f>
        <v>293112029.56570578</v>
      </c>
      <c r="Q51" s="250">
        <v>109307661.20999995</v>
      </c>
      <c r="R51" s="250">
        <f t="shared" ref="R51:R83" si="15">+P51+Q51</f>
        <v>402419690.7757057</v>
      </c>
      <c r="S51" s="250">
        <f>+'2013 - plan'!D52+'2013 - plan'!E52+'2013 - plan'!F52</f>
        <v>297940490.42000002</v>
      </c>
      <c r="T51" s="562">
        <f t="shared" ref="T51:T82" si="16">+R51-S51</f>
        <v>104479200.35570568</v>
      </c>
      <c r="U51" s="563"/>
      <c r="V51" s="563"/>
      <c r="W51" s="563"/>
      <c r="X51" s="251">
        <f t="shared" si="4"/>
        <v>8.3365196122214371</v>
      </c>
      <c r="Y51" s="3"/>
      <c r="Z51" s="3"/>
      <c r="AA51" s="3"/>
      <c r="AB51" s="3"/>
      <c r="AC51" s="3"/>
      <c r="AD51" s="3"/>
      <c r="AE51" s="3"/>
      <c r="AF51" s="3"/>
    </row>
    <row r="52" spans="1:32" ht="13.5" thickTop="1">
      <c r="B52" s="3"/>
      <c r="C52" s="355" t="str">
        <f>IF(MasterSheet!$A$1=1,MasterSheet!C371,MasterSheet!B371)</f>
        <v>Tekući izdaci</v>
      </c>
      <c r="D52" s="397">
        <f>+D53+SUM(D59:D66)</f>
        <v>42218152.969999991</v>
      </c>
      <c r="E52" s="545">
        <f t="shared" ref="E52:O52" si="17">+E53+SUM(E59:E66)</f>
        <v>41127548.800000034</v>
      </c>
      <c r="F52" s="370">
        <f t="shared" si="17"/>
        <v>52034698.195705727</v>
      </c>
      <c r="G52" s="370">
        <f t="shared" si="17"/>
        <v>0</v>
      </c>
      <c r="H52" s="370">
        <f t="shared" si="17"/>
        <v>0</v>
      </c>
      <c r="I52" s="370">
        <f t="shared" si="17"/>
        <v>0</v>
      </c>
      <c r="J52" s="370">
        <f t="shared" si="17"/>
        <v>0</v>
      </c>
      <c r="K52" s="370">
        <f t="shared" si="17"/>
        <v>0</v>
      </c>
      <c r="L52" s="370">
        <f t="shared" si="17"/>
        <v>0</v>
      </c>
      <c r="M52" s="370">
        <f t="shared" si="17"/>
        <v>0</v>
      </c>
      <c r="N52" s="417">
        <f t="shared" si="17"/>
        <v>0</v>
      </c>
      <c r="O52" s="376">
        <f t="shared" si="17"/>
        <v>0</v>
      </c>
      <c r="P52" s="451">
        <f t="shared" si="14"/>
        <v>135380399.96570575</v>
      </c>
      <c r="Q52" s="289">
        <v>56546402.069999963</v>
      </c>
      <c r="R52" s="289">
        <f t="shared" si="15"/>
        <v>191926802.03570572</v>
      </c>
      <c r="S52" s="289">
        <f>+'2013 - plan'!D53+'2013 - plan'!E53+'2013 - plan'!F53</f>
        <v>147883117.22</v>
      </c>
      <c r="T52" s="516">
        <f t="shared" si="16"/>
        <v>44043684.815705717</v>
      </c>
      <c r="U52" s="260"/>
      <c r="V52" s="260"/>
      <c r="W52" s="260"/>
      <c r="X52" s="290">
        <f t="shared" si="4"/>
        <v>3.8504095553386164</v>
      </c>
      <c r="Y52" s="3"/>
      <c r="Z52" s="3"/>
      <c r="AA52" s="3"/>
      <c r="AB52" s="3"/>
      <c r="AC52" s="3"/>
      <c r="AD52" s="3"/>
      <c r="AE52" s="3"/>
      <c r="AF52" s="3"/>
    </row>
    <row r="53" spans="1:32" s="2" customFormat="1">
      <c r="A53" s="3"/>
      <c r="C53" s="373" t="str">
        <f>IF(MasterSheet!$A$1=1,MasterSheet!C372,MasterSheet!B372)</f>
        <v>Bruto zarade i doprinosi na teret poslodavca</v>
      </c>
      <c r="D53" s="398">
        <f>+SUM(D54:D58)</f>
        <v>31746411.439999994</v>
      </c>
      <c r="E53" s="372">
        <f t="shared" ref="E53:O53" si="18">+SUM(E54:E58)</f>
        <v>31984738.93000003</v>
      </c>
      <c r="F53" s="375">
        <f t="shared" si="18"/>
        <v>31531809.965705734</v>
      </c>
      <c r="G53" s="375">
        <f t="shared" si="18"/>
        <v>0</v>
      </c>
      <c r="H53" s="375">
        <f t="shared" si="18"/>
        <v>0</v>
      </c>
      <c r="I53" s="375">
        <f t="shared" si="18"/>
        <v>0</v>
      </c>
      <c r="J53" s="375">
        <f t="shared" si="18"/>
        <v>0</v>
      </c>
      <c r="K53" s="375">
        <f t="shared" si="18"/>
        <v>0</v>
      </c>
      <c r="L53" s="375">
        <f t="shared" si="18"/>
        <v>0</v>
      </c>
      <c r="M53" s="375">
        <f t="shared" si="18"/>
        <v>0</v>
      </c>
      <c r="N53" s="418">
        <f t="shared" si="18"/>
        <v>0</v>
      </c>
      <c r="O53" s="376">
        <f t="shared" si="18"/>
        <v>0</v>
      </c>
      <c r="P53" s="451">
        <f t="shared" si="14"/>
        <v>95262960.335705757</v>
      </c>
      <c r="Q53" s="377">
        <v>38511985.289999969</v>
      </c>
      <c r="R53" s="377">
        <f t="shared" si="15"/>
        <v>133774945.62570572</v>
      </c>
      <c r="S53" s="377">
        <f>+'2013 - plan'!D54+'2013 - plan'!E54+'2013 - plan'!F54</f>
        <v>93032152.929999992</v>
      </c>
      <c r="T53" s="560">
        <f t="shared" si="16"/>
        <v>40742792.695705727</v>
      </c>
      <c r="U53" s="561"/>
      <c r="V53" s="561"/>
      <c r="W53" s="561"/>
      <c r="X53" s="293">
        <f t="shared" si="4"/>
        <v>2.7094129788312218</v>
      </c>
      <c r="Z53" s="3"/>
      <c r="AA53" s="3"/>
      <c r="AB53" s="3"/>
      <c r="AC53" s="3"/>
      <c r="AD53" s="3"/>
      <c r="AE53" s="3"/>
      <c r="AF53" s="3"/>
    </row>
    <row r="54" spans="1:32">
      <c r="B54" s="3"/>
      <c r="C54" s="352" t="str">
        <f>IF(MasterSheet!$A$1=1,MasterSheet!C373,MasterSheet!B373)</f>
        <v>Neto zarade</v>
      </c>
      <c r="D54" s="555">
        <v>18808221.599999994</v>
      </c>
      <c r="E54" s="262">
        <v>19000610.94000002</v>
      </c>
      <c r="F54" s="294">
        <v>18681080.550000012</v>
      </c>
      <c r="G54" s="294"/>
      <c r="H54" s="294"/>
      <c r="I54" s="294"/>
      <c r="J54" s="294"/>
      <c r="K54" s="294"/>
      <c r="L54" s="294"/>
      <c r="M54" s="294"/>
      <c r="N54" s="324"/>
      <c r="O54" s="330"/>
      <c r="P54" s="448">
        <f t="shared" si="14"/>
        <v>56489913.090000026</v>
      </c>
      <c r="Q54" s="295">
        <v>22436323.329999987</v>
      </c>
      <c r="R54" s="295">
        <f t="shared" si="15"/>
        <v>78926236.420000017</v>
      </c>
      <c r="S54" s="295">
        <f>+'2013 - plan'!D55+'2013 - plan'!E55+'2013 - plan'!F55</f>
        <v>55374640.199999996</v>
      </c>
      <c r="T54" s="516">
        <f t="shared" si="16"/>
        <v>23551596.220000021</v>
      </c>
      <c r="U54" s="260"/>
      <c r="V54" s="260"/>
      <c r="W54" s="260"/>
      <c r="X54" s="296">
        <f t="shared" si="4"/>
        <v>1.6066528182593864</v>
      </c>
      <c r="Y54" s="3"/>
      <c r="Z54" s="3"/>
      <c r="AA54" s="3"/>
      <c r="AB54" s="3"/>
      <c r="AC54" s="3"/>
      <c r="AD54" s="3"/>
      <c r="AE54" s="3"/>
      <c r="AF54" s="3"/>
    </row>
    <row r="55" spans="1:32">
      <c r="B55" s="3"/>
      <c r="C55" s="352" t="str">
        <f>IF(MasterSheet!$A$1=1,MasterSheet!C374,MasterSheet!B374)</f>
        <v>Porez na zarade</v>
      </c>
      <c r="D55" s="555">
        <v>2675264.7499999986</v>
      </c>
      <c r="E55" s="262">
        <v>2705751.1999999997</v>
      </c>
      <c r="F55" s="294">
        <v>2657180.3198727532</v>
      </c>
      <c r="G55" s="294"/>
      <c r="H55" s="294"/>
      <c r="I55" s="294"/>
      <c r="J55" s="294"/>
      <c r="K55" s="294"/>
      <c r="L55" s="294"/>
      <c r="M55" s="294"/>
      <c r="N55" s="324"/>
      <c r="O55" s="330"/>
      <c r="P55" s="448">
        <f t="shared" si="14"/>
        <v>8038196.2698727511</v>
      </c>
      <c r="Q55" s="295">
        <v>3349675.4600000009</v>
      </c>
      <c r="R55" s="295">
        <f t="shared" si="15"/>
        <v>11387871.729872752</v>
      </c>
      <c r="S55" s="295">
        <f>+'2013 - plan'!D56+'2013 - plan'!E56+'2013 - plan'!F56</f>
        <v>7481364.75</v>
      </c>
      <c r="T55" s="516">
        <f t="shared" si="16"/>
        <v>3906506.979872752</v>
      </c>
      <c r="U55" s="260"/>
      <c r="V55" s="260"/>
      <c r="W55" s="260"/>
      <c r="X55" s="296">
        <f t="shared" si="4"/>
        <v>0.22861764135019202</v>
      </c>
      <c r="Y55" s="3"/>
      <c r="Z55" s="3"/>
      <c r="AA55" s="3"/>
      <c r="AB55" s="3"/>
      <c r="AC55" s="3"/>
      <c r="AD55" s="3"/>
      <c r="AE55" s="3"/>
      <c r="AF55" s="3"/>
    </row>
    <row r="56" spans="1:32">
      <c r="B56" s="3"/>
      <c r="C56" s="352" t="str">
        <f>IF(MasterSheet!$A$1=1,MasterSheet!C375,MasterSheet!B375)</f>
        <v>Doprinosi na teret zaposlenog</v>
      </c>
      <c r="D56" s="555">
        <v>6537985.2499999963</v>
      </c>
      <c r="E56" s="262">
        <v>6565570.8700000038</v>
      </c>
      <c r="F56" s="294">
        <v>6493789.3484816197</v>
      </c>
      <c r="G56" s="294"/>
      <c r="H56" s="294"/>
      <c r="I56" s="294"/>
      <c r="J56" s="294"/>
      <c r="K56" s="294"/>
      <c r="L56" s="294"/>
      <c r="M56" s="294"/>
      <c r="N56" s="324"/>
      <c r="O56" s="330"/>
      <c r="P56" s="448">
        <f t="shared" si="14"/>
        <v>19597345.468481623</v>
      </c>
      <c r="Q56" s="295">
        <v>8045126.2099999925</v>
      </c>
      <c r="R56" s="295">
        <f t="shared" si="15"/>
        <v>27642471.678481616</v>
      </c>
      <c r="S56" s="295">
        <f>+'2013 - plan'!D57+'2013 - plan'!E57+'2013 - plan'!F57</f>
        <v>19000048.140000001</v>
      </c>
      <c r="T56" s="516">
        <f t="shared" si="16"/>
        <v>8642423.5384816155</v>
      </c>
      <c r="U56" s="260"/>
      <c r="V56" s="260"/>
      <c r="W56" s="260"/>
      <c r="X56" s="296">
        <f t="shared" si="4"/>
        <v>0.55737615098070603</v>
      </c>
      <c r="Y56" s="3"/>
      <c r="Z56" s="3"/>
      <c r="AA56" s="3"/>
      <c r="AB56" s="3"/>
      <c r="AC56" s="3"/>
      <c r="AD56" s="3"/>
      <c r="AE56" s="3"/>
      <c r="AF56" s="3"/>
    </row>
    <row r="57" spans="1:32">
      <c r="B57" s="3"/>
      <c r="C57" s="352" t="str">
        <f>IF(MasterSheet!$A$1=1,MasterSheet!C376,MasterSheet!B376)</f>
        <v>Doprinosi na teret poslodavca</v>
      </c>
      <c r="D57" s="555">
        <v>3348368.9900000044</v>
      </c>
      <c r="E57" s="262">
        <v>3600953.8300000066</v>
      </c>
      <c r="F57" s="294">
        <v>3325734.465682406</v>
      </c>
      <c r="G57" s="294"/>
      <c r="H57" s="294"/>
      <c r="I57" s="294"/>
      <c r="J57" s="294"/>
      <c r="K57" s="294"/>
      <c r="L57" s="294"/>
      <c r="M57" s="294"/>
      <c r="N57" s="324"/>
      <c r="O57" s="330"/>
      <c r="P57" s="448">
        <f t="shared" si="14"/>
        <v>10275057.285682417</v>
      </c>
      <c r="Q57" s="295">
        <v>4309106.8499999968</v>
      </c>
      <c r="R57" s="295">
        <f t="shared" si="15"/>
        <v>14584164.135682415</v>
      </c>
      <c r="S57" s="295">
        <f>+'2013 - plan'!D58+'2013 - plan'!E58+'2013 - plan'!F58</f>
        <v>10099422.940000001</v>
      </c>
      <c r="T57" s="516">
        <f t="shared" si="16"/>
        <v>4484741.1956824139</v>
      </c>
      <c r="U57" s="260"/>
      <c r="V57" s="260"/>
      <c r="W57" s="260"/>
      <c r="X57" s="296">
        <f t="shared" si="4"/>
        <v>0.2922371241661666</v>
      </c>
      <c r="Y57" s="3"/>
      <c r="Z57" s="3"/>
      <c r="AA57" s="3"/>
      <c r="AB57" s="3"/>
      <c r="AC57" s="3"/>
      <c r="AD57" s="3"/>
      <c r="AE57" s="3"/>
      <c r="AF57" s="3"/>
    </row>
    <row r="58" spans="1:32">
      <c r="B58" s="3"/>
      <c r="C58" s="352" t="str">
        <f>IF(MasterSheet!$A$1=1,MasterSheet!C377,MasterSheet!B377)</f>
        <v>Prirez na porez na dohodak</v>
      </c>
      <c r="D58" s="555">
        <v>376570.84999999934</v>
      </c>
      <c r="E58" s="262">
        <v>111852.09</v>
      </c>
      <c r="F58" s="294">
        <v>374025.28166894638</v>
      </c>
      <c r="G58" s="294"/>
      <c r="H58" s="294"/>
      <c r="I58" s="294"/>
      <c r="J58" s="294"/>
      <c r="K58" s="294"/>
      <c r="L58" s="294"/>
      <c r="M58" s="294"/>
      <c r="N58" s="324"/>
      <c r="O58" s="330"/>
      <c r="P58" s="448">
        <f t="shared" si="14"/>
        <v>862448.22166894574</v>
      </c>
      <c r="Q58" s="295">
        <v>371753.44000000012</v>
      </c>
      <c r="R58" s="295">
        <f t="shared" si="15"/>
        <v>1234201.6616689458</v>
      </c>
      <c r="S58" s="295">
        <f>+'2013 - plan'!D59+'2013 - plan'!E59+'2013 - plan'!F59</f>
        <v>1076676.8999999999</v>
      </c>
      <c r="T58" s="516">
        <f t="shared" si="16"/>
        <v>157524.7616689459</v>
      </c>
      <c r="U58" s="260"/>
      <c r="V58" s="260"/>
      <c r="W58" s="260"/>
      <c r="X58" s="296">
        <f t="shared" si="4"/>
        <v>2.4529244074770924E-2</v>
      </c>
      <c r="Y58" s="3"/>
      <c r="Z58" s="3"/>
      <c r="AA58" s="3"/>
      <c r="AB58" s="3"/>
      <c r="AC58" s="3"/>
      <c r="AD58" s="3"/>
      <c r="AE58" s="3"/>
      <c r="AF58" s="3"/>
    </row>
    <row r="59" spans="1:32">
      <c r="B59" s="3"/>
      <c r="C59" s="355" t="str">
        <f>IF(MasterSheet!$A$1=1,MasterSheet!C378,MasterSheet!B378)</f>
        <v>Ostala lična primanja</v>
      </c>
      <c r="D59" s="374">
        <v>439879.61999999988</v>
      </c>
      <c r="E59" s="372">
        <v>458274.38</v>
      </c>
      <c r="F59" s="375">
        <v>1312845.2299999997</v>
      </c>
      <c r="G59" s="375"/>
      <c r="H59" s="375"/>
      <c r="I59" s="375"/>
      <c r="J59" s="375"/>
      <c r="K59" s="375"/>
      <c r="L59" s="375"/>
      <c r="M59" s="375"/>
      <c r="N59" s="418"/>
      <c r="O59" s="376"/>
      <c r="P59" s="451">
        <f t="shared" si="14"/>
        <v>2210999.2299999995</v>
      </c>
      <c r="Q59" s="297">
        <v>1196100.06</v>
      </c>
      <c r="R59" s="297">
        <f t="shared" si="15"/>
        <v>3407099.2899999996</v>
      </c>
      <c r="S59" s="297">
        <f>+'2013 - plan'!D60+'2013 - plan'!E60+'2013 - plan'!F60</f>
        <v>2618575.59</v>
      </c>
      <c r="T59" s="513">
        <f t="shared" si="16"/>
        <v>788523.69999999972</v>
      </c>
      <c r="U59" s="266"/>
      <c r="V59" s="266"/>
      <c r="W59" s="266"/>
      <c r="X59" s="298">
        <f t="shared" si="4"/>
        <v>6.2883937144482357E-2</v>
      </c>
      <c r="Y59" s="3"/>
      <c r="Z59" s="3"/>
      <c r="AA59" s="3"/>
      <c r="AB59" s="3"/>
      <c r="AC59" s="3"/>
      <c r="AD59" s="3"/>
      <c r="AE59" s="3"/>
      <c r="AF59" s="3"/>
    </row>
    <row r="60" spans="1:32" s="2" customFormat="1">
      <c r="A60" s="3"/>
      <c r="C60" s="373" t="str">
        <f>IF(MasterSheet!$A$1=1,MasterSheet!C379,MasterSheet!B379)</f>
        <v>Rashodi za materijal i usluge</v>
      </c>
      <c r="D60" s="374">
        <v>3837525.9399999985</v>
      </c>
      <c r="E60" s="375">
        <v>5143842.3000000007</v>
      </c>
      <c r="F60" s="375">
        <v>8670954.8499999996</v>
      </c>
      <c r="G60" s="375"/>
      <c r="H60" s="375"/>
      <c r="I60" s="375"/>
      <c r="J60" s="375"/>
      <c r="K60" s="375"/>
      <c r="L60" s="375"/>
      <c r="M60" s="375"/>
      <c r="N60" s="418"/>
      <c r="O60" s="376"/>
      <c r="P60" s="451">
        <f t="shared" si="14"/>
        <v>17652323.089999996</v>
      </c>
      <c r="Q60" s="271">
        <v>7976181.8499999987</v>
      </c>
      <c r="R60" s="271">
        <f t="shared" si="15"/>
        <v>25628504.939999994</v>
      </c>
      <c r="S60" s="271">
        <f>+'2013 - plan'!D61+'2013 - plan'!E61+'2013 - plan'!F61</f>
        <v>20551690.990000002</v>
      </c>
      <c r="T60" s="570">
        <f t="shared" si="16"/>
        <v>5076813.9499999918</v>
      </c>
      <c r="U60" s="299"/>
      <c r="V60" s="299"/>
      <c r="W60" s="299"/>
      <c r="X60" s="272">
        <f t="shared" si="4"/>
        <v>0.50205697070534683</v>
      </c>
      <c r="Z60" s="3"/>
      <c r="AA60" s="3"/>
      <c r="AB60" s="3"/>
      <c r="AC60" s="3"/>
      <c r="AD60" s="3"/>
      <c r="AE60" s="3"/>
      <c r="AF60" s="3"/>
    </row>
    <row r="61" spans="1:32">
      <c r="B61" s="3"/>
      <c r="C61" s="355" t="str">
        <f>IF(MasterSheet!$A$1=1,MasterSheet!C380,MasterSheet!B380)</f>
        <v>Tekuće održavanje</v>
      </c>
      <c r="D61" s="374">
        <v>639522.21</v>
      </c>
      <c r="E61" s="372">
        <v>185129.94</v>
      </c>
      <c r="F61" s="375">
        <v>1189329.8499999999</v>
      </c>
      <c r="G61" s="375"/>
      <c r="H61" s="375"/>
      <c r="I61" s="375"/>
      <c r="J61" s="375"/>
      <c r="K61" s="375"/>
      <c r="L61" s="375"/>
      <c r="M61" s="375"/>
      <c r="N61" s="418"/>
      <c r="O61" s="376"/>
      <c r="P61" s="451">
        <f t="shared" si="14"/>
        <v>2013981.9999999998</v>
      </c>
      <c r="Q61" s="297">
        <v>2188111.64</v>
      </c>
      <c r="R61" s="297">
        <f t="shared" si="15"/>
        <v>4202093.6399999997</v>
      </c>
      <c r="S61" s="297">
        <f>+'2013 - plan'!D62+'2013 - plan'!E62+'2013 - plan'!F62</f>
        <v>5115547.49</v>
      </c>
      <c r="T61" s="513">
        <f t="shared" si="16"/>
        <v>-913453.85000000056</v>
      </c>
      <c r="U61" s="266"/>
      <c r="V61" s="266"/>
      <c r="W61" s="266"/>
      <c r="X61" s="298">
        <f t="shared" si="4"/>
        <v>5.7280489192263924E-2</v>
      </c>
      <c r="Y61" s="3"/>
      <c r="Z61" s="3"/>
      <c r="AA61" s="3"/>
      <c r="AB61" s="3"/>
      <c r="AC61" s="3"/>
      <c r="AD61" s="3"/>
      <c r="AE61" s="3"/>
      <c r="AF61" s="3"/>
    </row>
    <row r="62" spans="1:32" s="2" customFormat="1">
      <c r="A62" s="3"/>
      <c r="C62" s="373" t="str">
        <f>IF(MasterSheet!$A$1=1,MasterSheet!C381,MasterSheet!B381)</f>
        <v>Kamate</v>
      </c>
      <c r="D62" s="374">
        <v>2311659.59</v>
      </c>
      <c r="E62" s="372">
        <v>1110012.8900000001</v>
      </c>
      <c r="F62" s="375">
        <v>4625288.92</v>
      </c>
      <c r="G62" s="375"/>
      <c r="H62" s="375"/>
      <c r="I62" s="375"/>
      <c r="J62" s="375"/>
      <c r="K62" s="375"/>
      <c r="L62" s="375"/>
      <c r="M62" s="375"/>
      <c r="N62" s="418"/>
      <c r="O62" s="376"/>
      <c r="P62" s="451">
        <f t="shared" si="14"/>
        <v>8046961.4000000004</v>
      </c>
      <c r="Q62" s="271">
        <v>1881095.87</v>
      </c>
      <c r="R62" s="271">
        <f t="shared" si="15"/>
        <v>9928057.2699999996</v>
      </c>
      <c r="S62" s="271">
        <f>+'2013 - plan'!D63+'2013 - plan'!E63+'2013 - plan'!F63</f>
        <v>17600901.84</v>
      </c>
      <c r="T62" s="570">
        <f t="shared" si="16"/>
        <v>-7672844.5700000003</v>
      </c>
      <c r="U62" s="299"/>
      <c r="V62" s="299"/>
      <c r="W62" s="299"/>
      <c r="X62" s="272">
        <f t="shared" si="4"/>
        <v>0.2288669340159272</v>
      </c>
      <c r="Z62" s="3"/>
      <c r="AA62" s="3"/>
      <c r="AB62" s="3"/>
      <c r="AC62" s="3"/>
      <c r="AD62" s="3"/>
      <c r="AE62" s="3"/>
      <c r="AF62" s="3"/>
    </row>
    <row r="63" spans="1:32">
      <c r="B63" s="3"/>
      <c r="C63" s="355" t="str">
        <f>IF(MasterSheet!$A$1=1,MasterSheet!C382,MasterSheet!B382)</f>
        <v>Renta</v>
      </c>
      <c r="D63" s="374">
        <v>940663.68000000028</v>
      </c>
      <c r="E63" s="372">
        <v>532115.69999999995</v>
      </c>
      <c r="F63" s="375">
        <v>631213.78</v>
      </c>
      <c r="G63" s="375"/>
      <c r="H63" s="375"/>
      <c r="I63" s="375"/>
      <c r="J63" s="375"/>
      <c r="K63" s="375"/>
      <c r="L63" s="375"/>
      <c r="M63" s="375"/>
      <c r="N63" s="418"/>
      <c r="O63" s="376"/>
      <c r="P63" s="451">
        <f t="shared" si="14"/>
        <v>2103993.16</v>
      </c>
      <c r="Q63" s="297">
        <v>717206.67999999993</v>
      </c>
      <c r="R63" s="297">
        <f t="shared" si="15"/>
        <v>2821199.84</v>
      </c>
      <c r="S63" s="297">
        <f>+'2013 - plan'!D64+'2013 - plan'!E64+'2013 - plan'!F64</f>
        <v>1955684.8499999999</v>
      </c>
      <c r="T63" s="513">
        <f t="shared" si="16"/>
        <v>865514.99</v>
      </c>
      <c r="U63" s="266"/>
      <c r="V63" s="266"/>
      <c r="W63" s="266"/>
      <c r="X63" s="298">
        <f t="shared" si="4"/>
        <v>5.984053356086462E-2</v>
      </c>
      <c r="Y63" s="3"/>
      <c r="Z63" s="3"/>
      <c r="AA63" s="3"/>
      <c r="AB63" s="3"/>
      <c r="AC63" s="3"/>
      <c r="AD63" s="3"/>
      <c r="AE63" s="3"/>
      <c r="AF63" s="3"/>
    </row>
    <row r="64" spans="1:32">
      <c r="B64" s="3"/>
      <c r="C64" s="355" t="str">
        <f>IF(MasterSheet!$A$1=1,MasterSheet!C383,MasterSheet!B383)</f>
        <v>Subvencije</v>
      </c>
      <c r="D64" s="374">
        <v>2104751.61</v>
      </c>
      <c r="E64" s="372">
        <v>964053.87000000011</v>
      </c>
      <c r="F64" s="375">
        <v>3024119.07</v>
      </c>
      <c r="G64" s="375"/>
      <c r="H64" s="375"/>
      <c r="I64" s="375"/>
      <c r="J64" s="375"/>
      <c r="K64" s="375"/>
      <c r="L64" s="375"/>
      <c r="M64" s="375"/>
      <c r="N64" s="418"/>
      <c r="O64" s="376"/>
      <c r="P64" s="451">
        <f t="shared" si="14"/>
        <v>6092924.5499999998</v>
      </c>
      <c r="Q64" s="297">
        <v>3164428.4699999997</v>
      </c>
      <c r="R64" s="297">
        <f t="shared" si="15"/>
        <v>9257353.0199999996</v>
      </c>
      <c r="S64" s="297">
        <f>+'2013 - plan'!D65+'2013 - plan'!E65+'2013 - plan'!F65</f>
        <v>3630000.0300000003</v>
      </c>
      <c r="T64" s="513">
        <f t="shared" si="16"/>
        <v>5627352.9899999993</v>
      </c>
      <c r="U64" s="266"/>
      <c r="V64" s="266"/>
      <c r="W64" s="266"/>
      <c r="X64" s="298">
        <f t="shared" si="4"/>
        <v>0.1732913694539249</v>
      </c>
      <c r="Y64" s="3"/>
      <c r="Z64" s="3"/>
      <c r="AA64" s="3"/>
      <c r="AB64" s="3"/>
      <c r="AC64" s="3"/>
      <c r="AD64" s="3"/>
      <c r="AE64" s="3"/>
      <c r="AF64" s="3"/>
    </row>
    <row r="65" spans="2:32" ht="12.75" customHeight="1">
      <c r="B65" s="3"/>
      <c r="C65" s="355" t="str">
        <f>IF(MasterSheet!$A$1=1,MasterSheet!C384,MasterSheet!B384)</f>
        <v>Ostali izdaci</v>
      </c>
      <c r="D65" s="374">
        <v>183999.85</v>
      </c>
      <c r="E65" s="372">
        <v>381488.1399999999</v>
      </c>
      <c r="F65" s="375">
        <v>627297.7899999998</v>
      </c>
      <c r="G65" s="375"/>
      <c r="H65" s="375"/>
      <c r="I65" s="375"/>
      <c r="J65" s="375"/>
      <c r="K65" s="375"/>
      <c r="L65" s="375"/>
      <c r="M65" s="375"/>
      <c r="N65" s="418"/>
      <c r="O65" s="376"/>
      <c r="P65" s="451">
        <f t="shared" si="14"/>
        <v>1192785.7799999998</v>
      </c>
      <c r="Q65" s="297">
        <v>464637.15000000037</v>
      </c>
      <c r="R65" s="297">
        <f t="shared" si="15"/>
        <v>1657422.9300000002</v>
      </c>
      <c r="S65" s="297">
        <f>+'2013 - plan'!D66+'2013 - plan'!E66+'2013 - plan'!F66</f>
        <v>1440476.4600000007</v>
      </c>
      <c r="T65" s="513">
        <f t="shared" si="16"/>
        <v>216946.46999999951</v>
      </c>
      <c r="U65" s="266"/>
      <c r="V65" s="266"/>
      <c r="W65" s="266"/>
      <c r="X65" s="298">
        <f t="shared" si="4"/>
        <v>3.3924510238907843E-2</v>
      </c>
      <c r="Y65" s="3"/>
      <c r="Z65" s="3"/>
      <c r="AA65" s="3"/>
      <c r="AB65" s="3"/>
      <c r="AC65" s="3"/>
      <c r="AD65" s="3"/>
      <c r="AE65" s="3"/>
      <c r="AF65" s="3"/>
    </row>
    <row r="66" spans="2:32" ht="12.75" customHeight="1">
      <c r="B66" s="3"/>
      <c r="C66" s="355" t="str">
        <f>IF(MasterSheet!$A$1=1,MasterSheet!C385,MasterSheet!B385)</f>
        <v>Kapitalni izdaci u tekućem budžetu</v>
      </c>
      <c r="D66" s="374">
        <v>13739.03</v>
      </c>
      <c r="E66" s="372">
        <v>367892.65</v>
      </c>
      <c r="F66" s="375">
        <v>421838.74</v>
      </c>
      <c r="G66" s="375"/>
      <c r="H66" s="375"/>
      <c r="I66" s="375"/>
      <c r="J66" s="375"/>
      <c r="K66" s="375"/>
      <c r="L66" s="375"/>
      <c r="M66" s="375"/>
      <c r="N66" s="418"/>
      <c r="O66" s="376"/>
      <c r="P66" s="451">
        <f t="shared" si="14"/>
        <v>803470.42</v>
      </c>
      <c r="Q66" s="297">
        <v>446655.06</v>
      </c>
      <c r="R66" s="297">
        <f t="shared" si="15"/>
        <v>1250125.48</v>
      </c>
      <c r="S66" s="297">
        <f>+'2013 - plan'!D67+'2013 - plan'!E67+'2013 - plan'!F67</f>
        <v>1938087.0399999996</v>
      </c>
      <c r="T66" s="513">
        <f t="shared" si="16"/>
        <v>-687961.55999999959</v>
      </c>
      <c r="U66" s="266"/>
      <c r="V66" s="266"/>
      <c r="W66" s="266"/>
      <c r="X66" s="298">
        <f t="shared" si="4"/>
        <v>2.2851832195676908E-2</v>
      </c>
      <c r="Y66" s="3"/>
      <c r="Z66" s="3"/>
      <c r="AA66" s="3"/>
      <c r="AB66" s="3"/>
      <c r="AC66" s="3"/>
      <c r="AD66" s="3"/>
      <c r="AE66" s="3"/>
      <c r="AF66" s="3"/>
    </row>
    <row r="67" spans="2:32">
      <c r="B67" s="3"/>
      <c r="C67" s="355" t="str">
        <f>IF(MasterSheet!$A$1=1,MasterSheet!C386,MasterSheet!B386)</f>
        <v>Transferi za socijalnu zaštitu</v>
      </c>
      <c r="D67" s="400">
        <f>+SUM(D68:D72)</f>
        <v>39555878.580000006</v>
      </c>
      <c r="E67" s="286">
        <f t="shared" ref="E67:O67" si="19">+SUM(E68:E72)</f>
        <v>41425187.060000002</v>
      </c>
      <c r="F67" s="285">
        <f t="shared" si="19"/>
        <v>41915355.640000015</v>
      </c>
      <c r="G67" s="285">
        <f t="shared" si="19"/>
        <v>0</v>
      </c>
      <c r="H67" s="285">
        <f t="shared" si="19"/>
        <v>0</v>
      </c>
      <c r="I67" s="285">
        <f t="shared" si="19"/>
        <v>0</v>
      </c>
      <c r="J67" s="285">
        <f t="shared" si="19"/>
        <v>0</v>
      </c>
      <c r="K67" s="285">
        <f t="shared" si="19"/>
        <v>0</v>
      </c>
      <c r="L67" s="285">
        <f t="shared" si="19"/>
        <v>0</v>
      </c>
      <c r="M67" s="285">
        <f t="shared" si="19"/>
        <v>0</v>
      </c>
      <c r="N67" s="419">
        <f t="shared" si="19"/>
        <v>0</v>
      </c>
      <c r="O67" s="380">
        <f t="shared" si="19"/>
        <v>0</v>
      </c>
      <c r="P67" s="289">
        <f t="shared" si="14"/>
        <v>122896421.28000003</v>
      </c>
      <c r="Q67" s="289">
        <v>42817670.630000003</v>
      </c>
      <c r="R67" s="289">
        <f t="shared" si="15"/>
        <v>165714091.91000003</v>
      </c>
      <c r="S67" s="289">
        <f>+'2013 - plan'!D68+'2013 - plan'!E68+'2013 - plan'!F68</f>
        <v>124468181.75999999</v>
      </c>
      <c r="T67" s="516">
        <f t="shared" si="16"/>
        <v>41245910.150000036</v>
      </c>
      <c r="U67" s="260"/>
      <c r="V67" s="260"/>
      <c r="W67" s="260"/>
      <c r="X67" s="290">
        <f t="shared" si="4"/>
        <v>3.495347590443687</v>
      </c>
      <c r="Y67" s="3"/>
      <c r="Z67" s="3"/>
      <c r="AA67" s="3"/>
      <c r="AB67" s="3"/>
      <c r="AC67" s="3"/>
      <c r="AD67" s="3"/>
      <c r="AE67" s="3"/>
      <c r="AF67" s="3"/>
    </row>
    <row r="68" spans="2:32">
      <c r="B68" s="3"/>
      <c r="C68" s="352" t="str">
        <f>IF(MasterSheet!$A$1=1,MasterSheet!C387,MasterSheet!B387)</f>
        <v>Prava iz oblasti socijalne zaštite</v>
      </c>
      <c r="D68" s="399">
        <v>5197554.8999999994</v>
      </c>
      <c r="E68" s="262">
        <v>5250468.46</v>
      </c>
      <c r="F68" s="294">
        <v>4943694.8400000008</v>
      </c>
      <c r="G68" s="294"/>
      <c r="H68" s="294"/>
      <c r="I68" s="294"/>
      <c r="J68" s="294"/>
      <c r="K68" s="294"/>
      <c r="L68" s="294"/>
      <c r="M68" s="294"/>
      <c r="N68" s="324"/>
      <c r="O68" s="330"/>
      <c r="P68" s="448">
        <f t="shared" si="14"/>
        <v>15391718.199999999</v>
      </c>
      <c r="Q68" s="295">
        <v>5548846.8199999994</v>
      </c>
      <c r="R68" s="295">
        <f t="shared" si="15"/>
        <v>20940565.02</v>
      </c>
      <c r="S68" s="295">
        <f>+'2013 - plan'!D69+'2013 - plan'!E69+'2013 - plan'!F69</f>
        <v>15252249.99</v>
      </c>
      <c r="T68" s="516">
        <f t="shared" si="16"/>
        <v>5688315.0299999993</v>
      </c>
      <c r="U68" s="260"/>
      <c r="V68" s="260"/>
      <c r="W68" s="260"/>
      <c r="X68" s="296">
        <f t="shared" si="4"/>
        <v>0.43776217861205913</v>
      </c>
      <c r="Y68" s="3"/>
      <c r="Z68" s="3"/>
      <c r="AA68" s="132"/>
      <c r="AB68" s="132"/>
      <c r="AC68" s="132"/>
      <c r="AD68" s="3"/>
      <c r="AE68" s="3"/>
      <c r="AF68" s="3"/>
    </row>
    <row r="69" spans="2:32">
      <c r="B69" s="3"/>
      <c r="C69" s="352" t="str">
        <f>IF(MasterSheet!$A$1=1,MasterSheet!C388,MasterSheet!B388)</f>
        <v>Sredstva za tehnološke viškove</v>
      </c>
      <c r="D69" s="399">
        <v>631049.97</v>
      </c>
      <c r="E69" s="262">
        <v>2339008.5</v>
      </c>
      <c r="F69" s="294">
        <v>3379279.58</v>
      </c>
      <c r="G69" s="294"/>
      <c r="H69" s="294"/>
      <c r="I69" s="294"/>
      <c r="J69" s="294"/>
      <c r="K69" s="294"/>
      <c r="L69" s="294"/>
      <c r="M69" s="294"/>
      <c r="N69" s="324"/>
      <c r="O69" s="330"/>
      <c r="P69" s="448">
        <f t="shared" si="14"/>
        <v>6349338.0499999998</v>
      </c>
      <c r="Q69" s="295">
        <v>1411205.3399999999</v>
      </c>
      <c r="R69" s="295">
        <f t="shared" si="15"/>
        <v>7760543.3899999997</v>
      </c>
      <c r="S69" s="295">
        <f>+'2013 - plan'!D70+'2013 - plan'!E70+'2013 - plan'!F70</f>
        <v>3840012.51</v>
      </c>
      <c r="T69" s="516">
        <f t="shared" si="16"/>
        <v>3920530.88</v>
      </c>
      <c r="U69" s="260"/>
      <c r="V69" s="260"/>
      <c r="W69" s="260"/>
      <c r="X69" s="296">
        <f t="shared" si="4"/>
        <v>0.18058413111490329</v>
      </c>
      <c r="Y69" s="3"/>
      <c r="Z69" s="3"/>
      <c r="AA69" s="3"/>
      <c r="AB69" s="3"/>
      <c r="AC69" s="3"/>
      <c r="AD69" s="3"/>
      <c r="AE69" s="3"/>
      <c r="AF69" s="3"/>
    </row>
    <row r="70" spans="2:32">
      <c r="B70" s="3"/>
      <c r="C70" s="352" t="str">
        <f>IF(MasterSheet!$A$1=1,MasterSheet!C389,MasterSheet!B389)</f>
        <v>Prava iz oblasti penzijskog i invalidskog osiguranja</v>
      </c>
      <c r="D70" s="399">
        <v>31930605.570000011</v>
      </c>
      <c r="E70" s="262">
        <v>32322505.830000006</v>
      </c>
      <c r="F70" s="294">
        <v>32139547.500000015</v>
      </c>
      <c r="G70" s="294"/>
      <c r="H70" s="294"/>
      <c r="I70" s="294"/>
      <c r="J70" s="294"/>
      <c r="K70" s="294"/>
      <c r="L70" s="294"/>
      <c r="M70" s="294"/>
      <c r="N70" s="324"/>
      <c r="O70" s="330"/>
      <c r="P70" s="448">
        <f t="shared" si="14"/>
        <v>96392658.900000036</v>
      </c>
      <c r="Q70" s="295">
        <v>34592700.830000006</v>
      </c>
      <c r="R70" s="295">
        <f t="shared" si="15"/>
        <v>130985359.73000005</v>
      </c>
      <c r="S70" s="295">
        <f>+'2013 - plan'!D71+'2013 - plan'!E71+'2013 - plan'!F71</f>
        <v>100225919.28</v>
      </c>
      <c r="T70" s="516">
        <f t="shared" si="16"/>
        <v>30759440.450000048</v>
      </c>
      <c r="U70" s="260"/>
      <c r="V70" s="260"/>
      <c r="W70" s="260"/>
      <c r="X70" s="296">
        <f t="shared" si="4"/>
        <v>2.7415431996587043</v>
      </c>
      <c r="Y70" s="3"/>
      <c r="Z70" s="3"/>
      <c r="AA70" s="3"/>
      <c r="AB70" s="3"/>
      <c r="AC70" s="3"/>
      <c r="AD70" s="3"/>
      <c r="AE70" s="3"/>
      <c r="AF70" s="3"/>
    </row>
    <row r="71" spans="2:32">
      <c r="B71" s="3"/>
      <c r="C71" s="352" t="str">
        <f>IF(MasterSheet!$A$1=1,MasterSheet!C390,MasterSheet!B390)</f>
        <v>Ostala prava iz oblasti zdravstvene zaštite</v>
      </c>
      <c r="D71" s="399">
        <v>1293482.73</v>
      </c>
      <c r="E71" s="262">
        <v>1086849.98</v>
      </c>
      <c r="F71" s="294">
        <v>818430.35</v>
      </c>
      <c r="G71" s="294"/>
      <c r="H71" s="294"/>
      <c r="I71" s="294"/>
      <c r="J71" s="294"/>
      <c r="K71" s="294"/>
      <c r="L71" s="294"/>
      <c r="M71" s="294"/>
      <c r="N71" s="324"/>
      <c r="O71" s="330"/>
      <c r="P71" s="448">
        <f t="shared" si="14"/>
        <v>3198763.06</v>
      </c>
      <c r="Q71" s="295">
        <v>626460.35</v>
      </c>
      <c r="R71" s="295">
        <f t="shared" si="15"/>
        <v>3825223.41</v>
      </c>
      <c r="S71" s="295">
        <f>+'2013 - plan'!D72+'2013 - plan'!E72+'2013 - plan'!F72</f>
        <v>3399999.99</v>
      </c>
      <c r="T71" s="516">
        <f t="shared" si="16"/>
        <v>425223.41999999993</v>
      </c>
      <c r="U71" s="260"/>
      <c r="V71" s="260"/>
      <c r="W71" s="260"/>
      <c r="X71" s="296">
        <f t="shared" si="4"/>
        <v>9.0977333902161547E-2</v>
      </c>
      <c r="Y71" s="3"/>
      <c r="Z71" s="3"/>
      <c r="AA71" s="3"/>
      <c r="AB71" s="3"/>
      <c r="AC71" s="3"/>
      <c r="AD71" s="3"/>
      <c r="AE71" s="3"/>
      <c r="AF71" s="3"/>
    </row>
    <row r="72" spans="2:32">
      <c r="B72" s="3"/>
      <c r="C72" s="352" t="str">
        <f>IF(MasterSheet!$A$1=1,MasterSheet!C391,MasterSheet!B391)</f>
        <v>Ostala prava iz oblasti zdravstvenog osiguranja</v>
      </c>
      <c r="D72" s="399">
        <v>503185.41</v>
      </c>
      <c r="E72" s="262">
        <v>426354.29000000004</v>
      </c>
      <c r="F72" s="294">
        <v>634403.36999999988</v>
      </c>
      <c r="G72" s="294"/>
      <c r="H72" s="294"/>
      <c r="I72" s="294"/>
      <c r="J72" s="294"/>
      <c r="K72" s="294"/>
      <c r="L72" s="294"/>
      <c r="M72" s="294"/>
      <c r="N72" s="324"/>
      <c r="O72" s="330"/>
      <c r="P72" s="448">
        <f t="shared" si="14"/>
        <v>1563943.0699999998</v>
      </c>
      <c r="Q72" s="295">
        <v>638457.29</v>
      </c>
      <c r="R72" s="295">
        <f t="shared" si="15"/>
        <v>2202400.36</v>
      </c>
      <c r="S72" s="295">
        <f>+'2013 - plan'!D73+'2013 - plan'!E73+'2013 - plan'!F73</f>
        <v>1749999.9900000002</v>
      </c>
      <c r="T72" s="516">
        <f t="shared" si="16"/>
        <v>452400.36999999965</v>
      </c>
      <c r="U72" s="260"/>
      <c r="V72" s="260"/>
      <c r="W72" s="260"/>
      <c r="X72" s="296">
        <f t="shared" si="4"/>
        <v>4.4480747155858924E-2</v>
      </c>
      <c r="Y72" s="3"/>
      <c r="Z72" s="3"/>
      <c r="AA72" s="3"/>
      <c r="AB72" s="3"/>
      <c r="AC72" s="3"/>
      <c r="AD72" s="3"/>
      <c r="AE72" s="3"/>
      <c r="AF72" s="3"/>
    </row>
    <row r="73" spans="2:32" ht="27.75" customHeight="1">
      <c r="B73" s="3"/>
      <c r="C73" s="381" t="str">
        <f>IF(MasterSheet!$A$1=1,MasterSheet!C392,MasterSheet!B392)</f>
        <v>Transferi institucijama pojedinicima nevladinom i javnom sektoru</v>
      </c>
      <c r="D73" s="551">
        <f>+SUM(D74:D79)</f>
        <v>4729453.0200000005</v>
      </c>
      <c r="E73" s="285">
        <f t="shared" ref="E73:O73" si="20">+SUM(E74:E79)</f>
        <v>3668588.0200000005</v>
      </c>
      <c r="F73" s="285">
        <f t="shared" si="20"/>
        <v>11943087.779999999</v>
      </c>
      <c r="G73" s="285">
        <f t="shared" si="20"/>
        <v>0</v>
      </c>
      <c r="H73" s="285">
        <f t="shared" si="20"/>
        <v>0</v>
      </c>
      <c r="I73" s="285">
        <f t="shared" si="20"/>
        <v>0</v>
      </c>
      <c r="J73" s="285">
        <f t="shared" si="20"/>
        <v>0</v>
      </c>
      <c r="K73" s="285">
        <f t="shared" si="20"/>
        <v>0</v>
      </c>
      <c r="L73" s="285">
        <f t="shared" si="20"/>
        <v>0</v>
      </c>
      <c r="M73" s="285">
        <f t="shared" si="20"/>
        <v>0</v>
      </c>
      <c r="N73" s="419">
        <f t="shared" si="20"/>
        <v>0</v>
      </c>
      <c r="O73" s="380">
        <f t="shared" si="20"/>
        <v>0</v>
      </c>
      <c r="P73" s="289">
        <f t="shared" si="14"/>
        <v>20341128.82</v>
      </c>
      <c r="Q73" s="289">
        <v>8947545.6400000006</v>
      </c>
      <c r="R73" s="289">
        <f t="shared" si="15"/>
        <v>29288674.460000001</v>
      </c>
      <c r="S73" s="289">
        <f>+'2013 - plan'!D74+'2013 - plan'!E74+'2013 - plan'!F74</f>
        <v>23320174.050000001</v>
      </c>
      <c r="T73" s="516">
        <f t="shared" si="16"/>
        <v>5968500.4100000001</v>
      </c>
      <c r="U73" s="260"/>
      <c r="V73" s="260"/>
      <c r="W73" s="260"/>
      <c r="X73" s="290">
        <f t="shared" si="4"/>
        <v>0.57853039874857792</v>
      </c>
      <c r="Y73" s="3"/>
      <c r="Z73" s="3"/>
      <c r="AA73" s="3"/>
      <c r="AB73" s="3"/>
      <c r="AC73" s="3"/>
      <c r="AD73" s="3"/>
      <c r="AE73" s="3"/>
      <c r="AF73" s="3"/>
    </row>
    <row r="74" spans="2:32">
      <c r="B74" s="3"/>
      <c r="C74" s="352" t="str">
        <f>IF(MasterSheet!$A$1=1,MasterSheet!C393,MasterSheet!B393)</f>
        <v>Transferi javnim institucijama</v>
      </c>
      <c r="D74" s="399">
        <v>4555242.32</v>
      </c>
      <c r="E74" s="262">
        <v>2710807.5400000005</v>
      </c>
      <c r="F74" s="294">
        <v>10311379.629999999</v>
      </c>
      <c r="G74" s="294"/>
      <c r="H74" s="294"/>
      <c r="I74" s="294"/>
      <c r="J74" s="294"/>
      <c r="K74" s="294"/>
      <c r="L74" s="294"/>
      <c r="M74" s="294"/>
      <c r="N74" s="324"/>
      <c r="O74" s="330"/>
      <c r="P74" s="452">
        <f t="shared" si="14"/>
        <v>17577429.490000002</v>
      </c>
      <c r="Q74" s="295">
        <v>6814693.6900000004</v>
      </c>
      <c r="R74" s="295">
        <f t="shared" si="15"/>
        <v>24392123.180000003</v>
      </c>
      <c r="S74" s="295">
        <f>+'2013 - plan'!D75+'2013 - plan'!E75+'2013 - plan'!F75</f>
        <v>18019117.5</v>
      </c>
      <c r="T74" s="516">
        <f t="shared" si="16"/>
        <v>6373005.6800000034</v>
      </c>
      <c r="U74" s="260"/>
      <c r="V74" s="260"/>
      <c r="W74" s="260"/>
      <c r="X74" s="296">
        <f t="shared" si="4"/>
        <v>0.49992689106939708</v>
      </c>
      <c r="Y74" s="3"/>
      <c r="Z74" s="3"/>
      <c r="AA74" s="3"/>
      <c r="AB74" s="3"/>
      <c r="AC74" s="3"/>
      <c r="AD74" s="3"/>
      <c r="AE74" s="3"/>
      <c r="AF74" s="3"/>
    </row>
    <row r="75" spans="2:32">
      <c r="B75" s="3"/>
      <c r="C75" s="352" t="str">
        <f>IF(MasterSheet!$A$1=1,MasterSheet!C394,MasterSheet!B394)</f>
        <v>Transferi nevladinim organizacijama</v>
      </c>
      <c r="D75" s="399">
        <v>9800</v>
      </c>
      <c r="E75" s="262">
        <v>23187.5</v>
      </c>
      <c r="F75" s="294">
        <v>22687.5</v>
      </c>
      <c r="G75" s="294"/>
      <c r="H75" s="294"/>
      <c r="I75" s="294"/>
      <c r="J75" s="294"/>
      <c r="K75" s="294"/>
      <c r="L75" s="294"/>
      <c r="M75" s="294"/>
      <c r="N75" s="324"/>
      <c r="O75" s="330"/>
      <c r="P75" s="452">
        <f t="shared" si="14"/>
        <v>55675</v>
      </c>
      <c r="Q75" s="295">
        <v>23116.67</v>
      </c>
      <c r="R75" s="295">
        <f t="shared" si="15"/>
        <v>78791.67</v>
      </c>
      <c r="S75" s="295">
        <f>+'2013 - plan'!D76+'2013 - plan'!E76+'2013 - plan'!F76</f>
        <v>633656.55000000005</v>
      </c>
      <c r="T75" s="516">
        <f t="shared" si="16"/>
        <v>-554864.88</v>
      </c>
      <c r="U75" s="260"/>
      <c r="V75" s="260"/>
      <c r="W75" s="260"/>
      <c r="X75" s="296">
        <f t="shared" si="4"/>
        <v>1.5834755403868032E-3</v>
      </c>
      <c r="Y75" s="3"/>
      <c r="Z75" s="3"/>
      <c r="AA75" s="3"/>
      <c r="AB75" s="3"/>
      <c r="AC75" s="3"/>
      <c r="AD75" s="3"/>
      <c r="AE75" s="3"/>
      <c r="AF75" s="3"/>
    </row>
    <row r="76" spans="2:32">
      <c r="B76" s="3"/>
      <c r="C76" s="352" t="str">
        <f>IF(MasterSheet!$A$1=1,MasterSheet!C395,MasterSheet!B395)</f>
        <v>Transferi pojedincima</v>
      </c>
      <c r="D76" s="399">
        <v>164410.70000000001</v>
      </c>
      <c r="E76" s="262">
        <v>934592.98</v>
      </c>
      <c r="F76" s="294">
        <v>1609020.6500000001</v>
      </c>
      <c r="G76" s="294"/>
      <c r="H76" s="294"/>
      <c r="I76" s="294"/>
      <c r="J76" s="294"/>
      <c r="K76" s="294"/>
      <c r="L76" s="294"/>
      <c r="M76" s="294"/>
      <c r="N76" s="324"/>
      <c r="O76" s="330"/>
      <c r="P76" s="452">
        <f t="shared" si="14"/>
        <v>2708024.33</v>
      </c>
      <c r="Q76" s="295">
        <v>2107235.2799999998</v>
      </c>
      <c r="R76" s="295">
        <f t="shared" si="15"/>
        <v>4815259.6099999994</v>
      </c>
      <c r="S76" s="295">
        <f>+'2013 - plan'!D77+'2013 - plan'!E77+'2013 - plan'!F77</f>
        <v>4604900.01</v>
      </c>
      <c r="T76" s="516">
        <f t="shared" si="16"/>
        <v>210359.59999999963</v>
      </c>
      <c r="U76" s="260"/>
      <c r="V76" s="260"/>
      <c r="W76" s="260"/>
      <c r="X76" s="296">
        <f t="shared" si="4"/>
        <v>7.7020032138794089E-2</v>
      </c>
      <c r="Y76" s="3"/>
      <c r="Z76" s="3"/>
      <c r="AA76" s="3"/>
      <c r="AB76" s="3"/>
      <c r="AC76" s="3"/>
      <c r="AD76" s="3"/>
      <c r="AE76" s="3"/>
      <c r="AF76" s="3"/>
    </row>
    <row r="77" spans="2:32">
      <c r="B77" s="3"/>
      <c r="C77" s="352" t="str">
        <f>IF(MasterSheet!$A$1=1,MasterSheet!C396,MasterSheet!B396)</f>
        <v>Transferi opštinama</v>
      </c>
      <c r="D77" s="399">
        <v>0</v>
      </c>
      <c r="E77" s="262">
        <v>0</v>
      </c>
      <c r="F77" s="294">
        <v>0</v>
      </c>
      <c r="G77" s="294"/>
      <c r="H77" s="294"/>
      <c r="I77" s="294"/>
      <c r="J77" s="294"/>
      <c r="K77" s="294"/>
      <c r="L77" s="294"/>
      <c r="M77" s="294"/>
      <c r="N77" s="324"/>
      <c r="O77" s="330"/>
      <c r="P77" s="452">
        <f t="shared" si="14"/>
        <v>0</v>
      </c>
      <c r="Q77" s="295">
        <v>2500</v>
      </c>
      <c r="R77" s="295">
        <f t="shared" si="15"/>
        <v>2500</v>
      </c>
      <c r="S77" s="295">
        <f>+'2013 - plan'!D78+'2013 - plan'!E78+'2013 - plan'!F78</f>
        <v>62499.990000000005</v>
      </c>
      <c r="T77" s="516">
        <f t="shared" si="16"/>
        <v>-59999.990000000005</v>
      </c>
      <c r="U77" s="260"/>
      <c r="V77" s="260"/>
      <c r="W77" s="260"/>
      <c r="X77" s="296">
        <f t="shared" si="4"/>
        <v>0</v>
      </c>
      <c r="Y77" s="3"/>
      <c r="Z77" s="3"/>
      <c r="AA77" s="3"/>
      <c r="AB77" s="3"/>
      <c r="AC77" s="3"/>
      <c r="AD77" s="3"/>
      <c r="AE77" s="3"/>
      <c r="AF77" s="3"/>
    </row>
    <row r="78" spans="2:32">
      <c r="B78" s="3"/>
      <c r="C78" s="352" t="s">
        <v>426</v>
      </c>
      <c r="D78" s="399">
        <v>0</v>
      </c>
      <c r="E78" s="262">
        <v>0</v>
      </c>
      <c r="F78" s="294">
        <v>0</v>
      </c>
      <c r="G78" s="294"/>
      <c r="H78" s="294"/>
      <c r="I78" s="294"/>
      <c r="J78" s="294"/>
      <c r="K78" s="294"/>
      <c r="L78" s="294"/>
      <c r="M78" s="294"/>
      <c r="N78" s="324"/>
      <c r="O78" s="330"/>
      <c r="P78" s="452">
        <f t="shared" si="14"/>
        <v>0</v>
      </c>
      <c r="Q78" s="295"/>
      <c r="R78" s="295"/>
      <c r="S78" s="295"/>
      <c r="T78" s="516"/>
      <c r="U78" s="260"/>
      <c r="V78" s="260"/>
      <c r="W78" s="260"/>
      <c r="X78" s="296"/>
      <c r="Y78" s="3"/>
      <c r="Z78" s="3"/>
      <c r="AA78" s="3"/>
      <c r="AB78" s="3"/>
      <c r="AC78" s="3"/>
      <c r="AD78" s="3"/>
      <c r="AE78" s="3"/>
      <c r="AF78" s="3"/>
    </row>
    <row r="79" spans="2:32" ht="13.5" thickBot="1">
      <c r="B79" s="3"/>
      <c r="C79" s="382" t="str">
        <f>IF(MasterSheet!$A$1=1,MasterSheet!C397,MasterSheet!B397)</f>
        <v>Transferi javnim preduzećima</v>
      </c>
      <c r="D79" s="401">
        <v>0</v>
      </c>
      <c r="E79" s="546">
        <v>0</v>
      </c>
      <c r="F79" s="383">
        <v>0</v>
      </c>
      <c r="G79" s="383"/>
      <c r="H79" s="383"/>
      <c r="I79" s="304"/>
      <c r="J79" s="304"/>
      <c r="K79" s="304"/>
      <c r="L79" s="304"/>
      <c r="M79" s="304"/>
      <c r="N79" s="420"/>
      <c r="O79" s="331"/>
      <c r="P79" s="453">
        <f t="shared" si="14"/>
        <v>0</v>
      </c>
      <c r="Q79" s="307">
        <v>0</v>
      </c>
      <c r="R79" s="307">
        <f t="shared" si="15"/>
        <v>0</v>
      </c>
      <c r="S79" s="307">
        <f>+'2013 - plan'!D79+'2013 - plan'!E79+'2013 - plan'!F79</f>
        <v>0</v>
      </c>
      <c r="T79" s="540">
        <f t="shared" si="16"/>
        <v>0</v>
      </c>
      <c r="U79" s="302"/>
      <c r="V79" s="302"/>
      <c r="W79" s="302"/>
      <c r="X79" s="308">
        <f t="shared" si="4"/>
        <v>0</v>
      </c>
      <c r="Y79" s="132">
        <f>D80+D66</f>
        <v>1674720.7100000002</v>
      </c>
      <c r="Z79" s="3"/>
      <c r="AA79" s="3"/>
      <c r="AB79" s="3"/>
      <c r="AC79" s="3"/>
      <c r="AD79" s="3"/>
      <c r="AE79" s="3"/>
      <c r="AF79" s="3"/>
    </row>
    <row r="80" spans="2:32" ht="14.25" thickTop="1" thickBot="1">
      <c r="B80" s="3"/>
      <c r="C80" s="344" t="str">
        <f>IF(MasterSheet!$A$1=1,MasterSheet!C398,MasterSheet!B398)</f>
        <v>Kapitalni budžet</v>
      </c>
      <c r="D80" s="309">
        <v>1660981.6800000002</v>
      </c>
      <c r="E80" s="311">
        <v>706574.48</v>
      </c>
      <c r="F80" s="310">
        <v>6200648.6299999999</v>
      </c>
      <c r="G80" s="310"/>
      <c r="H80" s="310"/>
      <c r="I80" s="310"/>
      <c r="J80" s="384"/>
      <c r="K80" s="312"/>
      <c r="L80" s="312"/>
      <c r="M80" s="312"/>
      <c r="N80" s="313"/>
      <c r="O80" s="431"/>
      <c r="P80" s="556">
        <f t="shared" si="14"/>
        <v>8568204.7899999991</v>
      </c>
      <c r="Q80" s="557">
        <v>4422241.25</v>
      </c>
      <c r="R80" s="558">
        <f t="shared" si="15"/>
        <v>12990446.039999999</v>
      </c>
      <c r="S80" s="558">
        <f>+'2013 - plan'!D80+'2013 - plan'!E80+'2013 - plan'!F80</f>
        <v>16409750.01</v>
      </c>
      <c r="T80" s="368">
        <f t="shared" si="16"/>
        <v>-3419303.9700000007</v>
      </c>
      <c r="U80" s="341"/>
      <c r="V80" s="341"/>
      <c r="W80" s="341"/>
      <c r="X80" s="559">
        <f t="shared" si="4"/>
        <v>0.24369183134243458</v>
      </c>
      <c r="Y80" s="132">
        <f>E80+E66</f>
        <v>1074467.1299999999</v>
      </c>
      <c r="Z80" s="3"/>
      <c r="AA80" s="3"/>
      <c r="AB80" s="3"/>
      <c r="AC80" s="3"/>
      <c r="AD80" s="3"/>
      <c r="AE80" s="3"/>
      <c r="AF80" s="3"/>
    </row>
    <row r="81" spans="2:32" ht="13.5" thickTop="1">
      <c r="B81" s="3"/>
      <c r="C81" s="352" t="str">
        <f>IF(MasterSheet!$A$1=1,MasterSheet!C399,MasterSheet!B399)</f>
        <v>Pozajmice i krediti</v>
      </c>
      <c r="D81" s="552">
        <v>46726.67</v>
      </c>
      <c r="E81" s="332">
        <v>493119.12</v>
      </c>
      <c r="F81" s="328">
        <v>0</v>
      </c>
      <c r="G81" s="328"/>
      <c r="H81" s="328"/>
      <c r="I81" s="328"/>
      <c r="J81" s="328"/>
      <c r="K81" s="328"/>
      <c r="L81" s="328"/>
      <c r="M81" s="328"/>
      <c r="N81" s="421"/>
      <c r="O81" s="330"/>
      <c r="P81" s="454">
        <f t="shared" si="14"/>
        <v>539845.79</v>
      </c>
      <c r="Q81" s="427">
        <v>614160.66</v>
      </c>
      <c r="R81" s="317">
        <f t="shared" si="15"/>
        <v>1154006.4500000002</v>
      </c>
      <c r="S81" s="317">
        <f>+'2013 - plan'!D81+'2013 - plan'!E81+'2013 - plan'!F81</f>
        <v>430000.02</v>
      </c>
      <c r="T81" s="368">
        <f t="shared" si="16"/>
        <v>724006.43000000017</v>
      </c>
      <c r="U81" s="341"/>
      <c r="V81" s="341"/>
      <c r="W81" s="341"/>
      <c r="X81" s="318">
        <f t="shared" si="4"/>
        <v>1.5353975824800912E-2</v>
      </c>
      <c r="Y81" s="3"/>
      <c r="Z81" s="3"/>
      <c r="AA81" s="3"/>
      <c r="AB81" s="3"/>
      <c r="AC81" s="3"/>
      <c r="AD81" s="3"/>
      <c r="AE81" s="3"/>
      <c r="AF81" s="3"/>
    </row>
    <row r="82" spans="2:32" ht="13.5" thickBot="1">
      <c r="B82" s="3"/>
      <c r="C82" s="382" t="str">
        <f>IF(MasterSheet!$A$1=1,MasterSheet!C400,MasterSheet!B400)</f>
        <v>Rezerve</v>
      </c>
      <c r="D82" s="553">
        <v>987800</v>
      </c>
      <c r="E82" s="546">
        <v>1479416.02</v>
      </c>
      <c r="F82" s="383">
        <v>1804250.62</v>
      </c>
      <c r="G82" s="383"/>
      <c r="H82" s="383"/>
      <c r="I82" s="304"/>
      <c r="J82" s="304"/>
      <c r="K82" s="304"/>
      <c r="L82" s="304"/>
      <c r="M82" s="304"/>
      <c r="N82" s="420"/>
      <c r="O82" s="331"/>
      <c r="P82" s="453">
        <f t="shared" si="14"/>
        <v>4271466.6400000006</v>
      </c>
      <c r="Q82" s="426">
        <v>381882.21</v>
      </c>
      <c r="R82" s="307">
        <f t="shared" si="15"/>
        <v>4653348.8500000006</v>
      </c>
      <c r="S82" s="307">
        <f>+'2013 - plan'!D82+'2013 - plan'!E82+'2013 - plan'!F82</f>
        <v>1839017.3699999996</v>
      </c>
      <c r="T82" s="368">
        <f t="shared" si="16"/>
        <v>2814331.4800000009</v>
      </c>
      <c r="U82" s="341"/>
      <c r="V82" s="341"/>
      <c r="W82" s="341"/>
      <c r="X82" s="308">
        <f t="shared" si="4"/>
        <v>0.12148653697383392</v>
      </c>
      <c r="Y82" s="3"/>
      <c r="Z82" s="3"/>
      <c r="AA82" s="3"/>
      <c r="AB82" s="3"/>
      <c r="AC82" s="3"/>
      <c r="AD82" s="3"/>
      <c r="AE82" s="3"/>
      <c r="AF82" s="3"/>
    </row>
    <row r="83" spans="2:32" ht="14.25" thickTop="1" thickBot="1">
      <c r="B83" s="3"/>
      <c r="C83" s="382" t="str">
        <f>IF(MasterSheet!$A$1=1,MasterSheet!C408,MasterSheet!B408)</f>
        <v>Otplata garancija</v>
      </c>
      <c r="D83" s="399">
        <v>5125021.0999999996</v>
      </c>
      <c r="E83" s="547">
        <v>28180.16</v>
      </c>
      <c r="F83" s="385">
        <v>4529565.8099999996</v>
      </c>
      <c r="G83" s="385"/>
      <c r="H83" s="385"/>
      <c r="I83" s="294"/>
      <c r="J83" s="386"/>
      <c r="K83" s="386"/>
      <c r="L83" s="262"/>
      <c r="M83" s="262"/>
      <c r="N83" s="387"/>
      <c r="O83" s="330"/>
      <c r="P83" s="452">
        <f t="shared" si="14"/>
        <v>9682767.0700000003</v>
      </c>
      <c r="Q83" s="425">
        <v>0</v>
      </c>
      <c r="R83" s="368">
        <f t="shared" si="15"/>
        <v>9682767.0700000003</v>
      </c>
      <c r="S83" s="368"/>
      <c r="T83" s="341"/>
      <c r="U83" s="341"/>
      <c r="V83" s="341"/>
      <c r="W83" s="341"/>
      <c r="X83" s="296">
        <f t="shared" si="4"/>
        <v>0.27539155489192263</v>
      </c>
      <c r="Y83" s="3"/>
      <c r="Z83" s="3"/>
      <c r="AA83" s="3"/>
      <c r="AB83" s="3"/>
      <c r="AC83" s="3"/>
      <c r="AD83" s="3"/>
      <c r="AE83" s="3"/>
      <c r="AF83" s="3"/>
    </row>
    <row r="84" spans="2:32" ht="14.25" thickTop="1" thickBot="1">
      <c r="B84" s="3"/>
      <c r="C84" s="382" t="s">
        <v>152</v>
      </c>
      <c r="D84" s="413">
        <v>0</v>
      </c>
      <c r="E84" s="548">
        <v>0</v>
      </c>
      <c r="F84" s="409">
        <v>0</v>
      </c>
      <c r="G84" s="409"/>
      <c r="H84" s="409"/>
      <c r="I84" s="410"/>
      <c r="J84" s="411"/>
      <c r="K84" s="411"/>
      <c r="L84" s="410"/>
      <c r="M84" s="410"/>
      <c r="N84" s="422"/>
      <c r="O84" s="412"/>
      <c r="P84" s="455">
        <f t="shared" si="14"/>
        <v>0</v>
      </c>
      <c r="Q84" s="425"/>
      <c r="R84" s="368"/>
      <c r="S84" s="368"/>
      <c r="T84" s="341"/>
      <c r="U84" s="341"/>
      <c r="V84" s="341"/>
      <c r="W84" s="341"/>
      <c r="X84" s="432"/>
      <c r="Y84" s="3"/>
      <c r="Z84" s="3"/>
      <c r="AA84" s="3"/>
      <c r="AB84" s="3"/>
      <c r="AC84" s="3"/>
      <c r="AD84" s="3"/>
      <c r="AE84" s="3"/>
      <c r="AF84" s="3"/>
    </row>
    <row r="85" spans="2:32" ht="14.25" thickTop="1" thickBot="1">
      <c r="B85" s="3"/>
      <c r="C85" s="344" t="str">
        <f>IF(MasterSheet!$A$1=1,MasterSheet!C402,MasterSheet!B402)</f>
        <v>Suficit/ Deficit</v>
      </c>
      <c r="D85" s="403">
        <f>+D18-D50</f>
        <v>-23691745.430000007</v>
      </c>
      <c r="E85" s="549">
        <f t="shared" ref="E85:O85" si="21">+E18-E50</f>
        <v>-7546855.2100000232</v>
      </c>
      <c r="F85" s="283">
        <f t="shared" si="21"/>
        <v>-17931841.065705732</v>
      </c>
      <c r="G85" s="283">
        <f t="shared" si="21"/>
        <v>0</v>
      </c>
      <c r="H85" s="283">
        <f t="shared" si="21"/>
        <v>0</v>
      </c>
      <c r="I85" s="283">
        <f t="shared" si="21"/>
        <v>0</v>
      </c>
      <c r="J85" s="283">
        <f t="shared" si="21"/>
        <v>0</v>
      </c>
      <c r="K85" s="283">
        <f t="shared" si="21"/>
        <v>0</v>
      </c>
      <c r="L85" s="283">
        <f t="shared" si="21"/>
        <v>0</v>
      </c>
      <c r="M85" s="283">
        <f t="shared" si="21"/>
        <v>0</v>
      </c>
      <c r="N85" s="367">
        <f t="shared" si="21"/>
        <v>0</v>
      </c>
      <c r="O85" s="430">
        <f t="shared" si="21"/>
        <v>0</v>
      </c>
      <c r="P85" s="446">
        <f t="shared" si="14"/>
        <v>-49170441.705705762</v>
      </c>
      <c r="Q85" s="424"/>
      <c r="R85" s="341"/>
      <c r="S85" s="341"/>
      <c r="T85" s="341"/>
      <c r="U85" s="341"/>
      <c r="V85" s="341"/>
      <c r="W85" s="341"/>
      <c r="X85" s="251">
        <f t="shared" ref="X85:X97" si="22">+P85/$D$13*100</f>
        <v>-1.398476726555909</v>
      </c>
      <c r="Y85" s="7"/>
      <c r="Z85" s="3"/>
      <c r="AA85" s="3"/>
      <c r="AB85" s="3"/>
      <c r="AC85" s="3"/>
      <c r="AD85" s="3"/>
      <c r="AE85" s="3"/>
      <c r="AF85" s="3"/>
    </row>
    <row r="86" spans="2:32" ht="14.25" thickTop="1" thickBot="1">
      <c r="B86" s="3"/>
      <c r="C86" s="344" t="str">
        <f>IF(MasterSheet!$A$1=1,MasterSheet!C403,MasterSheet!B403)</f>
        <v>Primarni deficit</v>
      </c>
      <c r="D86" s="403">
        <f>+D85+D62</f>
        <v>-21380085.840000007</v>
      </c>
      <c r="E86" s="549">
        <f t="shared" ref="E86:O86" si="23">+E85+E62</f>
        <v>-6436842.3200000226</v>
      </c>
      <c r="F86" s="283">
        <f t="shared" si="23"/>
        <v>-13306552.145705732</v>
      </c>
      <c r="G86" s="283">
        <f t="shared" si="23"/>
        <v>0</v>
      </c>
      <c r="H86" s="283">
        <f t="shared" si="23"/>
        <v>0</v>
      </c>
      <c r="I86" s="283">
        <f t="shared" si="23"/>
        <v>0</v>
      </c>
      <c r="J86" s="283">
        <f t="shared" si="23"/>
        <v>0</v>
      </c>
      <c r="K86" s="283">
        <f t="shared" si="23"/>
        <v>0</v>
      </c>
      <c r="L86" s="283">
        <f t="shared" si="23"/>
        <v>0</v>
      </c>
      <c r="M86" s="283">
        <f t="shared" si="23"/>
        <v>0</v>
      </c>
      <c r="N86" s="367">
        <f t="shared" si="23"/>
        <v>0</v>
      </c>
      <c r="O86" s="430">
        <f t="shared" si="23"/>
        <v>0</v>
      </c>
      <c r="P86" s="446">
        <f t="shared" si="14"/>
        <v>-41123480.305705763</v>
      </c>
      <c r="Q86" s="341"/>
      <c r="R86" s="341"/>
      <c r="S86" s="341"/>
      <c r="T86" s="341"/>
      <c r="U86" s="341"/>
      <c r="V86" s="341"/>
      <c r="W86" s="341"/>
      <c r="X86" s="251">
        <f t="shared" si="22"/>
        <v>-1.1696097925399818</v>
      </c>
      <c r="Y86" s="3"/>
      <c r="Z86" s="3"/>
      <c r="AA86" s="3"/>
      <c r="AB86" s="3"/>
      <c r="AC86" s="3"/>
      <c r="AD86" s="3"/>
      <c r="AE86" s="3"/>
      <c r="AF86" s="3"/>
    </row>
    <row r="87" spans="2:32" ht="14.25" thickTop="1" thickBot="1">
      <c r="B87" s="3"/>
      <c r="C87" s="344" t="str">
        <f>IF(MasterSheet!$A$1=1,MasterSheet!C404,MasterSheet!B404)</f>
        <v>Otplata duga</v>
      </c>
      <c r="D87" s="403">
        <f>+SUM(D88:D90)</f>
        <v>6532985.9199999999</v>
      </c>
      <c r="E87" s="549">
        <f t="shared" ref="E87:O87" si="24">+SUM(E88:E90)</f>
        <v>4915912.82</v>
      </c>
      <c r="F87" s="283">
        <f t="shared" si="24"/>
        <v>9833270.4100000001</v>
      </c>
      <c r="G87" s="283">
        <f t="shared" si="24"/>
        <v>0</v>
      </c>
      <c r="H87" s="283">
        <f t="shared" si="24"/>
        <v>0</v>
      </c>
      <c r="I87" s="283">
        <f t="shared" si="24"/>
        <v>0</v>
      </c>
      <c r="J87" s="283">
        <f t="shared" si="24"/>
        <v>0</v>
      </c>
      <c r="K87" s="283">
        <f t="shared" si="24"/>
        <v>0</v>
      </c>
      <c r="L87" s="283">
        <f t="shared" si="24"/>
        <v>0</v>
      </c>
      <c r="M87" s="283">
        <f t="shared" si="24"/>
        <v>0</v>
      </c>
      <c r="N87" s="367">
        <f t="shared" si="24"/>
        <v>0</v>
      </c>
      <c r="O87" s="430">
        <f t="shared" si="24"/>
        <v>0</v>
      </c>
      <c r="P87" s="446">
        <f t="shared" si="14"/>
        <v>21282169.149999999</v>
      </c>
      <c r="Q87" s="341"/>
      <c r="R87" s="341"/>
      <c r="S87" s="341"/>
      <c r="T87" s="341"/>
      <c r="U87" s="341"/>
      <c r="V87" s="341"/>
      <c r="W87" s="341"/>
      <c r="X87" s="251">
        <f t="shared" si="22"/>
        <v>0.60529491325369733</v>
      </c>
      <c r="Y87" s="3"/>
      <c r="Z87" s="3"/>
      <c r="AA87" s="3"/>
      <c r="AB87" s="3"/>
      <c r="AC87" s="3"/>
      <c r="AD87" s="3"/>
      <c r="AE87" s="3"/>
      <c r="AF87" s="3"/>
    </row>
    <row r="88" spans="2:32" ht="13.5" thickTop="1">
      <c r="B88" s="3"/>
      <c r="C88" s="352" t="str">
        <f>IF(MasterSheet!$A$1=1,MasterSheet!C405,MasterSheet!B405)</f>
        <v>Otplata duga rezidentima</v>
      </c>
      <c r="D88" s="402">
        <v>510977.05</v>
      </c>
      <c r="E88" s="332">
        <v>2585632.2400000002</v>
      </c>
      <c r="F88" s="328">
        <v>4238041.8499999996</v>
      </c>
      <c r="G88" s="328"/>
      <c r="H88" s="328"/>
      <c r="I88" s="328"/>
      <c r="J88" s="328"/>
      <c r="K88" s="328"/>
      <c r="L88" s="328"/>
      <c r="M88" s="328"/>
      <c r="N88" s="421"/>
      <c r="O88" s="330"/>
      <c r="P88" s="452">
        <f t="shared" si="14"/>
        <v>7334651.1399999997</v>
      </c>
      <c r="Q88" s="341"/>
      <c r="R88" s="341"/>
      <c r="S88" s="341"/>
      <c r="T88" s="341"/>
      <c r="U88" s="341"/>
      <c r="V88" s="341"/>
      <c r="W88" s="341"/>
      <c r="X88" s="296">
        <f t="shared" si="22"/>
        <v>0.20860782536973832</v>
      </c>
      <c r="Y88" s="3"/>
      <c r="Z88" s="3"/>
      <c r="AA88" s="3"/>
      <c r="AB88" s="3"/>
      <c r="AC88" s="3"/>
      <c r="AD88" s="3"/>
      <c r="AE88" s="3"/>
      <c r="AF88" s="3"/>
    </row>
    <row r="89" spans="2:32">
      <c r="B89" s="3"/>
      <c r="C89" s="352" t="str">
        <f>IF(MasterSheet!$A$1=1,MasterSheet!C406,MasterSheet!B406)</f>
        <v>Otplata duga nerezidentima</v>
      </c>
      <c r="D89" s="399">
        <v>2484610.71</v>
      </c>
      <c r="E89" s="262">
        <v>750667.64</v>
      </c>
      <c r="F89" s="294">
        <v>3746284.28</v>
      </c>
      <c r="G89" s="294"/>
      <c r="H89" s="294"/>
      <c r="I89" s="294"/>
      <c r="J89" s="294"/>
      <c r="K89" s="294"/>
      <c r="L89" s="294"/>
      <c r="M89" s="294"/>
      <c r="N89" s="324"/>
      <c r="O89" s="330"/>
      <c r="P89" s="452">
        <f t="shared" si="14"/>
        <v>6981562.6299999999</v>
      </c>
      <c r="Q89" s="341"/>
      <c r="R89" s="341"/>
      <c r="S89" s="341"/>
      <c r="T89" s="341"/>
      <c r="U89" s="341"/>
      <c r="V89" s="341"/>
      <c r="W89" s="341"/>
      <c r="X89" s="296">
        <f t="shared" si="22"/>
        <v>0.19856549004550625</v>
      </c>
      <c r="Y89" s="3"/>
      <c r="Z89" s="3"/>
      <c r="AA89" s="3"/>
      <c r="AB89" s="3"/>
      <c r="AC89" s="3"/>
      <c r="AD89" s="3"/>
      <c r="AE89" s="3"/>
      <c r="AF89" s="3"/>
    </row>
    <row r="90" spans="2:32" ht="13.5" thickBot="1">
      <c r="B90" s="3"/>
      <c r="C90" s="352" t="str">
        <f>IF(MasterSheet!$A$1=1,MasterSheet!C407,MasterSheet!B407)</f>
        <v>Otplata obaveza iz prethodnog perioda</v>
      </c>
      <c r="D90" s="401">
        <v>3537398.1600000006</v>
      </c>
      <c r="E90" s="305">
        <v>1579612.94</v>
      </c>
      <c r="F90" s="304">
        <v>1848944.2800000003</v>
      </c>
      <c r="G90" s="304"/>
      <c r="H90" s="304"/>
      <c r="I90" s="304"/>
      <c r="J90" s="304"/>
      <c r="K90" s="304"/>
      <c r="L90" s="304"/>
      <c r="M90" s="304"/>
      <c r="N90" s="420"/>
      <c r="O90" s="330"/>
      <c r="P90" s="452">
        <f t="shared" si="14"/>
        <v>6965955.3800000008</v>
      </c>
      <c r="Q90" s="341"/>
      <c r="R90" s="341"/>
      <c r="S90" s="341"/>
      <c r="T90" s="341"/>
      <c r="U90" s="341"/>
      <c r="V90" s="341"/>
      <c r="W90" s="341"/>
      <c r="X90" s="296">
        <f t="shared" si="22"/>
        <v>0.19812159783845282</v>
      </c>
      <c r="Y90" s="3"/>
      <c r="Z90" s="3"/>
      <c r="AA90" s="3"/>
      <c r="AB90" s="3"/>
      <c r="AC90" s="3"/>
      <c r="AD90" s="3"/>
      <c r="AE90" s="3"/>
      <c r="AF90" s="3"/>
    </row>
    <row r="91" spans="2:32" ht="14.25" thickTop="1" thickBot="1">
      <c r="B91" s="3"/>
      <c r="C91" s="344" t="str">
        <f>IF(MasterSheet!$A$1=1,MasterSheet!C409,MasterSheet!B409)</f>
        <v>Nedostajuća sredstva</v>
      </c>
      <c r="D91" s="403">
        <f>+D85-D87</f>
        <v>-30224731.350000009</v>
      </c>
      <c r="E91" s="283">
        <f t="shared" ref="E91:O91" si="25">+E85-E87</f>
        <v>-12462768.030000024</v>
      </c>
      <c r="F91" s="283">
        <f t="shared" si="25"/>
        <v>-27765111.475705732</v>
      </c>
      <c r="G91" s="283">
        <f t="shared" si="25"/>
        <v>0</v>
      </c>
      <c r="H91" s="283">
        <f t="shared" si="25"/>
        <v>0</v>
      </c>
      <c r="I91" s="283">
        <f t="shared" si="25"/>
        <v>0</v>
      </c>
      <c r="J91" s="283">
        <f t="shared" si="25"/>
        <v>0</v>
      </c>
      <c r="K91" s="283">
        <f t="shared" si="25"/>
        <v>0</v>
      </c>
      <c r="L91" s="283">
        <f t="shared" si="25"/>
        <v>0</v>
      </c>
      <c r="M91" s="283">
        <f t="shared" si="25"/>
        <v>0</v>
      </c>
      <c r="N91" s="367">
        <f t="shared" si="25"/>
        <v>0</v>
      </c>
      <c r="O91" s="430">
        <f t="shared" si="25"/>
        <v>0</v>
      </c>
      <c r="P91" s="446">
        <f t="shared" si="14"/>
        <v>-70452610.855705768</v>
      </c>
      <c r="Q91" s="341"/>
      <c r="R91" s="341"/>
      <c r="S91" s="341"/>
      <c r="T91" s="341"/>
      <c r="U91" s="341"/>
      <c r="V91" s="341"/>
      <c r="W91" s="341"/>
      <c r="X91" s="251">
        <f t="shared" si="22"/>
        <v>-2.0037716398096066</v>
      </c>
      <c r="Y91" s="3"/>
      <c r="Z91" s="3"/>
      <c r="AA91" s="3"/>
      <c r="AB91" s="3"/>
      <c r="AC91" s="3"/>
      <c r="AD91" s="3"/>
      <c r="AE91" s="3"/>
      <c r="AF91" s="3"/>
    </row>
    <row r="92" spans="2:32" ht="14.25" thickTop="1" thickBot="1">
      <c r="B92" s="3"/>
      <c r="C92" s="344" t="str">
        <f>IF(MasterSheet!$A$1=1,MasterSheet!C410,MasterSheet!B410)</f>
        <v>Finansiranje</v>
      </c>
      <c r="D92" s="403">
        <f>+SUM(D93:D97)</f>
        <v>30224731.350000009</v>
      </c>
      <c r="E92" s="283">
        <f t="shared" ref="E92:O92" si="26">+SUM(E93:E97)</f>
        <v>12462768.030000024</v>
      </c>
      <c r="F92" s="283">
        <f t="shared" si="26"/>
        <v>27765111.475705728</v>
      </c>
      <c r="G92" s="283">
        <f t="shared" si="26"/>
        <v>0</v>
      </c>
      <c r="H92" s="283">
        <f t="shared" si="26"/>
        <v>0</v>
      </c>
      <c r="I92" s="283">
        <f t="shared" si="26"/>
        <v>0</v>
      </c>
      <c r="J92" s="283">
        <f t="shared" si="26"/>
        <v>0</v>
      </c>
      <c r="K92" s="283">
        <f t="shared" si="26"/>
        <v>0</v>
      </c>
      <c r="L92" s="283">
        <f t="shared" si="26"/>
        <v>0</v>
      </c>
      <c r="M92" s="283">
        <f t="shared" si="26"/>
        <v>0</v>
      </c>
      <c r="N92" s="367">
        <f t="shared" si="26"/>
        <v>0</v>
      </c>
      <c r="O92" s="430">
        <f t="shared" si="26"/>
        <v>0</v>
      </c>
      <c r="P92" s="446">
        <f t="shared" si="14"/>
        <v>70452610.855705768</v>
      </c>
      <c r="Q92" s="341"/>
      <c r="R92" s="341"/>
      <c r="S92" s="341"/>
      <c r="T92" s="341"/>
      <c r="U92" s="341"/>
      <c r="V92" s="341"/>
      <c r="W92" s="341"/>
      <c r="X92" s="251">
        <f t="shared" si="22"/>
        <v>2.0037716398096066</v>
      </c>
      <c r="Y92" s="3"/>
      <c r="Z92" s="3"/>
      <c r="AA92" s="3"/>
      <c r="AB92" s="3"/>
      <c r="AC92" s="3"/>
      <c r="AD92" s="3"/>
      <c r="AE92" s="3"/>
      <c r="AF92" s="3"/>
    </row>
    <row r="93" spans="2:32" ht="13.5" thickTop="1">
      <c r="B93" s="3"/>
      <c r="C93" s="352" t="str">
        <f>IF(MasterSheet!$A$1=1,MasterSheet!C411,MasterSheet!B411)</f>
        <v>Pozajmice i krediti iz domaćih izvora</v>
      </c>
      <c r="D93" s="399">
        <v>8351610.0300000003</v>
      </c>
      <c r="E93" s="332">
        <v>1000000</v>
      </c>
      <c r="F93" s="328">
        <v>68600000</v>
      </c>
      <c r="G93" s="328"/>
      <c r="H93" s="328"/>
      <c r="I93" s="328"/>
      <c r="J93" s="328"/>
      <c r="K93" s="328"/>
      <c r="L93" s="328"/>
      <c r="M93" s="328"/>
      <c r="N93" s="421"/>
      <c r="O93" s="330"/>
      <c r="P93" s="452">
        <f t="shared" si="14"/>
        <v>77951610.030000001</v>
      </c>
      <c r="Q93" s="341"/>
      <c r="R93" s="388"/>
      <c r="S93" s="341"/>
      <c r="T93" s="341"/>
      <c r="U93" s="341"/>
      <c r="V93" s="341"/>
      <c r="W93" s="341"/>
      <c r="X93" s="296">
        <f t="shared" si="22"/>
        <v>2.217053755119454</v>
      </c>
      <c r="Y93" s="3"/>
      <c r="Z93" s="3"/>
      <c r="AA93" s="3"/>
      <c r="AB93" s="3"/>
      <c r="AC93" s="3"/>
      <c r="AD93" s="3"/>
      <c r="AE93" s="3"/>
      <c r="AF93" s="3"/>
    </row>
    <row r="94" spans="2:32">
      <c r="B94" s="3"/>
      <c r="C94" s="352" t="str">
        <f>IF(MasterSheet!$A$1=1,MasterSheet!C412,MasterSheet!B412)</f>
        <v>Pozajmice i krediti iz inostranih izvora</v>
      </c>
      <c r="D94" s="399">
        <v>113399.21</v>
      </c>
      <c r="E94" s="262">
        <v>291764.21999999997</v>
      </c>
      <c r="F94" s="294">
        <v>307940.25</v>
      </c>
      <c r="G94" s="294"/>
      <c r="H94" s="294"/>
      <c r="I94" s="294"/>
      <c r="J94" s="294"/>
      <c r="K94" s="294"/>
      <c r="L94" s="294"/>
      <c r="M94" s="294"/>
      <c r="N94" s="324"/>
      <c r="O94" s="330"/>
      <c r="P94" s="452">
        <f t="shared" si="14"/>
        <v>713103.67999999993</v>
      </c>
      <c r="Q94" s="341"/>
      <c r="R94" s="341"/>
      <c r="S94" s="341"/>
      <c r="T94" s="341"/>
      <c r="U94" s="341"/>
      <c r="V94" s="341"/>
      <c r="W94" s="341"/>
      <c r="X94" s="296">
        <f t="shared" si="22"/>
        <v>2.0281674630261658E-2</v>
      </c>
      <c r="Y94" s="3"/>
      <c r="Z94" s="3"/>
      <c r="AA94" s="3"/>
      <c r="AB94" s="3"/>
      <c r="AC94" s="3"/>
      <c r="AD94" s="3"/>
      <c r="AE94" s="3"/>
      <c r="AF94" s="3"/>
    </row>
    <row r="95" spans="2:32">
      <c r="B95" s="3"/>
      <c r="C95" s="352" t="str">
        <f>IF(MasterSheet!$A$1=1,MasterSheet!C413,MasterSheet!B413)</f>
        <v>Donacije</v>
      </c>
      <c r="D95" s="399">
        <v>149764.72</v>
      </c>
      <c r="E95" s="262">
        <v>724986.19</v>
      </c>
      <c r="F95" s="294">
        <v>173095.78</v>
      </c>
      <c r="G95" s="294"/>
      <c r="H95" s="294"/>
      <c r="I95" s="294"/>
      <c r="J95" s="294"/>
      <c r="K95" s="294"/>
      <c r="L95" s="294"/>
      <c r="M95" s="294"/>
      <c r="N95" s="324"/>
      <c r="O95" s="330"/>
      <c r="P95" s="452">
        <f t="shared" si="14"/>
        <v>1047846.69</v>
      </c>
      <c r="Q95" s="341"/>
      <c r="R95" s="341"/>
      <c r="S95" s="341"/>
      <c r="T95" s="341"/>
      <c r="U95" s="341"/>
      <c r="V95" s="341"/>
      <c r="W95" s="341"/>
      <c r="X95" s="296">
        <f t="shared" si="22"/>
        <v>2.9802238054607508E-2</v>
      </c>
      <c r="Y95" s="3"/>
      <c r="Z95" s="3"/>
      <c r="AA95" s="3"/>
      <c r="AB95" s="3"/>
      <c r="AC95" s="3"/>
      <c r="AD95" s="3"/>
      <c r="AE95" s="3"/>
      <c r="AF95" s="3"/>
    </row>
    <row r="96" spans="2:32">
      <c r="B96" s="3"/>
      <c r="C96" s="352" t="str">
        <f>IF(MasterSheet!$A$1=1,MasterSheet!C414,MasterSheet!B414)</f>
        <v>Prihodi od privatizacije</v>
      </c>
      <c r="D96" s="399">
        <v>238690.3</v>
      </c>
      <c r="E96" s="262">
        <v>117596.01</v>
      </c>
      <c r="F96" s="294">
        <v>238150.88</v>
      </c>
      <c r="G96" s="294"/>
      <c r="H96" s="294"/>
      <c r="I96" s="294"/>
      <c r="J96" s="294"/>
      <c r="K96" s="294"/>
      <c r="L96" s="294"/>
      <c r="M96" s="294"/>
      <c r="N96" s="324"/>
      <c r="O96" s="330"/>
      <c r="P96" s="452">
        <f t="shared" si="14"/>
        <v>594437.18999999994</v>
      </c>
      <c r="Q96" s="341"/>
      <c r="R96" s="341"/>
      <c r="S96" s="341"/>
      <c r="T96" s="341"/>
      <c r="U96" s="341"/>
      <c r="V96" s="341"/>
      <c r="W96" s="341"/>
      <c r="X96" s="296">
        <f t="shared" si="22"/>
        <v>1.6906632252559728E-2</v>
      </c>
      <c r="Y96" s="3"/>
      <c r="Z96" s="3"/>
      <c r="AA96" s="3"/>
      <c r="AB96" s="3"/>
      <c r="AC96" s="3"/>
      <c r="AD96" s="3"/>
      <c r="AE96" s="3"/>
      <c r="AF96" s="3"/>
    </row>
    <row r="97" spans="2:32" ht="13.5" thickBot="1">
      <c r="B97" s="3"/>
      <c r="C97" s="333" t="str">
        <f>IF(MasterSheet!$A$1=1,MasterSheet!C415,MasterSheet!B415)</f>
        <v>Povećanje/smanjenje depozita</v>
      </c>
      <c r="D97" s="404">
        <f>-D91-SUM(D93:D96)</f>
        <v>21371267.090000007</v>
      </c>
      <c r="E97" s="550">
        <f t="shared" ref="E97:O97" si="27">-E91-SUM(E93:E96)</f>
        <v>10328421.610000024</v>
      </c>
      <c r="F97" s="363">
        <f t="shared" si="27"/>
        <v>-41554075.434294268</v>
      </c>
      <c r="G97" s="363">
        <f t="shared" si="27"/>
        <v>0</v>
      </c>
      <c r="H97" s="363">
        <f t="shared" si="27"/>
        <v>0</v>
      </c>
      <c r="I97" s="335">
        <f t="shared" si="27"/>
        <v>0</v>
      </c>
      <c r="J97" s="335">
        <f t="shared" si="27"/>
        <v>0</v>
      </c>
      <c r="K97" s="335">
        <f t="shared" si="27"/>
        <v>0</v>
      </c>
      <c r="L97" s="335">
        <f t="shared" si="27"/>
        <v>0</v>
      </c>
      <c r="M97" s="335">
        <f t="shared" si="27"/>
        <v>0</v>
      </c>
      <c r="N97" s="423">
        <f t="shared" si="27"/>
        <v>0</v>
      </c>
      <c r="O97" s="389">
        <f t="shared" si="27"/>
        <v>0</v>
      </c>
      <c r="P97" s="338">
        <f t="shared" si="14"/>
        <v>-9854386.7342942357</v>
      </c>
      <c r="Q97" s="365"/>
      <c r="R97" s="341"/>
      <c r="S97" s="341"/>
      <c r="T97" s="341"/>
      <c r="U97" s="341"/>
      <c r="V97" s="341"/>
      <c r="W97" s="341"/>
      <c r="X97" s="339">
        <f t="shared" si="22"/>
        <v>-0.28027266024727632</v>
      </c>
      <c r="Y97" s="3"/>
      <c r="Z97" s="3"/>
      <c r="AA97" s="3"/>
      <c r="AB97" s="3"/>
      <c r="AC97" s="3"/>
      <c r="AD97" s="3"/>
      <c r="AE97" s="3"/>
      <c r="AF97" s="3"/>
    </row>
    <row r="98" spans="2:32" s="3" customFormat="1" ht="13.5" thickTop="1">
      <c r="C98" s="340" t="str">
        <f>IF(MasterSheet!$A$1=1,MasterSheet!C416,MasterSheet!B416)</f>
        <v>Izvor: Ministarstvo finansija Crne Gore</v>
      </c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</row>
    <row r="99" spans="2:32" s="3" customFormat="1">
      <c r="C99" s="390" t="s">
        <v>423</v>
      </c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</row>
    <row r="100" spans="2:32" s="3" customFormat="1"/>
    <row r="101" spans="2:32" s="3" customFormat="1"/>
    <row r="102" spans="2:32" s="3" customFormat="1"/>
    <row r="103" spans="2:32" s="3" customFormat="1"/>
    <row r="104" spans="2:32" s="3" customFormat="1"/>
    <row r="105" spans="2:32" s="3" customFormat="1"/>
    <row r="106" spans="2:32" s="3" customFormat="1"/>
    <row r="107" spans="2:32" s="3" customFormat="1"/>
    <row r="108" spans="2:32" s="3" customFormat="1"/>
    <row r="109" spans="2:32" s="3" customFormat="1"/>
    <row r="110" spans="2:32" s="3" customFormat="1"/>
    <row r="111" spans="2:32" s="3" customFormat="1"/>
    <row r="112" spans="2:3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</sheetData>
  <sheetProtection formatCells="0" formatColumns="0" formatRows="0" sort="0" autoFilter="0" pivotTables="0"/>
  <mergeCells count="5">
    <mergeCell ref="D7:P7"/>
    <mergeCell ref="D8:P8"/>
    <mergeCell ref="C16:C17"/>
    <mergeCell ref="D16:X16"/>
    <mergeCell ref="D13:X1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5"/>
  <sheetViews>
    <sheetView zoomScale="85" zoomScaleNormal="85" workbookViewId="0">
      <selection activeCell="D18" sqref="D18:O18"/>
    </sheetView>
  </sheetViews>
  <sheetFormatPr defaultRowHeight="12.75"/>
  <cols>
    <col min="1" max="1" width="6.140625" style="3" customWidth="1"/>
    <col min="2" max="2" width="9.85546875" customWidth="1"/>
    <col min="3" max="3" width="51.140625" customWidth="1"/>
    <col min="4" max="4" width="10.7109375" customWidth="1"/>
    <col min="5" max="8" width="10.7109375" style="2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3"/>
      <c r="C1" s="4"/>
      <c r="D1" s="3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B2" s="3"/>
      <c r="C2" s="4"/>
      <c r="D2" s="3"/>
      <c r="E2" s="6"/>
      <c r="F2" s="3"/>
      <c r="G2" s="6"/>
      <c r="H2" s="3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B3" s="3"/>
      <c r="C3" s="4"/>
      <c r="D3" s="3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B4" s="3"/>
      <c r="C4" s="4"/>
      <c r="D4" s="3"/>
      <c r="E4" s="6"/>
      <c r="F4" s="3"/>
      <c r="G4" s="6"/>
      <c r="H4" s="3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B5" s="3"/>
      <c r="C5" s="4"/>
      <c r="D5" s="3"/>
      <c r="E5" s="6"/>
      <c r="F5" s="6"/>
      <c r="G5" s="6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B6" s="3"/>
      <c r="C6" s="4"/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">
      <c r="B7" s="3"/>
      <c r="C7" s="4"/>
      <c r="D7" s="585" t="str">
        <f>IF(MasterSheet!$A$1=1, MasterSheet!C5,MasterSheet!B5)</f>
        <v>CRNA GORA</v>
      </c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">
      <c r="B8" s="3"/>
      <c r="C8" s="3"/>
      <c r="D8" s="585" t="str">
        <f>IF(MasterSheet!$A$1=1, MasterSheet!C6,MasterSheet!B6)</f>
        <v>MINISTARSTVO FINANSIJA</v>
      </c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B9" s="3"/>
      <c r="C9" s="6"/>
      <c r="D9" s="6"/>
      <c r="E9" s="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"/>
      <c r="S9" s="3"/>
      <c r="T9" s="3"/>
      <c r="U9" s="3"/>
      <c r="V9" s="4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B10" s="3"/>
      <c r="C10" s="6"/>
      <c r="D10" s="6"/>
      <c r="E10" s="6"/>
      <c r="F10" s="6"/>
      <c r="G10" s="6"/>
      <c r="H10" s="6"/>
      <c r="I10" s="3"/>
      <c r="J10" s="6"/>
      <c r="K10" s="6"/>
      <c r="L10" s="6"/>
      <c r="M10" s="6"/>
      <c r="N10" s="6"/>
      <c r="O10" s="6"/>
      <c r="P10" s="6"/>
      <c r="Q10" s="6"/>
      <c r="R10" s="3"/>
      <c r="S10" s="3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B11" s="3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F11" s="3"/>
    </row>
    <row r="12" spans="1:32" ht="13.5" thickBot="1">
      <c r="B12" s="3"/>
      <c r="C12" s="6"/>
      <c r="D12" s="6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1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7.25" thickTop="1" thickBot="1">
      <c r="B13" s="84"/>
      <c r="C13" s="85" t="str">
        <f>IF(MasterSheet!$A$1=1,MasterSheet!B67,MasterSheet!B66)</f>
        <v>BDP (u mil. €)</v>
      </c>
      <c r="D13" s="588">
        <f>+'2013 - plan'!D14</f>
        <v>3335900000</v>
      </c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90"/>
      <c r="Y13" s="3"/>
      <c r="Z13" s="3"/>
      <c r="AA13" s="3"/>
      <c r="AB13" s="3"/>
      <c r="AC13" s="3"/>
      <c r="AD13" s="3"/>
      <c r="AE13" s="3"/>
      <c r="AF13" s="3"/>
    </row>
    <row r="14" spans="1:32" ht="15.75" thickTop="1">
      <c r="A14" s="78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79"/>
      <c r="N14" s="79"/>
      <c r="O14" s="80"/>
      <c r="P14" s="80"/>
      <c r="Q14" s="80"/>
      <c r="R14" s="80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7.25" customHeight="1" thickBot="1"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7.25" customHeight="1" thickTop="1">
      <c r="B16" s="3"/>
      <c r="C16" s="597" t="str">
        <f>IF(MasterSheet!$A$1=1,MasterSheet!B422,MasterSheet!B421)</f>
        <v>Izvršenje budžeta, po mjesecima</v>
      </c>
      <c r="D16" s="599">
        <v>2013</v>
      </c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1"/>
      <c r="Y16" s="3"/>
      <c r="Z16" s="3"/>
      <c r="AA16" s="3"/>
      <c r="AB16" s="3"/>
      <c r="AC16" s="3"/>
      <c r="AD16" s="3"/>
      <c r="AE16" s="3"/>
      <c r="AF16" s="3"/>
    </row>
    <row r="17" spans="2:32" ht="15" customHeight="1" thickBot="1">
      <c r="B17" s="3"/>
      <c r="C17" s="598"/>
      <c r="D17" s="242" t="str">
        <f>IF(MasterSheet!$A$1=1,MasterSheet!C336,MasterSheet!C335)</f>
        <v>Januar</v>
      </c>
      <c r="E17" s="243" t="str">
        <f>IF(MasterSheet!$A$1=1,MasterSheet!D336,MasterSheet!D335)</f>
        <v>Februar</v>
      </c>
      <c r="F17" s="243" t="str">
        <f>IF(MasterSheet!$A$1=1,MasterSheet!E336,MasterSheet!E335)</f>
        <v>Mart</v>
      </c>
      <c r="G17" s="243" t="str">
        <f>IF(MasterSheet!$A$1=1,MasterSheet!F336,MasterSheet!F335)</f>
        <v>April</v>
      </c>
      <c r="H17" s="243" t="str">
        <f>IF(MasterSheet!$A$1=1,MasterSheet!G336,MasterSheet!G335)</f>
        <v>Maj</v>
      </c>
      <c r="I17" s="243" t="str">
        <f>IF(MasterSheet!$A$1=1,MasterSheet!H336,MasterSheet!H335)</f>
        <v>Jun</v>
      </c>
      <c r="J17" s="243" t="str">
        <f>IF(MasterSheet!$A$1=1,MasterSheet!I336,MasterSheet!I335)</f>
        <v>Jul</v>
      </c>
      <c r="K17" s="244" t="str">
        <f>IF(MasterSheet!$A$1=1,MasterSheet!J336,MasterSheet!J335)</f>
        <v>Avgust</v>
      </c>
      <c r="L17" s="244" t="str">
        <f>IF(MasterSheet!$A$1=1,MasterSheet!K336,MasterSheet!K335)</f>
        <v>Septembar</v>
      </c>
      <c r="M17" s="244" t="str">
        <f>IF(MasterSheet!$A$1=1,MasterSheet!L336,MasterSheet!L335)</f>
        <v>Oktobar</v>
      </c>
      <c r="N17" s="244" t="str">
        <f>IF(MasterSheet!$A$1=1,MasterSheet!M336,MasterSheet!M335)</f>
        <v>Novembar</v>
      </c>
      <c r="O17" s="343" t="str">
        <f>IF(MasterSheet!$A$1=1,MasterSheet!N336,MasterSheet!N335)</f>
        <v>Decembar</v>
      </c>
      <c r="P17" s="244" t="s">
        <v>422</v>
      </c>
      <c r="Q17" s="244"/>
      <c r="R17" s="244"/>
      <c r="S17" s="244"/>
      <c r="T17" s="244"/>
      <c r="U17" s="244"/>
      <c r="V17" s="244"/>
      <c r="W17" s="244"/>
      <c r="X17" s="244" t="s">
        <v>150</v>
      </c>
      <c r="Y17" s="3"/>
      <c r="Z17" s="3"/>
      <c r="AA17" s="3"/>
      <c r="AB17" s="3"/>
      <c r="AC17" s="3"/>
      <c r="AD17" s="3"/>
      <c r="AE17" s="3"/>
      <c r="AF17" s="3"/>
    </row>
    <row r="18" spans="2:32" ht="15" customHeight="1" thickTop="1" thickBot="1">
      <c r="B18" s="3"/>
      <c r="C18" s="344" t="str">
        <f>IF(MasterSheet!$A$1=1,MasterSheet!C337,MasterSheet!B337)</f>
        <v>Izvorni prihodi</v>
      </c>
      <c r="D18" s="345">
        <f>+D19+D27+D32+D37+D44+D49</f>
        <v>54757461.979999989</v>
      </c>
      <c r="E18" s="345">
        <f t="shared" ref="E18:O18" si="0">+E19+E27+E32+E37+E44+E49</f>
        <v>75673443.909999996</v>
      </c>
      <c r="F18" s="345">
        <f t="shared" si="0"/>
        <v>88296245.580000013</v>
      </c>
      <c r="G18" s="345">
        <f t="shared" si="0"/>
        <v>103948239.19999999</v>
      </c>
      <c r="H18" s="345">
        <f t="shared" si="0"/>
        <v>93997829.679999992</v>
      </c>
      <c r="I18" s="345">
        <f t="shared" si="0"/>
        <v>99561632.659999996</v>
      </c>
      <c r="J18" s="345">
        <f t="shared" si="0"/>
        <v>122021331.04999998</v>
      </c>
      <c r="K18" s="345">
        <f t="shared" si="0"/>
        <v>125053427.64999999</v>
      </c>
      <c r="L18" s="345">
        <f t="shared" si="0"/>
        <v>116342017.78000002</v>
      </c>
      <c r="M18" s="345">
        <f t="shared" si="0"/>
        <v>117283627.60000001</v>
      </c>
      <c r="N18" s="345">
        <f t="shared" si="0"/>
        <v>95781753.159999996</v>
      </c>
      <c r="O18" s="346">
        <f t="shared" si="0"/>
        <v>142429369.22999999</v>
      </c>
      <c r="P18" s="250">
        <f>SUM(D18:O18)</f>
        <v>1235146379.48</v>
      </c>
      <c r="Q18" s="347">
        <f>+P18+P93+P94+P95+P96</f>
        <v>1587082906.0399997</v>
      </c>
      <c r="R18" s="348"/>
      <c r="S18" s="348"/>
      <c r="T18" s="348"/>
      <c r="U18" s="348"/>
      <c r="V18" s="348"/>
      <c r="W18" s="348"/>
      <c r="X18" s="251">
        <f>+P18/$D$13*100</f>
        <v>37.025881455679126</v>
      </c>
      <c r="Y18" s="3"/>
      <c r="Z18" s="3"/>
      <c r="AA18" s="3"/>
      <c r="AB18" s="3"/>
      <c r="AC18" s="3"/>
      <c r="AD18" s="3"/>
      <c r="AE18" s="3"/>
      <c r="AF18" s="3"/>
    </row>
    <row r="19" spans="2:32" ht="15" customHeight="1" thickTop="1">
      <c r="B19" s="3"/>
      <c r="C19" s="349" t="str">
        <f>IF(MasterSheet!$A$1=1,MasterSheet!C338,MasterSheet!B338)</f>
        <v>Porezi</v>
      </c>
      <c r="D19" s="253">
        <f t="shared" ref="D19:N19" si="1">SUM(D20:D26)</f>
        <v>38651682.139999993</v>
      </c>
      <c r="E19" s="254">
        <f t="shared" si="1"/>
        <v>43074559.129999995</v>
      </c>
      <c r="F19" s="254">
        <f t="shared" si="1"/>
        <v>53935470.890000008</v>
      </c>
      <c r="G19" s="254">
        <f t="shared" si="1"/>
        <v>70397095.139999986</v>
      </c>
      <c r="H19" s="254">
        <f t="shared" si="1"/>
        <v>59487673.050000004</v>
      </c>
      <c r="I19" s="254">
        <f t="shared" si="1"/>
        <v>61991252.850000001</v>
      </c>
      <c r="J19" s="254">
        <f t="shared" si="1"/>
        <v>78155438.859999985</v>
      </c>
      <c r="K19" s="254">
        <f t="shared" si="1"/>
        <v>82426236.730000004</v>
      </c>
      <c r="L19" s="254">
        <f t="shared" si="1"/>
        <v>71970399.340000018</v>
      </c>
      <c r="M19" s="254">
        <f t="shared" si="1"/>
        <v>66404277.469999999</v>
      </c>
      <c r="N19" s="350">
        <f t="shared" si="1"/>
        <v>57024205.149999991</v>
      </c>
      <c r="O19" s="351">
        <f t="shared" ref="O19" si="2">+SUM(O20:O26)</f>
        <v>72178168.75999999</v>
      </c>
      <c r="P19" s="258">
        <f t="shared" ref="P19:P82" si="3">SUM(D19:O19)</f>
        <v>755696459.50999999</v>
      </c>
      <c r="Q19" s="341"/>
      <c r="R19" s="341"/>
      <c r="S19" s="341"/>
      <c r="T19" s="341"/>
      <c r="U19" s="341"/>
      <c r="V19" s="341"/>
      <c r="W19" s="341"/>
      <c r="X19" s="259">
        <f t="shared" ref="X19:X83" si="4">+P19/$D$13*100</f>
        <v>22.653450628316197</v>
      </c>
      <c r="Y19" s="3"/>
      <c r="Z19" s="3"/>
      <c r="AA19" s="3"/>
      <c r="AB19" s="3"/>
      <c r="AC19" s="3"/>
      <c r="AD19" s="3"/>
      <c r="AE19" s="3"/>
      <c r="AF19" s="3"/>
    </row>
    <row r="20" spans="2:32" ht="15" customHeight="1">
      <c r="B20" s="3"/>
      <c r="C20" s="352" t="str">
        <f>IF(MasterSheet!$A$1=1,MasterSheet!C339,MasterSheet!B339)</f>
        <v>Porez na dohodak fizičkih lica</v>
      </c>
      <c r="D20" s="261">
        <v>2526434.27</v>
      </c>
      <c r="E20" s="294">
        <v>6576693.6500000004</v>
      </c>
      <c r="F20" s="294">
        <v>6649607.6900000004</v>
      </c>
      <c r="G20" s="294">
        <v>6878624.96</v>
      </c>
      <c r="H20" s="294">
        <v>7715762.9900000002</v>
      </c>
      <c r="I20" s="294">
        <v>6905575.8099999996</v>
      </c>
      <c r="J20" s="294">
        <v>7544499.1699999999</v>
      </c>
      <c r="K20" s="294">
        <v>8683203.9299999997</v>
      </c>
      <c r="L20" s="294">
        <v>9021711.1099999994</v>
      </c>
      <c r="M20" s="294">
        <v>10279942.17</v>
      </c>
      <c r="N20" s="330">
        <v>7302700.2599999998</v>
      </c>
      <c r="O20" s="353">
        <v>15533677.9</v>
      </c>
      <c r="P20" s="354">
        <f t="shared" si="3"/>
        <v>95618433.910000011</v>
      </c>
      <c r="Q20" s="341"/>
      <c r="R20" s="342"/>
      <c r="S20" s="341"/>
      <c r="T20" s="341"/>
      <c r="U20" s="341"/>
      <c r="V20" s="341"/>
      <c r="W20" s="341"/>
      <c r="X20" s="265">
        <f t="shared" si="4"/>
        <v>2.866345930933182</v>
      </c>
      <c r="Y20" s="3"/>
      <c r="Z20" s="3"/>
      <c r="AA20" s="3"/>
      <c r="AB20" s="3"/>
      <c r="AC20" s="3"/>
      <c r="AD20" s="3"/>
      <c r="AE20" s="3"/>
      <c r="AF20" s="3"/>
    </row>
    <row r="21" spans="2:32" ht="15" customHeight="1">
      <c r="B21" s="3"/>
      <c r="C21" s="352" t="str">
        <f>IF(MasterSheet!$A$1=1,MasterSheet!C340,MasterSheet!B340)</f>
        <v>Porez na dobit pravnih lica</v>
      </c>
      <c r="D21" s="261">
        <v>496276.24</v>
      </c>
      <c r="E21" s="294">
        <v>1055200.6000000001</v>
      </c>
      <c r="F21" s="294">
        <v>5089275.75</v>
      </c>
      <c r="G21" s="294">
        <v>14799003.470000001</v>
      </c>
      <c r="H21" s="294">
        <v>3059202.23</v>
      </c>
      <c r="I21" s="294">
        <v>3636920.85</v>
      </c>
      <c r="J21" s="294">
        <v>3866755.9</v>
      </c>
      <c r="K21" s="294">
        <v>2838435.42</v>
      </c>
      <c r="L21" s="294">
        <v>2334594.66</v>
      </c>
      <c r="M21" s="294">
        <v>1290368.17</v>
      </c>
      <c r="N21" s="330">
        <v>1131477.26</v>
      </c>
      <c r="O21" s="353">
        <v>1041215.84</v>
      </c>
      <c r="P21" s="354">
        <f t="shared" si="3"/>
        <v>40638726.390000008</v>
      </c>
      <c r="Q21" s="341"/>
      <c r="R21" s="341"/>
      <c r="S21" s="341"/>
      <c r="T21" s="341"/>
      <c r="U21" s="341"/>
      <c r="V21" s="341"/>
      <c r="W21" s="341"/>
      <c r="X21" s="265">
        <f t="shared" si="4"/>
        <v>1.2182237594052581</v>
      </c>
      <c r="Y21" s="3"/>
      <c r="Z21" s="3"/>
      <c r="AA21" s="3"/>
      <c r="AB21" s="3"/>
      <c r="AC21" s="3"/>
      <c r="AD21" s="3"/>
      <c r="AE21" s="3"/>
      <c r="AF21" s="3"/>
    </row>
    <row r="22" spans="2:32" ht="15" customHeight="1">
      <c r="B22" s="3"/>
      <c r="C22" s="352" t="str">
        <f>IF(MasterSheet!$A$1=1,MasterSheet!C341,MasterSheet!B341)</f>
        <v>Porez na imovinu</v>
      </c>
      <c r="D22" s="261">
        <v>115652.5</v>
      </c>
      <c r="E22" s="294">
        <v>124226.81</v>
      </c>
      <c r="F22" s="294">
        <v>132357.70000000001</v>
      </c>
      <c r="G22" s="294">
        <v>115457.95</v>
      </c>
      <c r="H22" s="294">
        <v>67705.259999999995</v>
      </c>
      <c r="I22" s="294">
        <v>72081.91</v>
      </c>
      <c r="J22" s="294">
        <v>126831.7</v>
      </c>
      <c r="K22" s="294">
        <v>162557.79</v>
      </c>
      <c r="L22" s="294">
        <v>100652.07</v>
      </c>
      <c r="M22" s="294">
        <v>168549.68</v>
      </c>
      <c r="N22" s="330">
        <v>113492.53</v>
      </c>
      <c r="O22" s="353">
        <v>140999.42000000001</v>
      </c>
      <c r="P22" s="354">
        <f t="shared" si="3"/>
        <v>1440565.3199999998</v>
      </c>
      <c r="Q22" s="341"/>
      <c r="R22" s="341"/>
      <c r="S22" s="341"/>
      <c r="T22" s="341"/>
      <c r="U22" s="341"/>
      <c r="V22" s="341"/>
      <c r="W22" s="341"/>
      <c r="X22" s="265">
        <f t="shared" si="4"/>
        <v>4.318370814472855E-2</v>
      </c>
      <c r="Y22" s="3"/>
      <c r="Z22" s="3"/>
      <c r="AA22" s="3"/>
      <c r="AB22" s="3"/>
      <c r="AC22" s="3"/>
      <c r="AD22" s="3"/>
      <c r="AE22" s="3"/>
      <c r="AF22" s="3"/>
    </row>
    <row r="23" spans="2:32" ht="15" customHeight="1">
      <c r="B23" s="3"/>
      <c r="C23" s="352" t="str">
        <f>IF(MasterSheet!$A$1=1,MasterSheet!C342,MasterSheet!B342)</f>
        <v>Porez na dodatu vrijednost</v>
      </c>
      <c r="D23" s="261">
        <v>24859352.079999998</v>
      </c>
      <c r="E23" s="294">
        <v>24747849.059999999</v>
      </c>
      <c r="F23" s="294">
        <v>29494568</v>
      </c>
      <c r="G23" s="294">
        <v>33764031.280000001</v>
      </c>
      <c r="H23" s="294">
        <v>34164912.100000001</v>
      </c>
      <c r="I23" s="294">
        <v>35865076.689999998</v>
      </c>
      <c r="J23" s="294">
        <v>47181978.859999999</v>
      </c>
      <c r="K23" s="294">
        <v>47065903.329999998</v>
      </c>
      <c r="L23" s="294">
        <v>40694228.75</v>
      </c>
      <c r="M23" s="294">
        <v>37652216.649999999</v>
      </c>
      <c r="N23" s="330">
        <v>33512039.469999999</v>
      </c>
      <c r="O23" s="353">
        <v>40192913.060000002</v>
      </c>
      <c r="P23" s="354">
        <f t="shared" si="3"/>
        <v>429195069.32999998</v>
      </c>
      <c r="Q23" s="341"/>
      <c r="R23" s="341"/>
      <c r="S23" s="341"/>
      <c r="T23" s="341"/>
      <c r="U23" s="341"/>
      <c r="V23" s="341"/>
      <c r="W23" s="341"/>
      <c r="X23" s="265">
        <f t="shared" si="4"/>
        <v>12.865945302017446</v>
      </c>
      <c r="Y23" s="3"/>
      <c r="Z23" s="3"/>
      <c r="AA23" s="3"/>
      <c r="AB23" s="3"/>
      <c r="AC23" s="3"/>
      <c r="AD23" s="3"/>
      <c r="AE23" s="3"/>
      <c r="AF23" s="3"/>
    </row>
    <row r="24" spans="2:32" ht="15" customHeight="1">
      <c r="B24" s="3"/>
      <c r="C24" s="352" t="str">
        <f>IF(MasterSheet!$A$1=1,MasterSheet!C343,MasterSheet!B343)</f>
        <v xml:space="preserve">Akcize </v>
      </c>
      <c r="D24" s="261">
        <v>9255849.1899999995</v>
      </c>
      <c r="E24" s="294">
        <v>8985711.9700000007</v>
      </c>
      <c r="F24" s="294">
        <v>10357645.699999999</v>
      </c>
      <c r="G24" s="294">
        <v>12315837.07</v>
      </c>
      <c r="H24" s="294">
        <v>12029998.560000001</v>
      </c>
      <c r="I24" s="294">
        <v>13029212.49</v>
      </c>
      <c r="J24" s="294">
        <v>16425719.380000001</v>
      </c>
      <c r="K24" s="294">
        <v>20976976.140000001</v>
      </c>
      <c r="L24" s="294">
        <v>17250832.809999999</v>
      </c>
      <c r="M24" s="294">
        <v>14547164.49</v>
      </c>
      <c r="N24" s="330">
        <v>13082725.300000001</v>
      </c>
      <c r="O24" s="353">
        <v>13187797.07</v>
      </c>
      <c r="P24" s="354">
        <f t="shared" si="3"/>
        <v>161445470.17000002</v>
      </c>
      <c r="Q24" s="341"/>
      <c r="R24" s="341"/>
      <c r="S24" s="341"/>
      <c r="T24" s="341"/>
      <c r="U24" s="341"/>
      <c r="V24" s="341"/>
      <c r="W24" s="341"/>
      <c r="X24" s="265">
        <f t="shared" si="4"/>
        <v>4.8396375841601973</v>
      </c>
      <c r="Y24" s="3"/>
      <c r="Z24" s="3"/>
      <c r="AA24" s="3"/>
      <c r="AB24" s="3"/>
      <c r="AC24" s="3"/>
      <c r="AD24" s="3"/>
      <c r="AE24" s="3"/>
      <c r="AF24" s="3"/>
    </row>
    <row r="25" spans="2:32" ht="15" customHeight="1">
      <c r="B25" s="3"/>
      <c r="C25" s="352" t="str">
        <f>IF(MasterSheet!$A$1=1,MasterSheet!C344,MasterSheet!B344)</f>
        <v>Porez na međ. trgov. i transakcije</v>
      </c>
      <c r="D25" s="261">
        <v>1102894.92</v>
      </c>
      <c r="E25" s="294">
        <v>1314712.1299999999</v>
      </c>
      <c r="F25" s="294">
        <v>1860387.34</v>
      </c>
      <c r="G25" s="294">
        <v>2089824.5</v>
      </c>
      <c r="H25" s="294">
        <v>1988387.88</v>
      </c>
      <c r="I25" s="294">
        <v>1996988.03</v>
      </c>
      <c r="J25" s="294">
        <v>2464457.46</v>
      </c>
      <c r="K25" s="294">
        <v>2205770.9</v>
      </c>
      <c r="L25" s="294">
        <v>2039547.65</v>
      </c>
      <c r="M25" s="294">
        <v>2036206.12</v>
      </c>
      <c r="N25" s="330">
        <v>1479074.48</v>
      </c>
      <c r="O25" s="353">
        <v>1691131.23</v>
      </c>
      <c r="P25" s="354">
        <f t="shared" si="3"/>
        <v>22269382.640000001</v>
      </c>
      <c r="Q25" s="341"/>
      <c r="R25" s="341"/>
      <c r="S25" s="341"/>
      <c r="T25" s="341"/>
      <c r="U25" s="341"/>
      <c r="V25" s="341"/>
      <c r="W25" s="341"/>
      <c r="X25" s="265">
        <f t="shared" si="4"/>
        <v>0.66756745226175851</v>
      </c>
      <c r="Y25" s="3"/>
      <c r="Z25" s="3"/>
      <c r="AA25" s="3"/>
      <c r="AB25" s="3"/>
      <c r="AC25" s="3"/>
      <c r="AD25" s="3"/>
      <c r="AE25" s="3"/>
      <c r="AF25" s="3"/>
    </row>
    <row r="26" spans="2:32" ht="15" customHeight="1">
      <c r="B26" s="3"/>
      <c r="C26" s="352" t="str">
        <f>IF(MasterSheet!$A$1=1,MasterSheet!C345,MasterSheet!B345)</f>
        <v>Ostali republički porezi</v>
      </c>
      <c r="D26" s="261">
        <v>295222.94</v>
      </c>
      <c r="E26" s="294">
        <v>270164.90999999997</v>
      </c>
      <c r="F26" s="294">
        <v>351628.71</v>
      </c>
      <c r="G26" s="294">
        <v>434315.91</v>
      </c>
      <c r="H26" s="294">
        <v>461704.03</v>
      </c>
      <c r="I26" s="294">
        <v>485397.07</v>
      </c>
      <c r="J26" s="294">
        <v>545196.39</v>
      </c>
      <c r="K26" s="294">
        <v>493389.22</v>
      </c>
      <c r="L26" s="294">
        <v>528832.29</v>
      </c>
      <c r="M26" s="294">
        <v>429830.19</v>
      </c>
      <c r="N26" s="330">
        <v>402695.85</v>
      </c>
      <c r="O26" s="353">
        <v>390434.24</v>
      </c>
      <c r="P26" s="354">
        <f t="shared" si="3"/>
        <v>5088811.75</v>
      </c>
      <c r="Q26" s="341"/>
      <c r="R26" s="341"/>
      <c r="S26" s="341"/>
      <c r="T26" s="341"/>
      <c r="U26" s="341"/>
      <c r="V26" s="341"/>
      <c r="W26" s="341"/>
      <c r="X26" s="265">
        <f t="shared" si="4"/>
        <v>0.1525468913936269</v>
      </c>
      <c r="Y26" s="3"/>
      <c r="Z26" s="3"/>
      <c r="AA26" s="3"/>
      <c r="AB26" s="3"/>
      <c r="AC26" s="3"/>
      <c r="AD26" s="3"/>
      <c r="AE26" s="3"/>
      <c r="AF26" s="3"/>
    </row>
    <row r="27" spans="2:32" ht="15" customHeight="1">
      <c r="B27" s="3"/>
      <c r="C27" s="355" t="str">
        <f>IF(MasterSheet!$A$1=1,MasterSheet!C346,MasterSheet!B346)</f>
        <v>Doprinosi</v>
      </c>
      <c r="D27" s="267">
        <f>SUM(D28:D31)</f>
        <v>11682979.650000002</v>
      </c>
      <c r="E27" s="268">
        <f t="shared" ref="E27:N27" si="5">SUM(E28:E31)</f>
        <v>27994298.860000003</v>
      </c>
      <c r="F27" s="268">
        <f t="shared" si="5"/>
        <v>28945916.93</v>
      </c>
      <c r="G27" s="268">
        <f t="shared" si="5"/>
        <v>27280628.250000004</v>
      </c>
      <c r="H27" s="268">
        <f t="shared" si="5"/>
        <v>28636828.640000001</v>
      </c>
      <c r="I27" s="268">
        <f t="shared" si="5"/>
        <v>32181705.779999997</v>
      </c>
      <c r="J27" s="268">
        <f t="shared" si="5"/>
        <v>33084499.869999997</v>
      </c>
      <c r="K27" s="268">
        <f t="shared" si="5"/>
        <v>36125435.899999999</v>
      </c>
      <c r="L27" s="268">
        <f t="shared" si="5"/>
        <v>38355351.649999999</v>
      </c>
      <c r="M27" s="268">
        <f t="shared" si="5"/>
        <v>43749236.140000001</v>
      </c>
      <c r="N27" s="356">
        <f t="shared" si="5"/>
        <v>30216321.529999997</v>
      </c>
      <c r="O27" s="357">
        <f t="shared" ref="O27" si="6">+SUM(O28:O31)</f>
        <v>60241080.990000002</v>
      </c>
      <c r="P27" s="271">
        <f t="shared" si="3"/>
        <v>398494284.19</v>
      </c>
      <c r="Q27" s="341"/>
      <c r="R27" s="341"/>
      <c r="S27" s="341"/>
      <c r="T27" s="341"/>
      <c r="U27" s="341"/>
      <c r="V27" s="341"/>
      <c r="W27" s="341"/>
      <c r="X27" s="272">
        <f t="shared" si="4"/>
        <v>11.945630390299469</v>
      </c>
      <c r="Y27" s="3"/>
      <c r="Z27" s="3"/>
      <c r="AA27" s="3"/>
      <c r="AB27" s="3"/>
      <c r="AC27" s="3"/>
      <c r="AD27" s="3"/>
      <c r="AE27" s="3"/>
      <c r="AF27" s="3"/>
    </row>
    <row r="28" spans="2:32" ht="15" customHeight="1">
      <c r="B28" s="3"/>
      <c r="C28" s="352" t="str">
        <f>IF(MasterSheet!$A$1=1,MasterSheet!C347,MasterSheet!B347)</f>
        <v>Doprinosi za PIO</v>
      </c>
      <c r="D28" s="261">
        <v>6569958.79</v>
      </c>
      <c r="E28" s="294">
        <v>16611196.84</v>
      </c>
      <c r="F28" s="294">
        <v>17067697.949999999</v>
      </c>
      <c r="G28" s="294">
        <v>16395294.609999999</v>
      </c>
      <c r="H28" s="294">
        <v>17202945.739999998</v>
      </c>
      <c r="I28" s="294">
        <v>19884670.050000001</v>
      </c>
      <c r="J28" s="294">
        <v>20554627.07</v>
      </c>
      <c r="K28" s="294">
        <v>21794241.239999998</v>
      </c>
      <c r="L28" s="294">
        <v>24404439.25</v>
      </c>
      <c r="M28" s="294">
        <v>26554882.899999999</v>
      </c>
      <c r="N28" s="330">
        <v>18167916.66</v>
      </c>
      <c r="O28" s="353">
        <v>36741484.630000003</v>
      </c>
      <c r="P28" s="354">
        <f>SUM(D28:O28)</f>
        <v>241949355.72999999</v>
      </c>
      <c r="Q28" s="341"/>
      <c r="R28" s="341"/>
      <c r="S28" s="341"/>
      <c r="T28" s="341"/>
      <c r="U28" s="341"/>
      <c r="V28" s="341"/>
      <c r="W28" s="341"/>
      <c r="X28" s="265">
        <f t="shared" si="4"/>
        <v>7.2528959420246411</v>
      </c>
      <c r="Y28" s="132"/>
      <c r="Z28" s="3"/>
      <c r="AA28" s="3"/>
      <c r="AB28" s="3"/>
      <c r="AC28" s="3"/>
      <c r="AD28" s="3"/>
      <c r="AE28" s="3"/>
      <c r="AF28" s="3"/>
    </row>
    <row r="29" spans="2:32" ht="15" customHeight="1">
      <c r="B29" s="3"/>
      <c r="C29" s="352" t="str">
        <f>IF(MasterSheet!$A$1=1,MasterSheet!C348,MasterSheet!B348)</f>
        <v>Doprinosi za zdravstvo</v>
      </c>
      <c r="D29" s="261">
        <v>4448210.58</v>
      </c>
      <c r="E29" s="294">
        <v>9815385.6500000004</v>
      </c>
      <c r="F29" s="294">
        <v>10258473.91</v>
      </c>
      <c r="G29" s="294">
        <v>9269268.3100000005</v>
      </c>
      <c r="H29" s="294">
        <v>9910929.3900000006</v>
      </c>
      <c r="I29" s="294">
        <v>10350588.92</v>
      </c>
      <c r="J29" s="294">
        <v>10616032.939999999</v>
      </c>
      <c r="K29" s="294">
        <v>12357023.08</v>
      </c>
      <c r="L29" s="294">
        <v>12078523.4</v>
      </c>
      <c r="M29" s="294">
        <v>14819585.57</v>
      </c>
      <c r="N29" s="330">
        <v>10483154.24</v>
      </c>
      <c r="O29" s="353">
        <v>20296721.100000001</v>
      </c>
      <c r="P29" s="354">
        <f t="shared" si="3"/>
        <v>134703897.09</v>
      </c>
      <c r="Q29" s="341"/>
      <c r="R29" s="341"/>
      <c r="S29" s="341"/>
      <c r="T29" s="341"/>
      <c r="U29" s="341"/>
      <c r="V29" s="341"/>
      <c r="W29" s="341"/>
      <c r="X29" s="265">
        <f t="shared" si="4"/>
        <v>4.0380076468119555</v>
      </c>
      <c r="Y29" s="132"/>
      <c r="Z29" s="3"/>
      <c r="AA29" s="3"/>
      <c r="AB29" s="3"/>
      <c r="AC29" s="3"/>
      <c r="AD29" s="3"/>
      <c r="AE29" s="3"/>
      <c r="AF29" s="3"/>
    </row>
    <row r="30" spans="2:32" ht="15" customHeight="1">
      <c r="B30" s="3"/>
      <c r="C30" s="352" t="str">
        <f>IF(MasterSheet!$A$1=1,MasterSheet!C349,MasterSheet!B349)</f>
        <v>Doprinosi za nezaposlene</v>
      </c>
      <c r="D30" s="261">
        <v>320175.14</v>
      </c>
      <c r="E30" s="294">
        <v>855409.48</v>
      </c>
      <c r="F30" s="294">
        <v>794755.32</v>
      </c>
      <c r="G30" s="294">
        <v>736973.07</v>
      </c>
      <c r="H30" s="294">
        <v>797748.44</v>
      </c>
      <c r="I30" s="294">
        <v>812695.59</v>
      </c>
      <c r="J30" s="294">
        <v>832467.98</v>
      </c>
      <c r="K30" s="294">
        <v>972876.83</v>
      </c>
      <c r="L30" s="294">
        <v>974818.93</v>
      </c>
      <c r="M30" s="294">
        <v>1188966.42</v>
      </c>
      <c r="N30" s="330">
        <v>830457.98</v>
      </c>
      <c r="O30" s="353">
        <v>1652845.01</v>
      </c>
      <c r="P30" s="354">
        <f>SUM(D30:O30)</f>
        <v>10770190.189999999</v>
      </c>
      <c r="Q30" s="341"/>
      <c r="R30" s="341"/>
      <c r="S30" s="341"/>
      <c r="T30" s="341"/>
      <c r="U30" s="341"/>
      <c r="V30" s="341"/>
      <c r="W30" s="341"/>
      <c r="X30" s="265">
        <f t="shared" si="4"/>
        <v>0.32285710572858894</v>
      </c>
      <c r="Y30" s="132"/>
      <c r="Z30" s="3"/>
      <c r="AA30" s="3"/>
      <c r="AB30" s="3"/>
      <c r="AC30" s="3"/>
      <c r="AD30" s="3"/>
      <c r="AE30" s="3"/>
      <c r="AF30" s="3"/>
    </row>
    <row r="31" spans="2:32" ht="15" customHeight="1">
      <c r="B31" s="3"/>
      <c r="C31" s="352" t="str">
        <f>IF(MasterSheet!$A$1=1,MasterSheet!C350,MasterSheet!B350)</f>
        <v>Ostali doprinosi</v>
      </c>
      <c r="D31" s="261">
        <v>344635.14</v>
      </c>
      <c r="E31" s="294">
        <v>712306.89</v>
      </c>
      <c r="F31" s="294">
        <v>824989.75</v>
      </c>
      <c r="G31" s="294">
        <v>879092.26</v>
      </c>
      <c r="H31" s="294">
        <v>725205.07</v>
      </c>
      <c r="I31" s="294">
        <v>1133751.22</v>
      </c>
      <c r="J31" s="294">
        <v>1081371.8799999999</v>
      </c>
      <c r="K31" s="294">
        <v>1001294.75</v>
      </c>
      <c r="L31" s="294">
        <v>897570.07</v>
      </c>
      <c r="M31" s="294">
        <v>1185801.25</v>
      </c>
      <c r="N31" s="330">
        <v>734792.65</v>
      </c>
      <c r="O31" s="353">
        <v>1550030.25</v>
      </c>
      <c r="P31" s="354">
        <f t="shared" si="3"/>
        <v>11070841.180000002</v>
      </c>
      <c r="Q31" s="341"/>
      <c r="R31" s="341"/>
      <c r="S31" s="341"/>
      <c r="T31" s="341"/>
      <c r="U31" s="341"/>
      <c r="V31" s="341"/>
      <c r="W31" s="341"/>
      <c r="X31" s="265">
        <f t="shared" si="4"/>
        <v>0.33186969573428465</v>
      </c>
      <c r="Y31" s="132"/>
      <c r="Z31" s="3"/>
      <c r="AA31" s="3"/>
      <c r="AB31" s="3"/>
      <c r="AC31" s="3"/>
      <c r="AD31" s="3"/>
      <c r="AE31" s="3"/>
      <c r="AF31" s="3"/>
    </row>
    <row r="32" spans="2:32" ht="15" customHeight="1">
      <c r="B32" s="3"/>
      <c r="C32" s="355" t="str">
        <f>IF(MasterSheet!$A$1=1,MasterSheet!C351,MasterSheet!B351)</f>
        <v>Takse</v>
      </c>
      <c r="D32" s="267">
        <f>SUM(D33:D36)</f>
        <v>1080928.04</v>
      </c>
      <c r="E32" s="268">
        <f t="shared" ref="E32:N32" si="7">SUM(E33:E36)</f>
        <v>1829225.49</v>
      </c>
      <c r="F32" s="268">
        <f t="shared" si="7"/>
        <v>2131564.3200000003</v>
      </c>
      <c r="G32" s="268">
        <f t="shared" si="7"/>
        <v>2230267.9299999997</v>
      </c>
      <c r="H32" s="268">
        <f t="shared" si="7"/>
        <v>2071940.67</v>
      </c>
      <c r="I32" s="268">
        <f t="shared" si="7"/>
        <v>2056189.4</v>
      </c>
      <c r="J32" s="268">
        <f t="shared" si="7"/>
        <v>2845514.48</v>
      </c>
      <c r="K32" s="268">
        <f t="shared" si="7"/>
        <v>2292067.08</v>
      </c>
      <c r="L32" s="268">
        <f t="shared" si="7"/>
        <v>1703660.69</v>
      </c>
      <c r="M32" s="268">
        <f t="shared" si="7"/>
        <v>2865108.45</v>
      </c>
      <c r="N32" s="356">
        <f t="shared" si="7"/>
        <v>2702027.5</v>
      </c>
      <c r="O32" s="357">
        <f t="shared" ref="O32" si="8">+SUM(O33:O36)</f>
        <v>3260963.95</v>
      </c>
      <c r="P32" s="271">
        <f t="shared" si="3"/>
        <v>27069458</v>
      </c>
      <c r="Q32" s="341"/>
      <c r="R32" s="341"/>
      <c r="S32" s="341"/>
      <c r="T32" s="341"/>
      <c r="U32" s="341"/>
      <c r="V32" s="341"/>
      <c r="W32" s="341"/>
      <c r="X32" s="272">
        <f t="shared" si="4"/>
        <v>0.81145891663419156</v>
      </c>
      <c r="Y32" s="3"/>
      <c r="Z32" s="3"/>
      <c r="AA32" s="3"/>
      <c r="AB32" s="3"/>
      <c r="AC32" s="3"/>
      <c r="AD32" s="3"/>
      <c r="AE32" s="3"/>
      <c r="AF32" s="3"/>
    </row>
    <row r="33" spans="2:32" ht="15" customHeight="1">
      <c r="B33" s="3"/>
      <c r="C33" s="352" t="str">
        <f>IF(MasterSheet!$A$1=1,MasterSheet!C352,MasterSheet!B352)</f>
        <v>Administrativne takse</v>
      </c>
      <c r="D33" s="261">
        <v>459792.77</v>
      </c>
      <c r="E33" s="294">
        <v>500772.32</v>
      </c>
      <c r="F33" s="294">
        <v>416213.56</v>
      </c>
      <c r="G33" s="294">
        <v>800629.84</v>
      </c>
      <c r="H33" s="294">
        <v>741038.8</v>
      </c>
      <c r="I33" s="294">
        <v>867200.61</v>
      </c>
      <c r="J33" s="294">
        <v>871700.12</v>
      </c>
      <c r="K33" s="294">
        <v>683870.65</v>
      </c>
      <c r="L33" s="294">
        <v>649765.01</v>
      </c>
      <c r="M33" s="294">
        <v>674279.4</v>
      </c>
      <c r="N33" s="330">
        <v>590303.17000000004</v>
      </c>
      <c r="O33" s="353">
        <v>625896.68999999994</v>
      </c>
      <c r="P33" s="354">
        <f t="shared" si="3"/>
        <v>7881462.9399999995</v>
      </c>
      <c r="Q33" s="358"/>
      <c r="R33" s="341"/>
      <c r="S33" s="341"/>
      <c r="T33" s="341"/>
      <c r="U33" s="341"/>
      <c r="V33" s="341"/>
      <c r="W33" s="341"/>
      <c r="X33" s="265">
        <f t="shared" si="4"/>
        <v>0.23626196648580591</v>
      </c>
      <c r="Y33" s="3"/>
      <c r="Z33" s="3"/>
      <c r="AA33" s="3"/>
      <c r="AB33" s="3"/>
      <c r="AC33" s="3"/>
      <c r="AD33" s="3"/>
      <c r="AE33" s="3"/>
      <c r="AF33" s="3"/>
    </row>
    <row r="34" spans="2:32" ht="15" customHeight="1">
      <c r="B34" s="3"/>
      <c r="C34" s="352" t="str">
        <f>IF(MasterSheet!$A$1=1,MasterSheet!C353,MasterSheet!B353)</f>
        <v>Sudske takse</v>
      </c>
      <c r="D34" s="261">
        <v>249117.52</v>
      </c>
      <c r="E34" s="294">
        <v>274019.34999999998</v>
      </c>
      <c r="F34" s="294">
        <v>324113.08</v>
      </c>
      <c r="G34" s="294">
        <v>340962.4</v>
      </c>
      <c r="H34" s="294">
        <v>236053.6</v>
      </c>
      <c r="I34" s="294">
        <v>329926.8</v>
      </c>
      <c r="J34" s="294">
        <v>394971.79</v>
      </c>
      <c r="K34" s="294">
        <v>193627.12</v>
      </c>
      <c r="L34" s="294">
        <v>283408.96999999997</v>
      </c>
      <c r="M34" s="294">
        <v>354059.72</v>
      </c>
      <c r="N34" s="330">
        <v>925664.5</v>
      </c>
      <c r="O34" s="353">
        <v>651866.41</v>
      </c>
      <c r="P34" s="354">
        <f t="shared" si="3"/>
        <v>4557791.26</v>
      </c>
      <c r="Q34" s="341"/>
      <c r="R34" s="341"/>
      <c r="S34" s="341"/>
      <c r="T34" s="341"/>
      <c r="U34" s="341"/>
      <c r="V34" s="341"/>
      <c r="W34" s="341"/>
      <c r="X34" s="265">
        <f t="shared" si="4"/>
        <v>0.13662853382895168</v>
      </c>
      <c r="Y34" s="3"/>
      <c r="Z34" s="7"/>
      <c r="AA34" s="3"/>
      <c r="AB34" s="3"/>
      <c r="AC34" s="3"/>
      <c r="AD34" s="3"/>
      <c r="AE34" s="3"/>
      <c r="AF34" s="3"/>
    </row>
    <row r="35" spans="2:32" ht="15" customHeight="1">
      <c r="B35" s="3"/>
      <c r="C35" s="352" t="str">
        <f>IF(MasterSheet!$A$1=1,MasterSheet!C354,MasterSheet!B354)</f>
        <v>Boravišne takse</v>
      </c>
      <c r="D35" s="261">
        <v>7635.04</v>
      </c>
      <c r="E35" s="294">
        <v>9839.27</v>
      </c>
      <c r="F35" s="294">
        <v>13749.62</v>
      </c>
      <c r="G35" s="294">
        <v>30237.24</v>
      </c>
      <c r="H35" s="294">
        <v>51941.32</v>
      </c>
      <c r="I35" s="294">
        <v>88623.71</v>
      </c>
      <c r="J35" s="294">
        <v>163284.24</v>
      </c>
      <c r="K35" s="294">
        <v>197232.93</v>
      </c>
      <c r="L35" s="294">
        <v>111463.85</v>
      </c>
      <c r="M35" s="294">
        <v>50426.22</v>
      </c>
      <c r="N35" s="330">
        <v>31073.22</v>
      </c>
      <c r="O35" s="353">
        <v>12430.33</v>
      </c>
      <c r="P35" s="354">
        <f t="shared" si="3"/>
        <v>767936.98999999987</v>
      </c>
      <c r="Q35" s="341"/>
      <c r="R35" s="341"/>
      <c r="S35" s="341"/>
      <c r="T35" s="341"/>
      <c r="U35" s="341"/>
      <c r="V35" s="341"/>
      <c r="W35" s="341"/>
      <c r="X35" s="265">
        <f t="shared" si="4"/>
        <v>2.3020384004316673E-2</v>
      </c>
      <c r="Y35" s="3"/>
      <c r="Z35" s="3"/>
      <c r="AA35" s="3"/>
      <c r="AB35" s="3"/>
      <c r="AC35" s="3"/>
      <c r="AD35" s="3"/>
      <c r="AE35" s="3"/>
      <c r="AF35" s="3"/>
    </row>
    <row r="36" spans="2:32" ht="15" customHeight="1">
      <c r="B36" s="3"/>
      <c r="C36" s="352" t="str">
        <f>IF(MasterSheet!$A$1=1,MasterSheet!C355,MasterSheet!B355)</f>
        <v>Ostale takse</v>
      </c>
      <c r="D36" s="261">
        <v>364382.71</v>
      </c>
      <c r="E36" s="294">
        <v>1044594.55</v>
      </c>
      <c r="F36" s="294">
        <v>1377488.06</v>
      </c>
      <c r="G36" s="294">
        <v>1058438.45</v>
      </c>
      <c r="H36" s="294">
        <v>1042906.95</v>
      </c>
      <c r="I36" s="294">
        <v>770438.28</v>
      </c>
      <c r="J36" s="294">
        <v>1415558.33</v>
      </c>
      <c r="K36" s="294">
        <v>1217336.3799999999</v>
      </c>
      <c r="L36" s="294">
        <v>659022.86</v>
      </c>
      <c r="M36" s="294">
        <v>1786343.11</v>
      </c>
      <c r="N36" s="330">
        <v>1154986.6100000001</v>
      </c>
      <c r="O36" s="353">
        <v>1970770.52</v>
      </c>
      <c r="P36" s="354">
        <f t="shared" si="3"/>
        <v>13862266.809999999</v>
      </c>
      <c r="Q36" s="341"/>
      <c r="R36" s="341"/>
      <c r="S36" s="341"/>
      <c r="T36" s="341"/>
      <c r="U36" s="341"/>
      <c r="V36" s="341"/>
      <c r="W36" s="341"/>
      <c r="X36" s="265">
        <f t="shared" si="4"/>
        <v>0.41554803231511728</v>
      </c>
      <c r="Y36" s="3"/>
      <c r="Z36" s="3"/>
      <c r="AA36" s="3"/>
      <c r="AB36" s="3"/>
      <c r="AC36" s="3"/>
      <c r="AD36" s="3"/>
      <c r="AE36" s="3"/>
      <c r="AF36" s="3"/>
    </row>
    <row r="37" spans="2:32" ht="15" customHeight="1">
      <c r="B37" s="3"/>
      <c r="C37" s="355" t="str">
        <f>IF(MasterSheet!$A$1=1,MasterSheet!C356,MasterSheet!B356)</f>
        <v>Naknade</v>
      </c>
      <c r="D37" s="267">
        <f>SUM(D38:D43)</f>
        <v>893749.17</v>
      </c>
      <c r="E37" s="268">
        <f t="shared" ref="E37:N37" si="9">SUM(E38:E43)</f>
        <v>1163449.29</v>
      </c>
      <c r="F37" s="268">
        <f t="shared" si="9"/>
        <v>1397810.9500000002</v>
      </c>
      <c r="G37" s="268">
        <f t="shared" si="9"/>
        <v>988260.99</v>
      </c>
      <c r="H37" s="268">
        <f t="shared" si="9"/>
        <v>663493.42000000004</v>
      </c>
      <c r="I37" s="268">
        <f t="shared" si="9"/>
        <v>985589.28</v>
      </c>
      <c r="J37" s="268">
        <f t="shared" si="9"/>
        <v>1220629.7999999998</v>
      </c>
      <c r="K37" s="268">
        <f t="shared" si="9"/>
        <v>1071856.1399999999</v>
      </c>
      <c r="L37" s="268">
        <f t="shared" si="9"/>
        <v>1326309.73</v>
      </c>
      <c r="M37" s="268">
        <f t="shared" si="9"/>
        <v>1344708.95</v>
      </c>
      <c r="N37" s="356">
        <f t="shared" si="9"/>
        <v>1250084.53</v>
      </c>
      <c r="O37" s="357">
        <f t="shared" ref="O37" si="10">+SUM(O38:O43)</f>
        <v>927547.93</v>
      </c>
      <c r="P37" s="271">
        <f t="shared" si="3"/>
        <v>13233490.179999998</v>
      </c>
      <c r="Q37" s="341"/>
      <c r="R37" s="341"/>
      <c r="S37" s="341"/>
      <c r="T37" s="341"/>
      <c r="U37" s="341"/>
      <c r="V37" s="341"/>
      <c r="W37" s="341"/>
      <c r="X37" s="272">
        <f t="shared" si="4"/>
        <v>0.3966992469798255</v>
      </c>
      <c r="Y37" s="3"/>
      <c r="Z37" s="3"/>
      <c r="AA37" s="3"/>
      <c r="AB37" s="3"/>
      <c r="AC37" s="3"/>
      <c r="AD37" s="3"/>
      <c r="AE37" s="3"/>
      <c r="AF37" s="3"/>
    </row>
    <row r="38" spans="2:32" ht="15" customHeight="1">
      <c r="B38" s="3"/>
      <c r="C38" s="352" t="str">
        <f>IF(MasterSheet!$A$1=1,MasterSheet!C357,MasterSheet!B357)</f>
        <v>Nakn. za koriš. dob. od opš. int.</v>
      </c>
      <c r="D38" s="261">
        <v>12391.26</v>
      </c>
      <c r="E38" s="294">
        <v>9264.06</v>
      </c>
      <c r="F38" s="294">
        <v>19332.669999999998</v>
      </c>
      <c r="G38" s="294">
        <v>48395.81</v>
      </c>
      <c r="H38" s="294">
        <v>27750.959999999999</v>
      </c>
      <c r="I38" s="294">
        <v>70400.89</v>
      </c>
      <c r="J38" s="294">
        <v>64040.69</v>
      </c>
      <c r="K38" s="294">
        <v>63273.440000000002</v>
      </c>
      <c r="L38" s="294">
        <v>75343.27</v>
      </c>
      <c r="M38" s="294">
        <v>96159.1</v>
      </c>
      <c r="N38" s="330">
        <v>77271.91</v>
      </c>
      <c r="O38" s="353">
        <v>83642.8</v>
      </c>
      <c r="P38" s="354">
        <f t="shared" si="3"/>
        <v>647266.8600000001</v>
      </c>
      <c r="Q38" s="341"/>
      <c r="R38" s="341"/>
      <c r="S38" s="341"/>
      <c r="T38" s="341"/>
      <c r="U38" s="341"/>
      <c r="V38" s="341"/>
      <c r="W38" s="341"/>
      <c r="X38" s="265">
        <f t="shared" si="4"/>
        <v>1.9403065439611504E-2</v>
      </c>
      <c r="Y38" s="3"/>
      <c r="Z38" s="3"/>
      <c r="AA38" s="3"/>
      <c r="AB38" s="3"/>
      <c r="AC38" s="3"/>
      <c r="AD38" s="3"/>
      <c r="AE38" s="3"/>
      <c r="AF38" s="3"/>
    </row>
    <row r="39" spans="2:32" ht="15" customHeight="1">
      <c r="B39" s="3"/>
      <c r="C39" s="352" t="str">
        <f>IF(MasterSheet!$A$1=1,MasterSheet!C358,MasterSheet!B358)</f>
        <v>Naknada za kor. prirodnih dobara</v>
      </c>
      <c r="D39" s="261">
        <v>68464.97</v>
      </c>
      <c r="E39" s="294">
        <v>158539.48000000001</v>
      </c>
      <c r="F39" s="294">
        <v>86875.06</v>
      </c>
      <c r="G39" s="294">
        <v>139023.51</v>
      </c>
      <c r="H39" s="294">
        <v>88167.33</v>
      </c>
      <c r="I39" s="294">
        <v>150765.28</v>
      </c>
      <c r="J39" s="294">
        <v>282162.89</v>
      </c>
      <c r="K39" s="294">
        <v>250555.05</v>
      </c>
      <c r="L39" s="294">
        <v>339587.75</v>
      </c>
      <c r="M39" s="294">
        <v>157373.04</v>
      </c>
      <c r="N39" s="330">
        <v>139158.56</v>
      </c>
      <c r="O39" s="353">
        <v>134510.71</v>
      </c>
      <c r="P39" s="354">
        <f t="shared" si="3"/>
        <v>1995183.6300000001</v>
      </c>
      <c r="Q39" s="341"/>
      <c r="R39" s="341"/>
      <c r="S39" s="341"/>
      <c r="T39" s="341"/>
      <c r="U39" s="341"/>
      <c r="V39" s="341"/>
      <c r="W39" s="341"/>
      <c r="X39" s="265">
        <f t="shared" si="4"/>
        <v>5.9809455619173238E-2</v>
      </c>
      <c r="Y39" s="3"/>
      <c r="Z39" s="3"/>
      <c r="AA39" s="3"/>
      <c r="AB39" s="3"/>
      <c r="AC39" s="3"/>
      <c r="AD39" s="3"/>
      <c r="AE39" s="3"/>
      <c r="AF39" s="3"/>
    </row>
    <row r="40" spans="2:32" ht="15" customHeight="1">
      <c r="B40" s="3"/>
      <c r="C40" s="352" t="str">
        <f>IF(MasterSheet!$A$1=1,MasterSheet!C359,MasterSheet!B359)</f>
        <v>Ekološke naknade</v>
      </c>
      <c r="D40" s="261">
        <v>6048</v>
      </c>
      <c r="E40" s="294">
        <v>320.11</v>
      </c>
      <c r="F40" s="294">
        <v>56177.94</v>
      </c>
      <c r="G40" s="294">
        <v>130839.86</v>
      </c>
      <c r="H40" s="294">
        <v>16753.849999999999</v>
      </c>
      <c r="I40" s="294">
        <v>764.61</v>
      </c>
      <c r="J40" s="294">
        <v>914.61</v>
      </c>
      <c r="K40" s="294">
        <v>42276.51</v>
      </c>
      <c r="L40" s="294">
        <v>13918.49</v>
      </c>
      <c r="M40" s="294">
        <v>13185.38</v>
      </c>
      <c r="N40" s="330">
        <v>13874</v>
      </c>
      <c r="O40" s="353">
        <v>14777.89</v>
      </c>
      <c r="P40" s="354">
        <f t="shared" si="3"/>
        <v>309851.25</v>
      </c>
      <c r="Q40" s="341"/>
      <c r="R40" s="341"/>
      <c r="S40" s="341"/>
      <c r="T40" s="341"/>
      <c r="U40" s="341"/>
      <c r="V40" s="341"/>
      <c r="W40" s="341"/>
      <c r="X40" s="265">
        <f t="shared" si="4"/>
        <v>9.2883854432087298E-3</v>
      </c>
      <c r="Y40" s="3"/>
      <c r="Z40" s="3"/>
      <c r="AA40" s="3"/>
      <c r="AB40" s="3"/>
      <c r="AC40" s="3"/>
      <c r="AD40" s="3"/>
      <c r="AE40" s="3"/>
      <c r="AF40" s="3"/>
    </row>
    <row r="41" spans="2:32" ht="15" customHeight="1">
      <c r="B41" s="3"/>
      <c r="C41" s="352" t="str">
        <f>IF(MasterSheet!$A$1=1,MasterSheet!C360,MasterSheet!B360)</f>
        <v>Naknade za priređ.  igara na sreću</v>
      </c>
      <c r="D41" s="261">
        <v>222019.59</v>
      </c>
      <c r="E41" s="294">
        <v>260412.76</v>
      </c>
      <c r="F41" s="294">
        <v>313915.52000000002</v>
      </c>
      <c r="G41" s="294">
        <v>296413.03999999998</v>
      </c>
      <c r="H41" s="294">
        <v>213025.27</v>
      </c>
      <c r="I41" s="294">
        <v>239906.22</v>
      </c>
      <c r="J41" s="294">
        <v>270961.98</v>
      </c>
      <c r="K41" s="294">
        <v>229984.6</v>
      </c>
      <c r="L41" s="294">
        <v>298987.89</v>
      </c>
      <c r="M41" s="294">
        <v>282520.88</v>
      </c>
      <c r="N41" s="330">
        <v>371527.13</v>
      </c>
      <c r="O41" s="353">
        <v>324502.28000000003</v>
      </c>
      <c r="P41" s="354">
        <f t="shared" si="3"/>
        <v>3324177.16</v>
      </c>
      <c r="Q41" s="341"/>
      <c r="R41" s="341"/>
      <c r="S41" s="341"/>
      <c r="T41" s="341"/>
      <c r="U41" s="341"/>
      <c r="V41" s="341"/>
      <c r="W41" s="341"/>
      <c r="X41" s="265">
        <f t="shared" si="4"/>
        <v>9.9648585389250283E-2</v>
      </c>
      <c r="Y41" s="3"/>
      <c r="Z41" s="3"/>
      <c r="AA41" s="3"/>
      <c r="AB41" s="3"/>
      <c r="AC41" s="3"/>
      <c r="AD41" s="3"/>
      <c r="AE41" s="3"/>
      <c r="AF41" s="3"/>
    </row>
    <row r="42" spans="2:32" ht="15" customHeight="1">
      <c r="B42" s="3"/>
      <c r="C42" s="352" t="str">
        <f>IF(MasterSheet!$A$1=1,MasterSheet!C361,MasterSheet!B361)</f>
        <v>Naknade za puteve</v>
      </c>
      <c r="D42" s="359">
        <v>200170.6</v>
      </c>
      <c r="E42" s="360">
        <v>185750</v>
      </c>
      <c r="F42" s="360">
        <v>228989.35</v>
      </c>
      <c r="G42" s="360">
        <v>274371.25</v>
      </c>
      <c r="H42" s="360">
        <v>243469.35</v>
      </c>
      <c r="I42" s="360">
        <v>383575.83</v>
      </c>
      <c r="J42" s="360">
        <v>441154.74</v>
      </c>
      <c r="K42" s="360">
        <v>390342.59</v>
      </c>
      <c r="L42" s="360">
        <v>273601.76</v>
      </c>
      <c r="M42" s="360">
        <v>630488.81999999995</v>
      </c>
      <c r="N42" s="361">
        <v>193495.36</v>
      </c>
      <c r="O42" s="353">
        <v>213614.54</v>
      </c>
      <c r="P42" s="354">
        <f t="shared" si="3"/>
        <v>3659024.1899999995</v>
      </c>
      <c r="Q42" s="341"/>
      <c r="R42" s="341"/>
      <c r="S42" s="341"/>
      <c r="T42" s="341"/>
      <c r="U42" s="341"/>
      <c r="V42" s="341"/>
      <c r="W42" s="341"/>
      <c r="X42" s="265">
        <f t="shared" si="4"/>
        <v>0.10968626727419885</v>
      </c>
      <c r="Y42" s="3"/>
      <c r="Z42" s="3"/>
      <c r="AA42" s="3"/>
      <c r="AB42" s="3"/>
      <c r="AC42" s="3"/>
      <c r="AD42" s="3"/>
      <c r="AE42" s="3"/>
      <c r="AF42" s="3"/>
    </row>
    <row r="43" spans="2:32" ht="15" customHeight="1">
      <c r="B43" s="3"/>
      <c r="C43" s="352" t="str">
        <f>IF(MasterSheet!$A$1=1,MasterSheet!C362,MasterSheet!B362)</f>
        <v>Ostale naknade</v>
      </c>
      <c r="D43" s="261">
        <v>384654.75</v>
      </c>
      <c r="E43" s="294">
        <v>549162.88</v>
      </c>
      <c r="F43" s="294">
        <v>692520.41</v>
      </c>
      <c r="G43" s="294">
        <v>99217.52</v>
      </c>
      <c r="H43" s="294">
        <v>74326.66</v>
      </c>
      <c r="I43" s="294">
        <v>140176.45000000001</v>
      </c>
      <c r="J43" s="294">
        <v>161394.89000000001</v>
      </c>
      <c r="K43" s="294">
        <v>95423.95</v>
      </c>
      <c r="L43" s="294">
        <v>324870.57</v>
      </c>
      <c r="M43" s="294">
        <v>164981.73000000001</v>
      </c>
      <c r="N43" s="330">
        <v>454757.57</v>
      </c>
      <c r="O43" s="353">
        <v>156499.71</v>
      </c>
      <c r="P43" s="354">
        <f t="shared" si="3"/>
        <v>3297987.09</v>
      </c>
      <c r="Q43" s="341"/>
      <c r="R43" s="341"/>
      <c r="S43" s="341"/>
      <c r="T43" s="341"/>
      <c r="U43" s="341"/>
      <c r="V43" s="341"/>
      <c r="W43" s="341"/>
      <c r="X43" s="265">
        <f t="shared" si="4"/>
        <v>9.8863487814382936E-2</v>
      </c>
      <c r="Y43" s="3"/>
      <c r="Z43" s="3"/>
      <c r="AA43" s="3"/>
      <c r="AB43" s="3"/>
      <c r="AC43" s="3"/>
      <c r="AD43" s="3"/>
      <c r="AE43" s="3"/>
      <c r="AF43" s="3"/>
    </row>
    <row r="44" spans="2:32" ht="15" customHeight="1">
      <c r="B44" s="3"/>
      <c r="C44" s="355" t="str">
        <f>IF(MasterSheet!$A$1=1,MasterSheet!C363,MasterSheet!B363)</f>
        <v>Ostali prihodi</v>
      </c>
      <c r="D44" s="267">
        <f>SUM(D45:D48)</f>
        <v>2241173.08</v>
      </c>
      <c r="E44" s="268">
        <f t="shared" ref="E44:N44" si="11">SUM(E45:E48)</f>
        <v>1376803.35</v>
      </c>
      <c r="F44" s="268">
        <f t="shared" si="11"/>
        <v>1585734.3</v>
      </c>
      <c r="G44" s="268">
        <f t="shared" si="11"/>
        <v>2753021.1100000003</v>
      </c>
      <c r="H44" s="268">
        <f t="shared" si="11"/>
        <v>2929020.08</v>
      </c>
      <c r="I44" s="268">
        <f t="shared" si="11"/>
        <v>2018414.1600000001</v>
      </c>
      <c r="J44" s="268">
        <f t="shared" si="11"/>
        <v>3244584.8200000003</v>
      </c>
      <c r="K44" s="268">
        <f t="shared" si="11"/>
        <v>2551646.1</v>
      </c>
      <c r="L44" s="268">
        <f t="shared" si="11"/>
        <v>2584813.8600000003</v>
      </c>
      <c r="M44" s="268">
        <f t="shared" si="11"/>
        <v>2305666.64</v>
      </c>
      <c r="N44" s="356">
        <f t="shared" si="11"/>
        <v>4417533.9799999995</v>
      </c>
      <c r="O44" s="357">
        <f t="shared" ref="O44" si="12">+SUM(O45:O48)</f>
        <v>5079783.0600000005</v>
      </c>
      <c r="P44" s="271">
        <f t="shared" si="3"/>
        <v>33088194.540000007</v>
      </c>
      <c r="Q44" s="341"/>
      <c r="R44" s="341"/>
      <c r="S44" s="341"/>
      <c r="T44" s="341"/>
      <c r="U44" s="341"/>
      <c r="V44" s="341"/>
      <c r="W44" s="341"/>
      <c r="X44" s="272">
        <f t="shared" si="4"/>
        <v>0.99188208699301561</v>
      </c>
      <c r="Y44" s="3"/>
      <c r="Z44" s="3"/>
      <c r="AA44" s="3"/>
      <c r="AB44" s="3"/>
      <c r="AC44" s="3"/>
      <c r="AD44" s="3"/>
      <c r="AE44" s="3"/>
      <c r="AF44" s="3"/>
    </row>
    <row r="45" spans="2:32" ht="15" customHeight="1">
      <c r="B45" s="3"/>
      <c r="C45" s="352" t="str">
        <f>IF(MasterSheet!$A$1=1,MasterSheet!C364,MasterSheet!B364)</f>
        <v>Prihodi od kapitala</v>
      </c>
      <c r="D45" s="261">
        <v>10460.83</v>
      </c>
      <c r="E45" s="294">
        <v>15478.17</v>
      </c>
      <c r="F45" s="294">
        <v>46552.31</v>
      </c>
      <c r="G45" s="294">
        <v>990030.31</v>
      </c>
      <c r="H45" s="294">
        <v>254972.36</v>
      </c>
      <c r="I45" s="294">
        <v>113427.79</v>
      </c>
      <c r="J45" s="294">
        <v>79102.33</v>
      </c>
      <c r="K45" s="294">
        <v>7776.58</v>
      </c>
      <c r="L45" s="294">
        <v>31884.59</v>
      </c>
      <c r="M45" s="294">
        <v>74968.41</v>
      </c>
      <c r="N45" s="330">
        <v>2100781.7799999998</v>
      </c>
      <c r="O45" s="353">
        <v>2309437.86</v>
      </c>
      <c r="P45" s="354">
        <f t="shared" si="3"/>
        <v>6034873.3200000003</v>
      </c>
      <c r="Q45" s="341"/>
      <c r="R45" s="341"/>
      <c r="S45" s="341"/>
      <c r="T45" s="341"/>
      <c r="U45" s="341"/>
      <c r="V45" s="341"/>
      <c r="W45" s="341"/>
      <c r="X45" s="265">
        <f t="shared" si="4"/>
        <v>0.18090690128600978</v>
      </c>
      <c r="Y45" s="3"/>
      <c r="Z45" s="3"/>
      <c r="AA45" s="3"/>
      <c r="AB45" s="3"/>
      <c r="AC45" s="3"/>
      <c r="AD45" s="3"/>
      <c r="AE45" s="3"/>
      <c r="AF45" s="3"/>
    </row>
    <row r="46" spans="2:32" ht="15" customHeight="1">
      <c r="B46" s="3"/>
      <c r="C46" s="352" t="str">
        <f>IF(MasterSheet!$A$1=1,MasterSheet!C365,MasterSheet!B365)</f>
        <v>Novčane kazne i oduzete imovinske koristi</v>
      </c>
      <c r="D46" s="261">
        <v>557860.02</v>
      </c>
      <c r="E46" s="294">
        <v>771358.48</v>
      </c>
      <c r="F46" s="294">
        <v>756900.55</v>
      </c>
      <c r="G46" s="294">
        <v>784739.93</v>
      </c>
      <c r="H46" s="294">
        <v>1021420.24</v>
      </c>
      <c r="I46" s="294">
        <v>1082837.3999999999</v>
      </c>
      <c r="J46" s="294">
        <v>1623054.55</v>
      </c>
      <c r="K46" s="294">
        <v>1626229.21</v>
      </c>
      <c r="L46" s="294">
        <v>1195519.1200000001</v>
      </c>
      <c r="M46" s="294">
        <v>922428.98</v>
      </c>
      <c r="N46" s="330">
        <v>869707.83</v>
      </c>
      <c r="O46" s="353">
        <v>1104644.1200000001</v>
      </c>
      <c r="P46" s="354">
        <f t="shared" si="3"/>
        <v>12316700.43</v>
      </c>
      <c r="Q46" s="341"/>
      <c r="R46" s="341"/>
      <c r="S46" s="341"/>
      <c r="T46" s="341"/>
      <c r="U46" s="341"/>
      <c r="V46" s="341"/>
      <c r="W46" s="341"/>
      <c r="X46" s="265">
        <f t="shared" si="4"/>
        <v>0.36921671602865791</v>
      </c>
      <c r="Y46" s="3"/>
      <c r="Z46" s="3"/>
      <c r="AA46" s="3"/>
      <c r="AB46" s="3"/>
      <c r="AC46" s="3"/>
      <c r="AD46" s="3"/>
      <c r="AE46" s="3"/>
      <c r="AF46" s="3"/>
    </row>
    <row r="47" spans="2:32" ht="15" customHeight="1">
      <c r="B47" s="3"/>
      <c r="C47" s="352" t="str">
        <f>IF(MasterSheet!$A$1=1,MasterSheet!C366,MasterSheet!B366)</f>
        <v>Prihodi koje organi ostvaruju vršenjem svoje djel.</v>
      </c>
      <c r="D47" s="261">
        <v>90759.26</v>
      </c>
      <c r="E47" s="294">
        <v>122800.12</v>
      </c>
      <c r="F47" s="294">
        <v>196877.73</v>
      </c>
      <c r="G47" s="294">
        <v>166320.09</v>
      </c>
      <c r="H47" s="294">
        <v>148764.79</v>
      </c>
      <c r="I47" s="294">
        <v>212250.31</v>
      </c>
      <c r="J47" s="294">
        <v>254772.72</v>
      </c>
      <c r="K47" s="294">
        <v>246804.62</v>
      </c>
      <c r="L47" s="294">
        <v>170264.2</v>
      </c>
      <c r="M47" s="294">
        <v>179854.41</v>
      </c>
      <c r="N47" s="330">
        <v>146602.04999999999</v>
      </c>
      <c r="O47" s="353">
        <v>243339.96</v>
      </c>
      <c r="P47" s="354">
        <f t="shared" si="3"/>
        <v>2179410.2600000002</v>
      </c>
      <c r="Q47" s="341"/>
      <c r="R47" s="341"/>
      <c r="S47" s="341"/>
      <c r="T47" s="341"/>
      <c r="U47" s="341"/>
      <c r="V47" s="341"/>
      <c r="W47" s="341"/>
      <c r="X47" s="265">
        <f t="shared" si="4"/>
        <v>6.5332002158338093E-2</v>
      </c>
      <c r="Y47" s="3"/>
      <c r="Z47" s="3"/>
      <c r="AA47" s="3"/>
      <c r="AB47" s="3"/>
      <c r="AC47" s="3"/>
      <c r="AD47" s="3"/>
      <c r="AE47" s="3"/>
      <c r="AF47" s="3"/>
    </row>
    <row r="48" spans="2:32">
      <c r="B48" s="3"/>
      <c r="C48" s="352" t="str">
        <f>IF(MasterSheet!$A$1=1,MasterSheet!C367,MasterSheet!B367)</f>
        <v>Ostali prihodi</v>
      </c>
      <c r="D48" s="261">
        <v>1582092.97</v>
      </c>
      <c r="E48" s="294">
        <v>467166.58</v>
      </c>
      <c r="F48" s="294">
        <v>585403.71</v>
      </c>
      <c r="G48" s="294">
        <v>811930.78</v>
      </c>
      <c r="H48" s="294">
        <v>1503862.69</v>
      </c>
      <c r="I48" s="294">
        <v>609898.66</v>
      </c>
      <c r="J48" s="294">
        <v>1287655.22</v>
      </c>
      <c r="K48" s="294">
        <v>670835.68999999994</v>
      </c>
      <c r="L48" s="294">
        <v>1187145.95</v>
      </c>
      <c r="M48" s="294">
        <v>1128414.8400000001</v>
      </c>
      <c r="N48" s="330">
        <v>1300442.32</v>
      </c>
      <c r="O48" s="353">
        <v>1422361.12</v>
      </c>
      <c r="P48" s="354">
        <f t="shared" si="3"/>
        <v>12557210.530000001</v>
      </c>
      <c r="Q48" s="341"/>
      <c r="R48" s="341"/>
      <c r="S48" s="341"/>
      <c r="T48" s="341"/>
      <c r="U48" s="341"/>
      <c r="V48" s="341"/>
      <c r="W48" s="341"/>
      <c r="X48" s="265">
        <f t="shared" si="4"/>
        <v>0.37642646752000963</v>
      </c>
      <c r="Y48" s="3"/>
      <c r="Z48" s="3"/>
      <c r="AA48" s="3"/>
      <c r="AB48" s="3"/>
      <c r="AC48" s="3"/>
      <c r="AD48" s="3"/>
      <c r="AE48" s="3"/>
      <c r="AF48" s="3"/>
    </row>
    <row r="49" spans="1:32" ht="31.5" customHeight="1" thickBot="1">
      <c r="B49" s="3"/>
      <c r="C49" s="362" t="str">
        <f>IF(MasterSheet!$A$1=1,MasterSheet!C368,MasterSheet!B368)</f>
        <v>Primici od otplate kredita i sredstva prenijeta iz prethodne godine</v>
      </c>
      <c r="D49" s="276">
        <v>206949.9</v>
      </c>
      <c r="E49" s="277">
        <v>235107.79</v>
      </c>
      <c r="F49" s="277">
        <v>299748.19</v>
      </c>
      <c r="G49" s="277">
        <v>298965.78000000003</v>
      </c>
      <c r="H49" s="277">
        <v>208873.82</v>
      </c>
      <c r="I49" s="277">
        <v>328481.19</v>
      </c>
      <c r="J49" s="277">
        <v>3470663.22</v>
      </c>
      <c r="K49" s="277">
        <v>586185.69999999995</v>
      </c>
      <c r="L49" s="277">
        <v>401482.51</v>
      </c>
      <c r="M49" s="363">
        <v>614629.94999999995</v>
      </c>
      <c r="N49" s="280">
        <v>171580.47</v>
      </c>
      <c r="O49" s="364">
        <v>741824.54</v>
      </c>
      <c r="P49" s="281">
        <f>SUM(D49:O49)</f>
        <v>7564493.0600000005</v>
      </c>
      <c r="Q49" s="341"/>
      <c r="R49" s="365"/>
      <c r="S49" s="365"/>
      <c r="T49" s="365"/>
      <c r="U49" s="341"/>
      <c r="V49" s="341"/>
      <c r="W49" s="341"/>
      <c r="X49" s="282">
        <f t="shared" si="4"/>
        <v>0.22676018645642859</v>
      </c>
      <c r="Y49" s="3"/>
      <c r="Z49" s="3"/>
      <c r="AA49" s="3"/>
      <c r="AB49" s="3"/>
      <c r="AC49" s="3"/>
      <c r="AD49" s="3"/>
      <c r="AE49" s="3"/>
      <c r="AF49" s="3"/>
    </row>
    <row r="50" spans="1:32" ht="14.25" thickTop="1" thickBot="1">
      <c r="B50" s="3"/>
      <c r="C50" s="344" t="str">
        <f>IF(MasterSheet!$A$1=1,MasterSheet!C369,MasterSheet!B369)</f>
        <v>Izdaci</v>
      </c>
      <c r="D50" s="366">
        <f>+D52+D67+D73+SUM(D80:D84)</f>
        <v>80787092.580000043</v>
      </c>
      <c r="E50" s="366">
        <f t="shared" ref="E50:O50" si="13">+E52+E67+E73+SUM(E80:E84)</f>
        <v>94636968.895214215</v>
      </c>
      <c r="F50" s="366">
        <f t="shared" si="13"/>
        <v>103836205.75428365</v>
      </c>
      <c r="G50" s="366">
        <f t="shared" si="13"/>
        <v>119840650.6732593</v>
      </c>
      <c r="H50" s="366">
        <f t="shared" si="13"/>
        <v>95542228.430167079</v>
      </c>
      <c r="I50" s="366">
        <f t="shared" si="13"/>
        <v>100169319.59338963</v>
      </c>
      <c r="J50" s="366">
        <f t="shared" si="13"/>
        <v>160333676.54571453</v>
      </c>
      <c r="K50" s="366">
        <f t="shared" si="13"/>
        <v>141275399.6509023</v>
      </c>
      <c r="L50" s="366">
        <f t="shared" si="13"/>
        <v>118999622.08905505</v>
      </c>
      <c r="M50" s="366">
        <f t="shared" si="13"/>
        <v>99421131.212478533</v>
      </c>
      <c r="N50" s="283">
        <f t="shared" si="13"/>
        <v>98492109.327183157</v>
      </c>
      <c r="O50" s="367">
        <f t="shared" si="13"/>
        <v>150132599.31127015</v>
      </c>
      <c r="P50" s="250">
        <f>SUM(D50:O50)</f>
        <v>1363467004.0629177</v>
      </c>
      <c r="Q50" s="250">
        <v>113729902.45999995</v>
      </c>
      <c r="R50" s="250">
        <f>+P50+Q50</f>
        <v>1477196906.5229177</v>
      </c>
      <c r="S50" s="250">
        <f>+'2013 - plan'!D51+'2013 - plan'!E51+'2013 - plan'!F51</f>
        <v>314350240.43000001</v>
      </c>
      <c r="T50" s="368">
        <f>+R50-S50</f>
        <v>1162846666.0929177</v>
      </c>
      <c r="U50" s="341"/>
      <c r="V50" s="341"/>
      <c r="W50" s="341">
        <f>286.98-30.35</f>
        <v>256.63</v>
      </c>
      <c r="X50" s="251">
        <f t="shared" si="4"/>
        <v>40.872538267421618</v>
      </c>
      <c r="Y50" s="3"/>
      <c r="Z50" s="3"/>
      <c r="AA50" s="3"/>
      <c r="AB50" s="3"/>
      <c r="AC50" s="3"/>
      <c r="AD50" s="3"/>
      <c r="AE50" s="3"/>
      <c r="AF50" s="3"/>
    </row>
    <row r="51" spans="1:32" ht="14.25" thickTop="1" thickBot="1">
      <c r="B51" s="3"/>
      <c r="C51" s="344" t="str">
        <f>IF(MasterSheet!$A$1=1,MasterSheet!C370,MasterSheet!B370)</f>
        <v>Tekuća budžetska potrošnja</v>
      </c>
      <c r="D51" s="366">
        <f>+D50-D80</f>
        <v>80649014.770000041</v>
      </c>
      <c r="E51" s="366">
        <f t="shared" ref="E51:O51" si="14">+E50-E80</f>
        <v>92628903.875214219</v>
      </c>
      <c r="F51" s="366">
        <f t="shared" si="14"/>
        <v>99413964.504283652</v>
      </c>
      <c r="G51" s="366">
        <f t="shared" si="14"/>
        <v>115642978.0032593</v>
      </c>
      <c r="H51" s="366">
        <f t="shared" si="14"/>
        <v>91305310.990167081</v>
      </c>
      <c r="I51" s="366">
        <f t="shared" si="14"/>
        <v>95463164.173389629</v>
      </c>
      <c r="J51" s="366">
        <f t="shared" si="14"/>
        <v>155809152.97571453</v>
      </c>
      <c r="K51" s="366">
        <f t="shared" si="14"/>
        <v>137059082.16090229</v>
      </c>
      <c r="L51" s="366">
        <f t="shared" si="14"/>
        <v>115058265.51905505</v>
      </c>
      <c r="M51" s="366">
        <f t="shared" si="14"/>
        <v>93445810.542478532</v>
      </c>
      <c r="N51" s="283">
        <f t="shared" si="14"/>
        <v>92446263.057183161</v>
      </c>
      <c r="O51" s="367">
        <f t="shared" si="14"/>
        <v>132759590.63127014</v>
      </c>
      <c r="P51" s="250">
        <f>SUM(D51:O51)</f>
        <v>1301681501.2029178</v>
      </c>
      <c r="Q51" s="250">
        <v>109307661.20999995</v>
      </c>
      <c r="R51" s="250">
        <f t="shared" ref="R51:R83" si="15">+P51+Q51</f>
        <v>1410989162.4129179</v>
      </c>
      <c r="S51" s="250">
        <f>+'2013 - plan'!D52+'2013 - plan'!E52+'2013 - plan'!F52</f>
        <v>297940490.42000002</v>
      </c>
      <c r="T51" s="368">
        <f t="shared" ref="T51:T82" si="16">+R51-S51</f>
        <v>1113048671.9929178</v>
      </c>
      <c r="U51" s="341"/>
      <c r="V51" s="341"/>
      <c r="W51" s="341"/>
      <c r="X51" s="251">
        <f t="shared" si="4"/>
        <v>39.020399328604512</v>
      </c>
      <c r="Y51" s="3"/>
      <c r="Z51" s="3"/>
      <c r="AA51" s="3"/>
      <c r="AB51" s="3"/>
      <c r="AC51" s="3"/>
      <c r="AD51" s="3"/>
      <c r="AE51" s="3"/>
      <c r="AF51" s="3"/>
    </row>
    <row r="52" spans="1:32" ht="13.5" thickTop="1">
      <c r="B52" s="3"/>
      <c r="C52" s="355" t="str">
        <f>IF(MasterSheet!$A$1=1,MasterSheet!C371,MasterSheet!B371)</f>
        <v>Tekući izdaci</v>
      </c>
      <c r="D52" s="369">
        <f>+D53+SUM(D59:D66)</f>
        <v>37573938.270000026</v>
      </c>
      <c r="E52" s="370">
        <f t="shared" ref="E52:O52" si="17">+E53+SUM(E59:E66)</f>
        <v>43014426.985214241</v>
      </c>
      <c r="F52" s="370">
        <f t="shared" si="17"/>
        <v>48974523.46428369</v>
      </c>
      <c r="G52" s="370">
        <f t="shared" si="17"/>
        <v>68150209.093259305</v>
      </c>
      <c r="H52" s="370">
        <f t="shared" si="17"/>
        <v>42630869.490167111</v>
      </c>
      <c r="I52" s="370">
        <f t="shared" si="17"/>
        <v>45218002.023389645</v>
      </c>
      <c r="J52" s="370">
        <f t="shared" si="17"/>
        <v>47862393.715714544</v>
      </c>
      <c r="K52" s="370">
        <f t="shared" si="17"/>
        <v>44676377.480902314</v>
      </c>
      <c r="L52" s="370">
        <f t="shared" si="17"/>
        <v>64133040.449055046</v>
      </c>
      <c r="M52" s="370">
        <f t="shared" si="17"/>
        <v>45540223.212478548</v>
      </c>
      <c r="N52" s="371">
        <f t="shared" si="17"/>
        <v>43367886.817183137</v>
      </c>
      <c r="O52" s="474">
        <f t="shared" si="17"/>
        <v>69145757.011270151</v>
      </c>
      <c r="P52" s="574">
        <f t="shared" si="3"/>
        <v>600287648.01291776</v>
      </c>
      <c r="Q52" s="289">
        <v>56546402.069999963</v>
      </c>
      <c r="R52" s="289">
        <f t="shared" si="15"/>
        <v>656834050.08291769</v>
      </c>
      <c r="S52" s="289">
        <f>+'2013 - plan'!D53+'2013 - plan'!E53+'2013 - plan'!F53</f>
        <v>147883117.22</v>
      </c>
      <c r="T52" s="368">
        <f t="shared" si="16"/>
        <v>508950932.86291766</v>
      </c>
      <c r="U52" s="341"/>
      <c r="V52" s="341"/>
      <c r="W52" s="341"/>
      <c r="X52" s="290">
        <f t="shared" si="4"/>
        <v>17.994773464819623</v>
      </c>
      <c r="Y52" s="3"/>
      <c r="Z52" s="3"/>
      <c r="AA52" s="3"/>
      <c r="AB52" s="3"/>
      <c r="AC52" s="3"/>
      <c r="AD52" s="3"/>
      <c r="AE52" s="3"/>
      <c r="AF52" s="3"/>
    </row>
    <row r="53" spans="1:32" s="2" customFormat="1">
      <c r="A53" s="3"/>
      <c r="C53" s="373" t="str">
        <f>IF(MasterSheet!$A$1=1,MasterSheet!C372,MasterSheet!B372)</f>
        <v>Bruto zarade i doprinosi na teret poslodavca</v>
      </c>
      <c r="D53" s="374">
        <f>+SUM(D54:D58)</f>
        <v>30971376.560000025</v>
      </c>
      <c r="E53" s="375">
        <f t="shared" ref="E53:O53" si="18">+SUM(E54:E58)</f>
        <v>31353989.735214241</v>
      </c>
      <c r="F53" s="375">
        <f t="shared" si="18"/>
        <v>30531562.024283696</v>
      </c>
      <c r="G53" s="375">
        <f t="shared" si="18"/>
        <v>30639324.873259313</v>
      </c>
      <c r="H53" s="375">
        <f t="shared" si="18"/>
        <v>31057891.640167106</v>
      </c>
      <c r="I53" s="375">
        <f t="shared" si="18"/>
        <v>31115366.173389643</v>
      </c>
      <c r="J53" s="375">
        <f t="shared" si="18"/>
        <v>30263010.735714547</v>
      </c>
      <c r="K53" s="375">
        <f t="shared" si="18"/>
        <v>29273565.850902315</v>
      </c>
      <c r="L53" s="375">
        <f t="shared" si="18"/>
        <v>30768568.179055046</v>
      </c>
      <c r="M53" s="375">
        <f t="shared" si="18"/>
        <v>30657915.362478547</v>
      </c>
      <c r="N53" s="376">
        <f t="shared" si="18"/>
        <v>30671493.937183138</v>
      </c>
      <c r="O53" s="474">
        <f t="shared" si="18"/>
        <v>28824443.10127015</v>
      </c>
      <c r="P53" s="574">
        <f t="shared" si="3"/>
        <v>366128508.17291778</v>
      </c>
      <c r="Q53" s="377">
        <v>38511985.289999969</v>
      </c>
      <c r="R53" s="377">
        <f t="shared" si="15"/>
        <v>404640493.46291775</v>
      </c>
      <c r="S53" s="377">
        <f>+'2013 - plan'!D54+'2013 - plan'!E54+'2013 - plan'!F54</f>
        <v>93032152.929999992</v>
      </c>
      <c r="T53" s="378">
        <f t="shared" si="16"/>
        <v>311608340.53291774</v>
      </c>
      <c r="U53" s="379"/>
      <c r="V53" s="379"/>
      <c r="W53" s="379"/>
      <c r="X53" s="293">
        <f t="shared" si="4"/>
        <v>10.97540418396588</v>
      </c>
      <c r="Z53" s="3"/>
      <c r="AA53" s="3"/>
      <c r="AB53" s="3"/>
      <c r="AC53" s="3"/>
      <c r="AD53" s="3"/>
      <c r="AE53" s="3"/>
      <c r="AF53" s="3"/>
    </row>
    <row r="54" spans="1:32">
      <c r="B54" s="3"/>
      <c r="C54" s="352" t="str">
        <f>IF(MasterSheet!$A$1=1,MasterSheet!C373,MasterSheet!B373)</f>
        <v>Neto zarade</v>
      </c>
      <c r="D54" s="261">
        <v>18758147.750000022</v>
      </c>
      <c r="E54" s="294">
        <v>18989881.539999992</v>
      </c>
      <c r="F54" s="294">
        <v>18491769.340000011</v>
      </c>
      <c r="G54" s="294">
        <v>18557037.069999985</v>
      </c>
      <c r="H54" s="294">
        <v>18810546.539999988</v>
      </c>
      <c r="I54" s="294">
        <v>18845356.610000011</v>
      </c>
      <c r="J54" s="294">
        <v>18329118.360000011</v>
      </c>
      <c r="K54" s="294">
        <v>17729850.41</v>
      </c>
      <c r="L54" s="294">
        <v>18635314.670000039</v>
      </c>
      <c r="M54" s="294">
        <v>18568296.600000001</v>
      </c>
      <c r="N54" s="330">
        <v>18576520.609999999</v>
      </c>
      <c r="O54" s="387">
        <v>17457834.379999995</v>
      </c>
      <c r="P54" s="264">
        <f t="shared" si="3"/>
        <v>221749673.88000005</v>
      </c>
      <c r="Q54" s="295">
        <v>22436323.329999987</v>
      </c>
      <c r="R54" s="295">
        <f t="shared" si="15"/>
        <v>244185997.21000004</v>
      </c>
      <c r="S54" s="295">
        <f>+'2013 - plan'!D55+'2013 - plan'!E55+'2013 - plan'!F55</f>
        <v>55374640.199999996</v>
      </c>
      <c r="T54" s="368">
        <f t="shared" si="16"/>
        <v>188811357.01000005</v>
      </c>
      <c r="U54" s="341"/>
      <c r="V54" s="341"/>
      <c r="W54" s="341"/>
      <c r="X54" s="296">
        <f t="shared" si="4"/>
        <v>6.6473717401600778</v>
      </c>
      <c r="Y54" s="3"/>
      <c r="Z54" s="3"/>
      <c r="AA54" s="3"/>
      <c r="AB54" s="3"/>
      <c r="AC54" s="3"/>
      <c r="AD54" s="3"/>
      <c r="AE54" s="3"/>
      <c r="AF54" s="3"/>
    </row>
    <row r="55" spans="1:32">
      <c r="B55" s="3"/>
      <c r="C55" s="352" t="str">
        <f>IF(MasterSheet!$A$1=1,MasterSheet!C374,MasterSheet!B374)</f>
        <v>Porez na zarade</v>
      </c>
      <c r="D55" s="261">
        <v>2431094.8300000005</v>
      </c>
      <c r="E55" s="294">
        <v>2461128.0095182303</v>
      </c>
      <c r="F55" s="294">
        <v>2396571.6359189297</v>
      </c>
      <c r="G55" s="294">
        <v>2405030.4690128728</v>
      </c>
      <c r="H55" s="294">
        <v>2437885.8217954016</v>
      </c>
      <c r="I55" s="294">
        <v>2442397.2790211816</v>
      </c>
      <c r="J55" s="294">
        <v>2375491.7317704814</v>
      </c>
      <c r="K55" s="294">
        <v>2297825.3632970951</v>
      </c>
      <c r="L55" s="294">
        <v>2415175.4082254847</v>
      </c>
      <c r="M55" s="294">
        <v>2406489.7274394557</v>
      </c>
      <c r="N55" s="330">
        <v>2407555.5761820567</v>
      </c>
      <c r="O55" s="387">
        <v>2262571.5219784533</v>
      </c>
      <c r="P55" s="264">
        <f t="shared" si="3"/>
        <v>28739217.374159642</v>
      </c>
      <c r="Q55" s="295">
        <v>3349675.4600000009</v>
      </c>
      <c r="R55" s="295">
        <f t="shared" si="15"/>
        <v>32088892.834159642</v>
      </c>
      <c r="S55" s="295">
        <f>+'2013 - plan'!D56+'2013 - plan'!E56+'2013 - plan'!F56</f>
        <v>7481364.75</v>
      </c>
      <c r="T55" s="368">
        <f t="shared" si="16"/>
        <v>24607528.084159642</v>
      </c>
      <c r="U55" s="341"/>
      <c r="V55" s="341"/>
      <c r="W55" s="341"/>
      <c r="X55" s="296">
        <f t="shared" si="4"/>
        <v>0.86151315609459644</v>
      </c>
      <c r="Y55" s="3"/>
      <c r="Z55" s="3"/>
      <c r="AA55" s="3"/>
      <c r="AB55" s="3"/>
      <c r="AC55" s="3"/>
      <c r="AD55" s="3"/>
      <c r="AE55" s="3"/>
      <c r="AF55" s="3"/>
    </row>
    <row r="56" spans="1:32">
      <c r="B56" s="3"/>
      <c r="C56" s="352" t="str">
        <f>IF(MasterSheet!$A$1=1,MasterSheet!C375,MasterSheet!B375)</f>
        <v>Doprinosi na teret zaposlenog</v>
      </c>
      <c r="D56" s="261">
        <v>6343908.759999997</v>
      </c>
      <c r="E56" s="294">
        <v>6422279.9318215214</v>
      </c>
      <c r="F56" s="294">
        <v>6253820.9564921083</v>
      </c>
      <c r="G56" s="294">
        <v>6275894.1659374358</v>
      </c>
      <c r="H56" s="294">
        <v>6361629.7603527196</v>
      </c>
      <c r="I56" s="294">
        <v>6373402.3463752046</v>
      </c>
      <c r="J56" s="294">
        <v>6198813.2344826367</v>
      </c>
      <c r="K56" s="294">
        <v>5996143.9065585993</v>
      </c>
      <c r="L56" s="294">
        <v>6302367.2462740652</v>
      </c>
      <c r="M56" s="294">
        <v>6279702.0808740575</v>
      </c>
      <c r="N56" s="330">
        <v>6282483.3986127088</v>
      </c>
      <c r="O56" s="387">
        <v>5904149.4890619433</v>
      </c>
      <c r="P56" s="264">
        <f t="shared" si="3"/>
        <v>74994595.276842996</v>
      </c>
      <c r="Q56" s="295">
        <v>8045126.2099999925</v>
      </c>
      <c r="R56" s="295">
        <f t="shared" si="15"/>
        <v>83039721.48684299</v>
      </c>
      <c r="S56" s="295">
        <f>+'2013 - plan'!D57+'2013 - plan'!E57+'2013 - plan'!F57</f>
        <v>19000048.140000001</v>
      </c>
      <c r="T56" s="368">
        <f t="shared" si="16"/>
        <v>64039673.346842989</v>
      </c>
      <c r="U56" s="341"/>
      <c r="V56" s="341"/>
      <c r="W56" s="341"/>
      <c r="X56" s="296">
        <f t="shared" si="4"/>
        <v>2.248106816056926</v>
      </c>
      <c r="Y56" s="3"/>
      <c r="Z56" s="3"/>
      <c r="AA56" s="3"/>
      <c r="AB56" s="3"/>
      <c r="AC56" s="3"/>
      <c r="AD56" s="3"/>
      <c r="AE56" s="3"/>
      <c r="AF56" s="3"/>
    </row>
    <row r="57" spans="1:32">
      <c r="B57" s="3"/>
      <c r="C57" s="352" t="str">
        <f>IF(MasterSheet!$A$1=1,MasterSheet!C376,MasterSheet!B376)</f>
        <v>Doprinosi na teret poslodavca</v>
      </c>
      <c r="D57" s="261">
        <v>3322321.01</v>
      </c>
      <c r="E57" s="294">
        <v>3363364.1902491706</v>
      </c>
      <c r="F57" s="294">
        <v>3275141.8002001713</v>
      </c>
      <c r="G57" s="294">
        <v>3286701.5956311421</v>
      </c>
      <c r="H57" s="294">
        <v>3331601.5425576703</v>
      </c>
      <c r="I57" s="294">
        <v>3337766.8755352101</v>
      </c>
      <c r="J57" s="294">
        <v>3246334.1175145986</v>
      </c>
      <c r="K57" s="294">
        <v>3140195.6795707638</v>
      </c>
      <c r="L57" s="294">
        <v>3300565.6145395418</v>
      </c>
      <c r="M57" s="294">
        <v>3288695.8102828409</v>
      </c>
      <c r="N57" s="330">
        <v>3290152.3933940087</v>
      </c>
      <c r="O57" s="387">
        <v>3092017.971218626</v>
      </c>
      <c r="P57" s="264">
        <f t="shared" si="3"/>
        <v>39274858.600693747</v>
      </c>
      <c r="Q57" s="295">
        <v>4309106.8499999968</v>
      </c>
      <c r="R57" s="295">
        <f t="shared" si="15"/>
        <v>43583965.450693741</v>
      </c>
      <c r="S57" s="295">
        <f>+'2013 - plan'!D58+'2013 - plan'!E58+'2013 - plan'!F58</f>
        <v>10099422.940000001</v>
      </c>
      <c r="T57" s="368">
        <f t="shared" si="16"/>
        <v>33484542.51069374</v>
      </c>
      <c r="U57" s="341"/>
      <c r="V57" s="341"/>
      <c r="W57" s="341"/>
      <c r="X57" s="296">
        <f t="shared" si="4"/>
        <v>1.177339206831552</v>
      </c>
      <c r="Y57" s="3"/>
      <c r="Z57" s="3"/>
      <c r="AA57" s="3"/>
      <c r="AB57" s="3"/>
      <c r="AC57" s="3"/>
      <c r="AD57" s="3"/>
      <c r="AE57" s="3"/>
      <c r="AF57" s="3"/>
    </row>
    <row r="58" spans="1:32">
      <c r="B58" s="3"/>
      <c r="C58" s="352" t="str">
        <f>IF(MasterSheet!$A$1=1,MasterSheet!C377,MasterSheet!B377)</f>
        <v>Prirez na porez na dohodak</v>
      </c>
      <c r="D58" s="261">
        <v>115904.21000000004</v>
      </c>
      <c r="E58" s="294">
        <v>117336.06362532679</v>
      </c>
      <c r="F58" s="294">
        <v>114258.29167247713</v>
      </c>
      <c r="G58" s="294">
        <v>114661.57267788133</v>
      </c>
      <c r="H58" s="294">
        <v>116227.97546132613</v>
      </c>
      <c r="I58" s="294">
        <v>116443.06245803653</v>
      </c>
      <c r="J58" s="294">
        <v>113253.29194681787</v>
      </c>
      <c r="K58" s="294">
        <v>109550.49147585611</v>
      </c>
      <c r="L58" s="294">
        <v>115145.24001591593</v>
      </c>
      <c r="M58" s="294">
        <v>114731.14388219296</v>
      </c>
      <c r="N58" s="330">
        <v>114781.95899436639</v>
      </c>
      <c r="O58" s="387">
        <v>107869.73901113117</v>
      </c>
      <c r="P58" s="264">
        <f t="shared" si="3"/>
        <v>1370163.0412213285</v>
      </c>
      <c r="Q58" s="295">
        <v>371753.44000000012</v>
      </c>
      <c r="R58" s="295">
        <f t="shared" si="15"/>
        <v>1741916.4812213287</v>
      </c>
      <c r="S58" s="295">
        <f>+'2013 - plan'!D59+'2013 - plan'!E59+'2013 - plan'!F59</f>
        <v>1076676.8999999999</v>
      </c>
      <c r="T58" s="368">
        <f t="shared" si="16"/>
        <v>665239.58122132882</v>
      </c>
      <c r="U58" s="341"/>
      <c r="V58" s="341"/>
      <c r="W58" s="341"/>
      <c r="X58" s="296">
        <f t="shared" si="4"/>
        <v>4.1073264822726357E-2</v>
      </c>
      <c r="Y58" s="3"/>
      <c r="Z58" s="3"/>
      <c r="AA58" s="3"/>
      <c r="AB58" s="3"/>
      <c r="AC58" s="3"/>
      <c r="AD58" s="3"/>
      <c r="AE58" s="3"/>
      <c r="AF58" s="3"/>
    </row>
    <row r="59" spans="1:32">
      <c r="B59" s="3"/>
      <c r="C59" s="355" t="str">
        <f>IF(MasterSheet!$A$1=1,MasterSheet!C378,MasterSheet!B378)</f>
        <v>Ostala lična primanja</v>
      </c>
      <c r="D59" s="374">
        <v>1584140</v>
      </c>
      <c r="E59" s="375">
        <v>494224.27999999997</v>
      </c>
      <c r="F59" s="375">
        <v>1196100.06</v>
      </c>
      <c r="G59" s="375">
        <v>1826112.77</v>
      </c>
      <c r="H59" s="375">
        <v>404313.79000000004</v>
      </c>
      <c r="I59" s="375">
        <v>460176.88999999996</v>
      </c>
      <c r="J59" s="375">
        <v>807342.56</v>
      </c>
      <c r="K59" s="375">
        <v>1160483.8899999999</v>
      </c>
      <c r="L59" s="375">
        <v>545300.31000000006</v>
      </c>
      <c r="M59" s="375">
        <v>1094017.3799999999</v>
      </c>
      <c r="N59" s="376">
        <v>577957.55999999982</v>
      </c>
      <c r="O59" s="474">
        <v>1871989.5500000003</v>
      </c>
      <c r="P59" s="264">
        <f t="shared" si="3"/>
        <v>12022159.040000001</v>
      </c>
      <c r="Q59" s="297">
        <v>1196100.06</v>
      </c>
      <c r="R59" s="297">
        <f t="shared" si="15"/>
        <v>13218259.100000001</v>
      </c>
      <c r="S59" s="297">
        <f>+'2013 - plan'!D60+'2013 - plan'!E60+'2013 - plan'!F60</f>
        <v>2618575.59</v>
      </c>
      <c r="T59" s="368">
        <f t="shared" si="16"/>
        <v>10599683.510000002</v>
      </c>
      <c r="U59" s="341"/>
      <c r="V59" s="341"/>
      <c r="W59" s="341"/>
      <c r="X59" s="298">
        <f t="shared" si="4"/>
        <v>0.36038727299979023</v>
      </c>
      <c r="Y59" s="3"/>
      <c r="Z59" s="3"/>
      <c r="AA59" s="3"/>
      <c r="AB59" s="3"/>
      <c r="AC59" s="3"/>
      <c r="AD59" s="3"/>
      <c r="AE59" s="3"/>
      <c r="AF59" s="3"/>
    </row>
    <row r="60" spans="1:32" s="2" customFormat="1">
      <c r="A60" s="3"/>
      <c r="C60" s="373" t="str">
        <f>IF(MasterSheet!$A$1=1,MasterSheet!C379,MasterSheet!B379)</f>
        <v>Rashodi za materijal i usluge</v>
      </c>
      <c r="D60" s="374">
        <v>3531081.3900000006</v>
      </c>
      <c r="E60" s="375">
        <v>6333793.1499999994</v>
      </c>
      <c r="F60" s="375">
        <v>8056211.3999999994</v>
      </c>
      <c r="G60" s="375">
        <v>7472942.379999999</v>
      </c>
      <c r="H60" s="375">
        <v>5576331.6899999995</v>
      </c>
      <c r="I60" s="375">
        <v>6088193.9900000002</v>
      </c>
      <c r="J60" s="375">
        <v>7142342.3100000024</v>
      </c>
      <c r="K60" s="375">
        <v>6438108.8899999987</v>
      </c>
      <c r="L60" s="375">
        <v>6990346.7500000009</v>
      </c>
      <c r="M60" s="375">
        <v>8388040.5299999993</v>
      </c>
      <c r="N60" s="376">
        <v>6479338.3399999999</v>
      </c>
      <c r="O60" s="474">
        <v>17945610.02</v>
      </c>
      <c r="P60" s="264">
        <f t="shared" si="3"/>
        <v>90442340.840000004</v>
      </c>
      <c r="Q60" s="271">
        <v>7976181.8499999987</v>
      </c>
      <c r="R60" s="271">
        <f t="shared" si="15"/>
        <v>98418522.689999998</v>
      </c>
      <c r="S60" s="271">
        <f>+'2013 - plan'!D61+'2013 - plan'!E61+'2013 - plan'!F61</f>
        <v>20551690.990000002</v>
      </c>
      <c r="T60" s="378">
        <f t="shared" si="16"/>
        <v>77866831.699999988</v>
      </c>
      <c r="U60" s="379"/>
      <c r="V60" s="379"/>
      <c r="W60" s="379"/>
      <c r="X60" s="272">
        <f t="shared" si="4"/>
        <v>2.7111826145867686</v>
      </c>
      <c r="Z60" s="3"/>
      <c r="AA60" s="3"/>
      <c r="AB60" s="3"/>
      <c r="AC60" s="3"/>
      <c r="AD60" s="3"/>
      <c r="AE60" s="3"/>
      <c r="AF60" s="3"/>
    </row>
    <row r="61" spans="1:32">
      <c r="B61" s="3"/>
      <c r="C61" s="355" t="str">
        <f>IF(MasterSheet!$A$1=1,MasterSheet!C380,MasterSheet!B380)</f>
        <v>Tekuće održavanje</v>
      </c>
      <c r="D61" s="374">
        <v>39615.520000000011</v>
      </c>
      <c r="E61" s="375">
        <v>746518.12000000011</v>
      </c>
      <c r="F61" s="375">
        <v>2188111.64</v>
      </c>
      <c r="G61" s="375">
        <v>860683.32</v>
      </c>
      <c r="H61" s="375">
        <v>1045961.9599999998</v>
      </c>
      <c r="I61" s="375">
        <v>1586588.07</v>
      </c>
      <c r="J61" s="375">
        <v>1708745.73</v>
      </c>
      <c r="K61" s="375">
        <v>2046173.92</v>
      </c>
      <c r="L61" s="375">
        <v>2633936.0100000002</v>
      </c>
      <c r="M61" s="375">
        <v>1316241.6299999999</v>
      </c>
      <c r="N61" s="376">
        <v>1381658.6899999997</v>
      </c>
      <c r="O61" s="474">
        <v>4862251.0299999993</v>
      </c>
      <c r="P61" s="264">
        <f t="shared" si="3"/>
        <v>20416485.639999997</v>
      </c>
      <c r="Q61" s="297">
        <v>2188111.64</v>
      </c>
      <c r="R61" s="297">
        <f t="shared" si="15"/>
        <v>22604597.279999997</v>
      </c>
      <c r="S61" s="297">
        <f>+'2013 - plan'!D62+'2013 - plan'!E62+'2013 - plan'!F62</f>
        <v>5115547.49</v>
      </c>
      <c r="T61" s="368">
        <f t="shared" si="16"/>
        <v>17489049.789999999</v>
      </c>
      <c r="U61" s="341"/>
      <c r="V61" s="341"/>
      <c r="W61" s="341"/>
      <c r="X61" s="298">
        <f t="shared" si="4"/>
        <v>0.61202331125033715</v>
      </c>
      <c r="Y61" s="3"/>
      <c r="Z61" s="3"/>
      <c r="AA61" s="3"/>
      <c r="AB61" s="3"/>
      <c r="AC61" s="3"/>
      <c r="AD61" s="3"/>
      <c r="AE61" s="3"/>
      <c r="AF61" s="3"/>
    </row>
    <row r="62" spans="1:32" s="2" customFormat="1">
      <c r="A62" s="3"/>
      <c r="C62" s="373" t="str">
        <f>IF(MasterSheet!$A$1=1,MasterSheet!C381,MasterSheet!B381)</f>
        <v>Kamate</v>
      </c>
      <c r="D62" s="374">
        <v>553790.51</v>
      </c>
      <c r="E62" s="375">
        <v>1761351.35</v>
      </c>
      <c r="F62" s="375">
        <v>2136902.62</v>
      </c>
      <c r="G62" s="375">
        <v>24827472.130000003</v>
      </c>
      <c r="H62" s="375">
        <v>1125415.9300000002</v>
      </c>
      <c r="I62" s="375">
        <v>3793946.45</v>
      </c>
      <c r="J62" s="375">
        <v>5739215.1899999995</v>
      </c>
      <c r="K62" s="375">
        <v>2103580.09</v>
      </c>
      <c r="L62" s="375">
        <v>18714576.950000003</v>
      </c>
      <c r="M62" s="375">
        <v>797388.29</v>
      </c>
      <c r="N62" s="376">
        <v>749118.78</v>
      </c>
      <c r="O62" s="474">
        <v>5124972.5</v>
      </c>
      <c r="P62" s="264">
        <f t="shared" si="3"/>
        <v>67427730.789999992</v>
      </c>
      <c r="Q62" s="271">
        <v>1881095.87</v>
      </c>
      <c r="R62" s="271">
        <f t="shared" si="15"/>
        <v>69308826.659999996</v>
      </c>
      <c r="S62" s="271">
        <f>+'2013 - plan'!D63+'2013 - plan'!E63+'2013 - plan'!F63</f>
        <v>17600901.84</v>
      </c>
      <c r="T62" s="378">
        <f t="shared" si="16"/>
        <v>51707924.819999993</v>
      </c>
      <c r="U62" s="379"/>
      <c r="V62" s="379"/>
      <c r="W62" s="379"/>
      <c r="X62" s="272">
        <f t="shared" si="4"/>
        <v>2.0212755415330195</v>
      </c>
      <c r="Z62" s="3"/>
      <c r="AA62" s="3"/>
      <c r="AB62" s="3"/>
      <c r="AC62" s="3"/>
      <c r="AD62" s="3"/>
      <c r="AE62" s="3"/>
      <c r="AF62" s="3"/>
    </row>
    <row r="63" spans="1:32">
      <c r="B63" s="3"/>
      <c r="C63" s="355" t="str">
        <f>IF(MasterSheet!$A$1=1,MasterSheet!C382,MasterSheet!B382)</f>
        <v>Renta</v>
      </c>
      <c r="D63" s="374">
        <v>514851.77999999991</v>
      </c>
      <c r="E63" s="375">
        <v>585306.03000000014</v>
      </c>
      <c r="F63" s="375">
        <v>717206.67999999993</v>
      </c>
      <c r="G63" s="375">
        <v>605035.82999999984</v>
      </c>
      <c r="H63" s="375">
        <v>812757.71000000008</v>
      </c>
      <c r="I63" s="375">
        <v>562444.48</v>
      </c>
      <c r="J63" s="375">
        <v>546494.51</v>
      </c>
      <c r="K63" s="375">
        <v>583035.29</v>
      </c>
      <c r="L63" s="375">
        <v>872287.29000000015</v>
      </c>
      <c r="M63" s="375">
        <v>927461.39000000013</v>
      </c>
      <c r="N63" s="376">
        <v>532803.81000000006</v>
      </c>
      <c r="O63" s="474">
        <v>668357.01000000013</v>
      </c>
      <c r="P63" s="264">
        <f t="shared" si="3"/>
        <v>7928041.8100000005</v>
      </c>
      <c r="Q63" s="297">
        <v>717206.67999999993</v>
      </c>
      <c r="R63" s="297">
        <f t="shared" si="15"/>
        <v>8645248.4900000002</v>
      </c>
      <c r="S63" s="297">
        <f>+'2013 - plan'!D64+'2013 - plan'!E64+'2013 - plan'!F64</f>
        <v>1955684.8499999999</v>
      </c>
      <c r="T63" s="368">
        <f t="shared" si="16"/>
        <v>6689563.6400000006</v>
      </c>
      <c r="U63" s="341"/>
      <c r="V63" s="341"/>
      <c r="W63" s="341"/>
      <c r="X63" s="298">
        <f t="shared" si="4"/>
        <v>0.23765825744176985</v>
      </c>
      <c r="Y63" s="3"/>
      <c r="Z63" s="3"/>
      <c r="AA63" s="3"/>
      <c r="AB63" s="3"/>
      <c r="AC63" s="3"/>
      <c r="AD63" s="3"/>
      <c r="AE63" s="3"/>
      <c r="AF63" s="3"/>
    </row>
    <row r="64" spans="1:32">
      <c r="B64" s="3"/>
      <c r="C64" s="355" t="str">
        <f>IF(MasterSheet!$A$1=1,MasterSheet!C383,MasterSheet!B383)</f>
        <v>Subvencije</v>
      </c>
      <c r="D64" s="374">
        <v>77660</v>
      </c>
      <c r="E64" s="375">
        <v>1074577.6400000001</v>
      </c>
      <c r="F64" s="375">
        <v>3164428.4699999997</v>
      </c>
      <c r="G64" s="375">
        <v>667057.27</v>
      </c>
      <c r="H64" s="375">
        <v>1249861.72</v>
      </c>
      <c r="I64" s="375">
        <v>697386.65</v>
      </c>
      <c r="J64" s="375">
        <v>891788.01</v>
      </c>
      <c r="K64" s="375">
        <v>1091929.3799999999</v>
      </c>
      <c r="L64" s="375">
        <v>1191416.1400000001</v>
      </c>
      <c r="M64" s="375">
        <v>1143142.1899999997</v>
      </c>
      <c r="N64" s="376">
        <v>2200265.2000000002</v>
      </c>
      <c r="O64" s="474">
        <v>3977237.29</v>
      </c>
      <c r="P64" s="264">
        <f t="shared" si="3"/>
        <v>17426749.959999997</v>
      </c>
      <c r="Q64" s="297">
        <v>3164428.4699999997</v>
      </c>
      <c r="R64" s="297">
        <f t="shared" si="15"/>
        <v>20591178.429999996</v>
      </c>
      <c r="S64" s="297">
        <f>+'2013 - plan'!D65+'2013 - plan'!E65+'2013 - plan'!F65</f>
        <v>3630000.0300000003</v>
      </c>
      <c r="T64" s="368">
        <f t="shared" si="16"/>
        <v>16961178.399999995</v>
      </c>
      <c r="U64" s="341"/>
      <c r="V64" s="341"/>
      <c r="W64" s="341"/>
      <c r="X64" s="298">
        <f t="shared" si="4"/>
        <v>0.52240025060703243</v>
      </c>
      <c r="Y64" s="3"/>
      <c r="Z64" s="3"/>
      <c r="AA64" s="3"/>
      <c r="AB64" s="3"/>
      <c r="AC64" s="3"/>
      <c r="AD64" s="3"/>
      <c r="AE64" s="3"/>
      <c r="AF64" s="3"/>
    </row>
    <row r="65" spans="2:32" ht="12.75" customHeight="1">
      <c r="B65" s="3"/>
      <c r="C65" s="355" t="str">
        <f>IF(MasterSheet!$A$1=1,MasterSheet!C384,MasterSheet!B384)</f>
        <v>Ostali izdaci</v>
      </c>
      <c r="D65" s="374">
        <v>142118.22999999998</v>
      </c>
      <c r="E65" s="375">
        <v>551221.35000000033</v>
      </c>
      <c r="F65" s="375">
        <v>465083.12000000011</v>
      </c>
      <c r="G65" s="375">
        <v>549708.51</v>
      </c>
      <c r="H65" s="375">
        <v>661108.90000000049</v>
      </c>
      <c r="I65" s="375">
        <v>409954.32000000024</v>
      </c>
      <c r="J65" s="375">
        <v>359462.27000000043</v>
      </c>
      <c r="K65" s="375">
        <v>696491.85000000021</v>
      </c>
      <c r="L65" s="375">
        <v>446082.26999999996</v>
      </c>
      <c r="M65" s="375">
        <v>557683.12</v>
      </c>
      <c r="N65" s="376">
        <v>335191.58999999979</v>
      </c>
      <c r="O65" s="474">
        <v>1104987.4799999995</v>
      </c>
      <c r="P65" s="264">
        <f t="shared" si="3"/>
        <v>6279093.0100000007</v>
      </c>
      <c r="Q65" s="297">
        <v>464637.15000000037</v>
      </c>
      <c r="R65" s="297">
        <f t="shared" si="15"/>
        <v>6743730.1600000011</v>
      </c>
      <c r="S65" s="297">
        <f>+'2013 - plan'!D66+'2013 - plan'!E66+'2013 - plan'!F66</f>
        <v>1440476.4600000007</v>
      </c>
      <c r="T65" s="368">
        <f t="shared" si="16"/>
        <v>5303253.7</v>
      </c>
      <c r="U65" s="341"/>
      <c r="V65" s="341"/>
      <c r="W65" s="341"/>
      <c r="X65" s="298">
        <f t="shared" si="4"/>
        <v>0.18822785485176416</v>
      </c>
      <c r="Y65" s="3"/>
      <c r="Z65" s="3"/>
      <c r="AA65" s="3"/>
      <c r="AB65" s="3"/>
      <c r="AC65" s="3"/>
      <c r="AD65" s="3"/>
      <c r="AE65" s="3"/>
      <c r="AF65" s="3"/>
    </row>
    <row r="66" spans="2:32" ht="12.75" customHeight="1">
      <c r="B66" s="3"/>
      <c r="C66" s="355" t="str">
        <f>IF(MasterSheet!$A$1=1,MasterSheet!C385,MasterSheet!B385)</f>
        <v>Kapitalni izdaci u tekućem budžetu</v>
      </c>
      <c r="D66" s="374">
        <v>159304.27999999997</v>
      </c>
      <c r="E66" s="375">
        <v>113445.33000000002</v>
      </c>
      <c r="F66" s="375">
        <v>518917.45</v>
      </c>
      <c r="G66" s="375">
        <v>701872.01</v>
      </c>
      <c r="H66" s="375">
        <v>697226.14999999991</v>
      </c>
      <c r="I66" s="375">
        <v>503945</v>
      </c>
      <c r="J66" s="375">
        <v>403992.39999999997</v>
      </c>
      <c r="K66" s="375">
        <v>1283008.3199999998</v>
      </c>
      <c r="L66" s="375">
        <v>1970526.5499999998</v>
      </c>
      <c r="M66" s="375">
        <v>658333.31999999983</v>
      </c>
      <c r="N66" s="376">
        <v>440058.91000000003</v>
      </c>
      <c r="O66" s="474">
        <v>4765909.0300000012</v>
      </c>
      <c r="P66" s="264">
        <f>SUM(D66:O66)</f>
        <v>12216538.75</v>
      </c>
      <c r="Q66" s="297">
        <v>446655.06</v>
      </c>
      <c r="R66" s="297">
        <f t="shared" si="15"/>
        <v>12663193.810000001</v>
      </c>
      <c r="S66" s="297">
        <f>+'2013 - plan'!D67+'2013 - plan'!E67+'2013 - plan'!F67</f>
        <v>1938087.0399999996</v>
      </c>
      <c r="T66" s="368">
        <f t="shared" si="16"/>
        <v>10725106.770000001</v>
      </c>
      <c r="U66" s="341"/>
      <c r="V66" s="341"/>
      <c r="W66" s="341"/>
      <c r="X66" s="298">
        <f t="shared" si="4"/>
        <v>0.36621417758326091</v>
      </c>
      <c r="Y66" s="3"/>
      <c r="Z66" s="3"/>
      <c r="AA66" s="3"/>
      <c r="AB66" s="3"/>
      <c r="AC66" s="3"/>
      <c r="AD66" s="3"/>
      <c r="AE66" s="3"/>
      <c r="AF66" s="3"/>
    </row>
    <row r="67" spans="2:32">
      <c r="B67" s="3"/>
      <c r="C67" s="355" t="str">
        <f>IF(MasterSheet!$A$1=1,MasterSheet!C386,MasterSheet!B386)</f>
        <v>Transferi za socijalnu zaštitu</v>
      </c>
      <c r="D67" s="284">
        <f>+SUM(D68:D72)</f>
        <v>38151243.680000007</v>
      </c>
      <c r="E67" s="285">
        <f t="shared" ref="E67:O67" si="19">+SUM(E68:E72)</f>
        <v>42304307.499999978</v>
      </c>
      <c r="F67" s="285">
        <f t="shared" si="19"/>
        <v>40495852.529999964</v>
      </c>
      <c r="G67" s="285">
        <f t="shared" si="19"/>
        <v>40445889.590000004</v>
      </c>
      <c r="H67" s="285">
        <f t="shared" si="19"/>
        <v>39916624.779999971</v>
      </c>
      <c r="I67" s="285">
        <f t="shared" si="19"/>
        <v>39873840.349999979</v>
      </c>
      <c r="J67" s="285">
        <f t="shared" si="19"/>
        <v>39783817.739999995</v>
      </c>
      <c r="K67" s="285">
        <f t="shared" si="19"/>
        <v>39183217.879999995</v>
      </c>
      <c r="L67" s="285">
        <f t="shared" si="19"/>
        <v>40139584.429999992</v>
      </c>
      <c r="M67" s="285">
        <f t="shared" si="19"/>
        <v>39790180.209999979</v>
      </c>
      <c r="N67" s="380">
        <f t="shared" si="19"/>
        <v>39831617.24000001</v>
      </c>
      <c r="O67" s="440">
        <f t="shared" si="19"/>
        <v>43051593.349999994</v>
      </c>
      <c r="P67" s="289">
        <f t="shared" si="3"/>
        <v>482967769.27999985</v>
      </c>
      <c r="Q67" s="289">
        <v>42817670.630000003</v>
      </c>
      <c r="R67" s="289">
        <f t="shared" si="15"/>
        <v>525785439.90999985</v>
      </c>
      <c r="S67" s="289">
        <f>+'2013 - plan'!D68+'2013 - plan'!E68+'2013 - plan'!F68</f>
        <v>124468181.75999999</v>
      </c>
      <c r="T67" s="368">
        <f t="shared" si="16"/>
        <v>401317258.14999986</v>
      </c>
      <c r="U67" s="341"/>
      <c r="V67" s="341"/>
      <c r="W67" s="341"/>
      <c r="X67" s="290">
        <f t="shared" si="4"/>
        <v>14.477885106867708</v>
      </c>
      <c r="Y67" s="3"/>
      <c r="Z67" s="3"/>
      <c r="AA67" s="3"/>
      <c r="AB67" s="3"/>
      <c r="AC67" s="3"/>
      <c r="AD67" s="3"/>
      <c r="AE67" s="3"/>
      <c r="AF67" s="3"/>
    </row>
    <row r="68" spans="2:32">
      <c r="B68" s="3"/>
      <c r="C68" s="352" t="str">
        <f>IF(MasterSheet!$A$1=1,MasterSheet!C387,MasterSheet!B387)</f>
        <v>Prava iz oblasti socijalne zaštite</v>
      </c>
      <c r="D68" s="261">
        <v>5249177.49</v>
      </c>
      <c r="E68" s="294">
        <v>6265311.1100000003</v>
      </c>
      <c r="F68" s="294">
        <v>5548846.8199999994</v>
      </c>
      <c r="G68" s="294">
        <v>5564842.5499999998</v>
      </c>
      <c r="H68" s="294">
        <v>5426012.3199999994</v>
      </c>
      <c r="I68" s="294">
        <v>5414506.1199999992</v>
      </c>
      <c r="J68" s="294">
        <v>5377364.7999999998</v>
      </c>
      <c r="K68" s="294">
        <v>4628282.3600000003</v>
      </c>
      <c r="L68" s="294">
        <v>4825112.1500000004</v>
      </c>
      <c r="M68" s="294">
        <v>4994196.57</v>
      </c>
      <c r="N68" s="330">
        <v>5164469.1300000008</v>
      </c>
      <c r="O68" s="387">
        <v>5578422.5700000012</v>
      </c>
      <c r="P68" s="264">
        <f t="shared" si="3"/>
        <v>64036543.990000002</v>
      </c>
      <c r="Q68" s="295">
        <v>5548846.8199999994</v>
      </c>
      <c r="R68" s="295">
        <f t="shared" si="15"/>
        <v>69585390.810000002</v>
      </c>
      <c r="S68" s="295">
        <f>+'2013 - plan'!D69+'2013 - plan'!E69+'2013 - plan'!F69</f>
        <v>15252249.99</v>
      </c>
      <c r="T68" s="368">
        <f t="shared" si="16"/>
        <v>54333140.82</v>
      </c>
      <c r="U68" s="341"/>
      <c r="V68" s="341"/>
      <c r="W68" s="341"/>
      <c r="X68" s="296">
        <f t="shared" si="4"/>
        <v>1.91961821367547</v>
      </c>
      <c r="Y68" s="3"/>
      <c r="Z68" s="3"/>
      <c r="AA68" s="132"/>
      <c r="AB68" s="132"/>
      <c r="AC68" s="132"/>
      <c r="AD68" s="3"/>
      <c r="AE68" s="3"/>
      <c r="AF68" s="3"/>
    </row>
    <row r="69" spans="2:32">
      <c r="B69" s="3"/>
      <c r="C69" s="352" t="str">
        <f>IF(MasterSheet!$A$1=1,MasterSheet!C388,MasterSheet!B388)</f>
        <v>Sredstva za tehnološke viškove</v>
      </c>
      <c r="D69" s="261">
        <v>217499.03</v>
      </c>
      <c r="E69" s="294">
        <v>1858188.85</v>
      </c>
      <c r="F69" s="294">
        <v>1411205.3399999999</v>
      </c>
      <c r="G69" s="294">
        <v>929016.34000000008</v>
      </c>
      <c r="H69" s="294">
        <v>880474.57000000007</v>
      </c>
      <c r="I69" s="294">
        <v>934224.6</v>
      </c>
      <c r="J69" s="294">
        <v>746595.69000000006</v>
      </c>
      <c r="K69" s="294">
        <v>1119949.56</v>
      </c>
      <c r="L69" s="294">
        <v>976049.14999999991</v>
      </c>
      <c r="M69" s="294">
        <v>1095627.26</v>
      </c>
      <c r="N69" s="330">
        <v>977725.46000000008</v>
      </c>
      <c r="O69" s="387">
        <v>1939799.67</v>
      </c>
      <c r="P69" s="264">
        <f t="shared" si="3"/>
        <v>13086355.520000001</v>
      </c>
      <c r="Q69" s="295">
        <v>1411205.3399999999</v>
      </c>
      <c r="R69" s="295">
        <f t="shared" si="15"/>
        <v>14497560.860000001</v>
      </c>
      <c r="S69" s="295">
        <f>+'2013 - plan'!D70+'2013 - plan'!E70+'2013 - plan'!F70</f>
        <v>3840012.51</v>
      </c>
      <c r="T69" s="368">
        <f t="shared" si="16"/>
        <v>10657548.350000001</v>
      </c>
      <c r="U69" s="341"/>
      <c r="V69" s="341"/>
      <c r="W69" s="341"/>
      <c r="X69" s="296">
        <f t="shared" si="4"/>
        <v>0.39228860337540095</v>
      </c>
      <c r="Y69" s="3"/>
      <c r="Z69" s="3"/>
      <c r="AA69" s="3"/>
      <c r="AB69" s="3"/>
      <c r="AC69" s="3"/>
      <c r="AD69" s="3"/>
      <c r="AE69" s="3"/>
      <c r="AF69" s="3"/>
    </row>
    <row r="70" spans="2:32">
      <c r="B70" s="3"/>
      <c r="C70" s="352" t="str">
        <f>IF(MasterSheet!$A$1=1,MasterSheet!C389,MasterSheet!B389)</f>
        <v>Prava iz oblasti penzijskog i invalidskog osiguranja</v>
      </c>
      <c r="D70" s="261">
        <v>31674733.13000001</v>
      </c>
      <c r="E70" s="294">
        <v>31981161.769999977</v>
      </c>
      <c r="F70" s="294">
        <v>32270882.729999967</v>
      </c>
      <c r="G70" s="294">
        <v>31901739.649999999</v>
      </c>
      <c r="H70" s="294">
        <v>31873820.949999977</v>
      </c>
      <c r="I70" s="294">
        <v>31986440.05999998</v>
      </c>
      <c r="J70" s="294">
        <v>31784804.799999997</v>
      </c>
      <c r="K70" s="294">
        <v>31691801.059999995</v>
      </c>
      <c r="L70" s="294">
        <v>31830341.049999997</v>
      </c>
      <c r="M70" s="294">
        <v>31877312.889999986</v>
      </c>
      <c r="N70" s="330">
        <v>32169180.280000001</v>
      </c>
      <c r="O70" s="387">
        <v>32148029.949999992</v>
      </c>
      <c r="P70" s="264">
        <f t="shared" si="3"/>
        <v>383190248.31999987</v>
      </c>
      <c r="Q70" s="295">
        <v>34592700.830000006</v>
      </c>
      <c r="R70" s="295">
        <f t="shared" si="15"/>
        <v>417782949.14999986</v>
      </c>
      <c r="S70" s="295">
        <f>+'2013 - plan'!D71+'2013 - plan'!E71+'2013 - plan'!F71</f>
        <v>100225919.28</v>
      </c>
      <c r="T70" s="368">
        <f t="shared" si="16"/>
        <v>317557029.86999989</v>
      </c>
      <c r="U70" s="341"/>
      <c r="V70" s="341"/>
      <c r="W70" s="341"/>
      <c r="X70" s="296">
        <f t="shared" si="4"/>
        <v>11.486862565424619</v>
      </c>
      <c r="Y70" s="3"/>
      <c r="Z70" s="3"/>
      <c r="AA70" s="3"/>
      <c r="AB70" s="3"/>
      <c r="AC70" s="3"/>
      <c r="AD70" s="3"/>
      <c r="AE70" s="3"/>
      <c r="AF70" s="3"/>
    </row>
    <row r="71" spans="2:32">
      <c r="B71" s="3"/>
      <c r="C71" s="352" t="str">
        <f>IF(MasterSheet!$A$1=1,MasterSheet!C390,MasterSheet!B390)</f>
        <v>Ostala prava iz oblasti zdravstvene zaštite</v>
      </c>
      <c r="D71" s="261">
        <v>639432.91</v>
      </c>
      <c r="E71" s="294">
        <v>1579093.25</v>
      </c>
      <c r="F71" s="294">
        <v>626460.35</v>
      </c>
      <c r="G71" s="294">
        <v>1544704.71</v>
      </c>
      <c r="H71" s="294">
        <v>1166317.46</v>
      </c>
      <c r="I71" s="294">
        <v>678250.89</v>
      </c>
      <c r="J71" s="294">
        <v>1306714.3700000001</v>
      </c>
      <c r="K71" s="294">
        <v>1105331.22</v>
      </c>
      <c r="L71" s="294">
        <v>1786629.01</v>
      </c>
      <c r="M71" s="294">
        <v>1261101.8700000001</v>
      </c>
      <c r="N71" s="330">
        <v>1076426.2</v>
      </c>
      <c r="O71" s="387">
        <v>2021633.85</v>
      </c>
      <c r="P71" s="264">
        <f t="shared" si="3"/>
        <v>14792096.089999998</v>
      </c>
      <c r="Q71" s="295">
        <v>626460.35</v>
      </c>
      <c r="R71" s="295">
        <f t="shared" si="15"/>
        <v>15418556.439999998</v>
      </c>
      <c r="S71" s="295">
        <f>+'2013 - plan'!D72+'2013 - plan'!E72+'2013 - plan'!F72</f>
        <v>3399999.99</v>
      </c>
      <c r="T71" s="368">
        <f t="shared" si="16"/>
        <v>12018556.449999997</v>
      </c>
      <c r="U71" s="341"/>
      <c r="V71" s="341"/>
      <c r="W71" s="341"/>
      <c r="X71" s="296">
        <f t="shared" si="4"/>
        <v>0.44342144818489754</v>
      </c>
      <c r="Y71" s="3"/>
      <c r="Z71" s="3"/>
      <c r="AA71" s="3"/>
      <c r="AB71" s="3"/>
      <c r="AC71" s="3"/>
      <c r="AD71" s="3"/>
      <c r="AE71" s="3"/>
      <c r="AF71" s="3"/>
    </row>
    <row r="72" spans="2:32">
      <c r="B72" s="3"/>
      <c r="C72" s="352" t="str">
        <f>IF(MasterSheet!$A$1=1,MasterSheet!C391,MasterSheet!B391)</f>
        <v>Ostala prava iz oblasti zdravstvenog osiguranja</v>
      </c>
      <c r="D72" s="261">
        <v>370401.12</v>
      </c>
      <c r="E72" s="294">
        <v>620552.52</v>
      </c>
      <c r="F72" s="294">
        <v>638457.29</v>
      </c>
      <c r="G72" s="294">
        <v>505586.33999999997</v>
      </c>
      <c r="H72" s="294">
        <v>569999.48</v>
      </c>
      <c r="I72" s="294">
        <v>860418.68</v>
      </c>
      <c r="J72" s="294">
        <v>568338.07999999996</v>
      </c>
      <c r="K72" s="294">
        <v>637853.67999999993</v>
      </c>
      <c r="L72" s="294">
        <v>721453.07</v>
      </c>
      <c r="M72" s="294">
        <v>561941.62</v>
      </c>
      <c r="N72" s="330">
        <v>443816.17000000004</v>
      </c>
      <c r="O72" s="387">
        <v>1363707.31</v>
      </c>
      <c r="P72" s="264">
        <f t="shared" si="3"/>
        <v>7862525.3600000013</v>
      </c>
      <c r="Q72" s="295">
        <v>638457.29</v>
      </c>
      <c r="R72" s="295">
        <f t="shared" si="15"/>
        <v>8500982.6500000022</v>
      </c>
      <c r="S72" s="295">
        <f>+'2013 - plan'!D73+'2013 - plan'!E73+'2013 - plan'!F73</f>
        <v>1749999.9900000002</v>
      </c>
      <c r="T72" s="368">
        <f t="shared" si="16"/>
        <v>6750982.660000002</v>
      </c>
      <c r="U72" s="341"/>
      <c r="V72" s="341"/>
      <c r="W72" s="341"/>
      <c r="X72" s="296">
        <f t="shared" si="4"/>
        <v>0.23569427620732039</v>
      </c>
      <c r="Y72" s="3"/>
      <c r="Z72" s="3"/>
      <c r="AA72" s="3"/>
      <c r="AB72" s="3"/>
      <c r="AC72" s="3"/>
      <c r="AD72" s="3"/>
      <c r="AE72" s="3"/>
      <c r="AF72" s="3"/>
    </row>
    <row r="73" spans="2:32" ht="27.75" customHeight="1">
      <c r="B73" s="3"/>
      <c r="C73" s="381" t="str">
        <f>IF(MasterSheet!$A$1=1,MasterSheet!C392,MasterSheet!B392)</f>
        <v>Transferi institucijama pojedinicima nevladinom i javnom sektoru</v>
      </c>
      <c r="D73" s="284">
        <f>+SUM(D74:D79)</f>
        <v>4766352.82</v>
      </c>
      <c r="E73" s="285">
        <f t="shared" ref="E73:O73" si="20">+SUM(E74:E79)</f>
        <v>7183318.2799999993</v>
      </c>
      <c r="F73" s="285">
        <f t="shared" si="20"/>
        <v>8947545.6400000006</v>
      </c>
      <c r="G73" s="285">
        <f t="shared" si="20"/>
        <v>5884665.6100000003</v>
      </c>
      <c r="H73" s="285">
        <f t="shared" si="20"/>
        <v>7415737.6300000008</v>
      </c>
      <c r="I73" s="285">
        <f t="shared" si="20"/>
        <v>7060820.2999999998</v>
      </c>
      <c r="J73" s="285">
        <f t="shared" si="20"/>
        <v>5861351.5199999996</v>
      </c>
      <c r="K73" s="285">
        <f t="shared" si="20"/>
        <v>9038041.9700000007</v>
      </c>
      <c r="L73" s="285">
        <f t="shared" si="20"/>
        <v>8245712.2599999998</v>
      </c>
      <c r="M73" s="285">
        <f t="shared" si="20"/>
        <v>7298462.0700000012</v>
      </c>
      <c r="N73" s="380">
        <f t="shared" si="20"/>
        <v>4753269.4800000004</v>
      </c>
      <c r="O73" s="440">
        <f t="shared" si="20"/>
        <v>17851828.629999999</v>
      </c>
      <c r="P73" s="289">
        <f t="shared" si="3"/>
        <v>94307106.209999993</v>
      </c>
      <c r="Q73" s="289">
        <v>8947545.6400000006</v>
      </c>
      <c r="R73" s="289">
        <f t="shared" si="15"/>
        <v>103254651.84999999</v>
      </c>
      <c r="S73" s="289">
        <f>+'2013 - plan'!D74+'2013 - plan'!E74+'2013 - plan'!F74</f>
        <v>23320174.050000001</v>
      </c>
      <c r="T73" s="368">
        <f t="shared" si="16"/>
        <v>79934477.799999997</v>
      </c>
      <c r="U73" s="341"/>
      <c r="V73" s="341"/>
      <c r="W73" s="341"/>
      <c r="X73" s="290">
        <f t="shared" si="4"/>
        <v>2.8270363682964117</v>
      </c>
      <c r="Y73" s="3"/>
      <c r="Z73" s="3"/>
      <c r="AA73" s="3"/>
      <c r="AB73" s="3"/>
      <c r="AC73" s="3"/>
      <c r="AD73" s="3"/>
      <c r="AE73" s="3"/>
      <c r="AF73" s="3"/>
    </row>
    <row r="74" spans="2:32">
      <c r="B74" s="3"/>
      <c r="C74" s="352" t="str">
        <f>IF(MasterSheet!$A$1=1,MasterSheet!C393,MasterSheet!B393)</f>
        <v>Transferi javnim institucijama</v>
      </c>
      <c r="D74" s="261">
        <v>4359419.74</v>
      </c>
      <c r="E74" s="294">
        <v>5926531.1499999994</v>
      </c>
      <c r="F74" s="294">
        <v>6814693.6900000004</v>
      </c>
      <c r="G74" s="294">
        <v>4020786.17</v>
      </c>
      <c r="H74" s="294">
        <v>5924405.5600000005</v>
      </c>
      <c r="I74" s="294">
        <v>5511337.29</v>
      </c>
      <c r="J74" s="294">
        <v>3622572.18</v>
      </c>
      <c r="K74" s="294">
        <v>7062054.1800000006</v>
      </c>
      <c r="L74" s="294">
        <v>6729541.9399999995</v>
      </c>
      <c r="M74" s="294">
        <v>5331028.5200000005</v>
      </c>
      <c r="N74" s="330">
        <v>3551707.24</v>
      </c>
      <c r="O74" s="387">
        <v>11762437.76</v>
      </c>
      <c r="P74" s="295">
        <f t="shared" si="3"/>
        <v>70616515.420000002</v>
      </c>
      <c r="Q74" s="295">
        <v>6814693.6900000004</v>
      </c>
      <c r="R74" s="295">
        <f t="shared" si="15"/>
        <v>77431209.109999999</v>
      </c>
      <c r="S74" s="295">
        <f>+'2013 - plan'!D75+'2013 - plan'!E75+'2013 - plan'!F75</f>
        <v>18019117.5</v>
      </c>
      <c r="T74" s="368">
        <f t="shared" si="16"/>
        <v>59412091.609999999</v>
      </c>
      <c r="U74" s="341"/>
      <c r="V74" s="341"/>
      <c r="W74" s="341"/>
      <c r="X74" s="296">
        <f t="shared" si="4"/>
        <v>2.1168654761833392</v>
      </c>
      <c r="Y74" s="3"/>
      <c r="Z74" s="3"/>
      <c r="AA74" s="3"/>
      <c r="AB74" s="3"/>
      <c r="AC74" s="3"/>
      <c r="AD74" s="3"/>
      <c r="AE74" s="3"/>
      <c r="AF74" s="3"/>
    </row>
    <row r="75" spans="2:32">
      <c r="B75" s="3"/>
      <c r="C75" s="352" t="str">
        <f>IF(MasterSheet!$A$1=1,MasterSheet!C394,MasterSheet!B394)</f>
        <v>Transferi nevladinim organizacijama</v>
      </c>
      <c r="D75" s="261">
        <v>0</v>
      </c>
      <c r="E75" s="294">
        <v>45833.34</v>
      </c>
      <c r="F75" s="294">
        <v>23116.67</v>
      </c>
      <c r="G75" s="294">
        <v>0</v>
      </c>
      <c r="H75" s="294">
        <v>22916.67</v>
      </c>
      <c r="I75" s="294">
        <v>22916.67</v>
      </c>
      <c r="J75" s="294">
        <v>69816.67</v>
      </c>
      <c r="K75" s="294">
        <v>129466.67</v>
      </c>
      <c r="L75" s="294">
        <v>136466.66999999998</v>
      </c>
      <c r="M75" s="294">
        <v>67316.67</v>
      </c>
      <c r="N75" s="330">
        <v>64700</v>
      </c>
      <c r="O75" s="387">
        <v>1798665.99</v>
      </c>
      <c r="P75" s="295">
        <f t="shared" si="3"/>
        <v>2381216.02</v>
      </c>
      <c r="Q75" s="295">
        <v>23116.67</v>
      </c>
      <c r="R75" s="295">
        <f t="shared" si="15"/>
        <v>2404332.69</v>
      </c>
      <c r="S75" s="295">
        <f>+'2013 - plan'!D76+'2013 - plan'!E76+'2013 - plan'!F76</f>
        <v>633656.55000000005</v>
      </c>
      <c r="T75" s="368">
        <f t="shared" si="16"/>
        <v>1770676.14</v>
      </c>
      <c r="U75" s="341"/>
      <c r="V75" s="341"/>
      <c r="W75" s="341"/>
      <c r="X75" s="296">
        <f t="shared" si="4"/>
        <v>7.1381516832039332E-2</v>
      </c>
      <c r="Y75" s="3"/>
      <c r="Z75" s="3"/>
      <c r="AA75" s="3"/>
      <c r="AB75" s="3"/>
      <c r="AC75" s="3"/>
      <c r="AD75" s="3"/>
      <c r="AE75" s="3"/>
      <c r="AF75" s="3"/>
    </row>
    <row r="76" spans="2:32">
      <c r="B76" s="3"/>
      <c r="C76" s="352" t="str">
        <f>IF(MasterSheet!$A$1=1,MasterSheet!C395,MasterSheet!B395)</f>
        <v>Transferi pojedincima</v>
      </c>
      <c r="D76" s="261">
        <v>406933.08</v>
      </c>
      <c r="E76" s="294">
        <v>1210953.79</v>
      </c>
      <c r="F76" s="294">
        <v>2107235.2799999998</v>
      </c>
      <c r="G76" s="294">
        <v>1859879.4400000002</v>
      </c>
      <c r="H76" s="294">
        <v>1468415.4</v>
      </c>
      <c r="I76" s="294">
        <v>1526566.34</v>
      </c>
      <c r="J76" s="294">
        <v>2167962.67</v>
      </c>
      <c r="K76" s="294">
        <v>1826221.12</v>
      </c>
      <c r="L76" s="294">
        <v>1376703.6500000001</v>
      </c>
      <c r="M76" s="294">
        <v>1884144.69</v>
      </c>
      <c r="N76" s="330">
        <v>930245.99999999988</v>
      </c>
      <c r="O76" s="387">
        <v>3058468.0799999996</v>
      </c>
      <c r="P76" s="295">
        <f t="shared" si="3"/>
        <v>19823729.539999999</v>
      </c>
      <c r="Q76" s="295">
        <v>2107235.2799999998</v>
      </c>
      <c r="R76" s="295">
        <f t="shared" si="15"/>
        <v>21930964.82</v>
      </c>
      <c r="S76" s="295">
        <f>+'2013 - plan'!D77+'2013 - plan'!E77+'2013 - plan'!F77</f>
        <v>4604900.01</v>
      </c>
      <c r="T76" s="368">
        <f t="shared" si="16"/>
        <v>17326064.810000002</v>
      </c>
      <c r="U76" s="341"/>
      <c r="V76" s="341"/>
      <c r="W76" s="341"/>
      <c r="X76" s="296">
        <f t="shared" si="4"/>
        <v>0.59425431038100662</v>
      </c>
      <c r="Y76" s="3"/>
      <c r="Z76" s="3"/>
      <c r="AA76" s="3"/>
      <c r="AB76" s="3"/>
      <c r="AC76" s="3"/>
      <c r="AD76" s="3"/>
      <c r="AE76" s="3"/>
      <c r="AF76" s="3"/>
    </row>
    <row r="77" spans="2:32">
      <c r="B77" s="3"/>
      <c r="C77" s="352" t="str">
        <f>IF(MasterSheet!$A$1=1,MasterSheet!C396,MasterSheet!B396)</f>
        <v>Transferi opštinama</v>
      </c>
      <c r="D77" s="261">
        <v>0</v>
      </c>
      <c r="E77" s="294">
        <v>0</v>
      </c>
      <c r="F77" s="294">
        <v>2500</v>
      </c>
      <c r="G77" s="294">
        <v>4000</v>
      </c>
      <c r="H77" s="294">
        <v>0</v>
      </c>
      <c r="I77" s="294">
        <v>0</v>
      </c>
      <c r="J77" s="294">
        <v>1000</v>
      </c>
      <c r="K77" s="294">
        <v>20300</v>
      </c>
      <c r="L77" s="294">
        <v>3000</v>
      </c>
      <c r="M77" s="294">
        <v>15972.19</v>
      </c>
      <c r="N77" s="330">
        <v>206616.24</v>
      </c>
      <c r="O77" s="387">
        <v>1232256.8</v>
      </c>
      <c r="P77" s="295">
        <f t="shared" si="3"/>
        <v>1485645.23</v>
      </c>
      <c r="Q77" s="295">
        <v>2500</v>
      </c>
      <c r="R77" s="295">
        <f t="shared" si="15"/>
        <v>1488145.23</v>
      </c>
      <c r="S77" s="295">
        <f>+'2013 - plan'!D78+'2013 - plan'!E78+'2013 - plan'!F78</f>
        <v>62499.990000000005</v>
      </c>
      <c r="T77" s="368">
        <f t="shared" si="16"/>
        <v>1425645.24</v>
      </c>
      <c r="U77" s="341"/>
      <c r="V77" s="341"/>
      <c r="W77" s="341"/>
      <c r="X77" s="296">
        <f t="shared" si="4"/>
        <v>4.4535064900026976E-2</v>
      </c>
      <c r="Y77" s="3"/>
      <c r="Z77" s="3"/>
      <c r="AA77" s="3"/>
      <c r="AB77" s="3"/>
      <c r="AC77" s="3"/>
      <c r="AD77" s="3"/>
      <c r="AE77" s="3"/>
      <c r="AF77" s="3"/>
    </row>
    <row r="78" spans="2:32">
      <c r="B78" s="3"/>
      <c r="C78" s="352" t="s">
        <v>426</v>
      </c>
      <c r="D78" s="261"/>
      <c r="E78" s="294"/>
      <c r="F78" s="294"/>
      <c r="G78" s="294"/>
      <c r="H78" s="294"/>
      <c r="I78" s="294"/>
      <c r="J78" s="294"/>
      <c r="K78" s="294"/>
      <c r="L78" s="294"/>
      <c r="M78" s="294"/>
      <c r="N78" s="330"/>
      <c r="O78" s="387"/>
      <c r="P78" s="295"/>
      <c r="Q78" s="295"/>
      <c r="R78" s="295"/>
      <c r="S78" s="295"/>
      <c r="T78" s="368"/>
      <c r="U78" s="341"/>
      <c r="V78" s="341"/>
      <c r="W78" s="341"/>
      <c r="X78" s="296"/>
      <c r="Y78" s="3"/>
      <c r="Z78" s="3"/>
      <c r="AA78" s="3"/>
      <c r="AB78" s="3"/>
      <c r="AC78" s="3"/>
      <c r="AD78" s="3"/>
      <c r="AE78" s="3"/>
      <c r="AF78" s="3"/>
    </row>
    <row r="79" spans="2:32" ht="13.5" thickBot="1">
      <c r="B79" s="3"/>
      <c r="C79" s="382" t="str">
        <f>IF(MasterSheet!$A$1=1,MasterSheet!C397,MasterSheet!B397)</f>
        <v>Transferi javnim preduzećima</v>
      </c>
      <c r="D79" s="303">
        <v>0</v>
      </c>
      <c r="E79" s="383">
        <v>0</v>
      </c>
      <c r="F79" s="383">
        <v>0</v>
      </c>
      <c r="G79" s="383">
        <v>0</v>
      </c>
      <c r="H79" s="383">
        <v>0</v>
      </c>
      <c r="I79" s="304">
        <v>0</v>
      </c>
      <c r="J79" s="304">
        <v>0</v>
      </c>
      <c r="K79" s="304">
        <v>0</v>
      </c>
      <c r="L79" s="304">
        <v>0</v>
      </c>
      <c r="M79" s="304">
        <v>0</v>
      </c>
      <c r="N79" s="331">
        <v>0</v>
      </c>
      <c r="O79" s="572">
        <v>0</v>
      </c>
      <c r="P79" s="307">
        <f t="shared" si="3"/>
        <v>0</v>
      </c>
      <c r="Q79" s="307">
        <v>0</v>
      </c>
      <c r="R79" s="307">
        <f t="shared" si="15"/>
        <v>0</v>
      </c>
      <c r="S79" s="307">
        <f>+'2013 - plan'!D79+'2013 - plan'!E79+'2013 - plan'!F79</f>
        <v>0</v>
      </c>
      <c r="T79" s="368">
        <f t="shared" si="16"/>
        <v>0</v>
      </c>
      <c r="U79" s="341"/>
      <c r="V79" s="341"/>
      <c r="W79" s="341"/>
      <c r="X79" s="308">
        <f t="shared" si="4"/>
        <v>0</v>
      </c>
      <c r="Y79" s="3"/>
      <c r="Z79" s="3"/>
      <c r="AA79" s="3"/>
      <c r="AB79" s="3"/>
      <c r="AC79" s="3"/>
      <c r="AD79" s="3"/>
      <c r="AE79" s="3"/>
      <c r="AF79" s="3"/>
    </row>
    <row r="80" spans="2:32" ht="14.25" thickTop="1" thickBot="1">
      <c r="B80" s="3"/>
      <c r="C80" s="344" t="str">
        <f>IF(MasterSheet!$A$1=1,MasterSheet!C398,MasterSheet!B398)</f>
        <v>Kapitalni budžet</v>
      </c>
      <c r="D80" s="309">
        <v>138077.81</v>
      </c>
      <c r="E80" s="310">
        <v>2008065.02</v>
      </c>
      <c r="F80" s="310">
        <v>4422241.25</v>
      </c>
      <c r="G80" s="310">
        <v>4197672.67</v>
      </c>
      <c r="H80" s="310">
        <v>4236917.4400000004</v>
      </c>
      <c r="I80" s="310">
        <v>4706155.42</v>
      </c>
      <c r="J80" s="384">
        <v>4524523.5699999994</v>
      </c>
      <c r="K80" s="312">
        <v>4216317.49</v>
      </c>
      <c r="L80" s="312">
        <v>3941356.57</v>
      </c>
      <c r="M80" s="312">
        <v>5975320.6699999999</v>
      </c>
      <c r="N80" s="313">
        <v>6045846.2699999996</v>
      </c>
      <c r="O80" s="313">
        <v>17373008.68</v>
      </c>
      <c r="P80" s="315">
        <f t="shared" si="3"/>
        <v>61785502.860000007</v>
      </c>
      <c r="Q80" s="315">
        <v>4422241.25</v>
      </c>
      <c r="R80" s="315">
        <f t="shared" si="15"/>
        <v>66207744.110000007</v>
      </c>
      <c r="S80" s="315">
        <f>+'2013 - plan'!D80+'2013 - plan'!E80+'2013 - plan'!F80</f>
        <v>16409750.01</v>
      </c>
      <c r="T80" s="368">
        <f t="shared" si="16"/>
        <v>49797994.100000009</v>
      </c>
      <c r="U80" s="341"/>
      <c r="V80" s="341"/>
      <c r="W80" s="341"/>
      <c r="X80" s="316">
        <f t="shared" si="4"/>
        <v>1.852138938817111</v>
      </c>
      <c r="Y80" s="3"/>
      <c r="Z80" s="3"/>
      <c r="AA80" s="3"/>
      <c r="AB80" s="3"/>
      <c r="AC80" s="3"/>
      <c r="AD80" s="3"/>
      <c r="AE80" s="3"/>
      <c r="AF80" s="3"/>
    </row>
    <row r="81" spans="2:32" ht="13.5" thickTop="1">
      <c r="B81" s="3"/>
      <c r="C81" s="352" t="str">
        <f>IF(MasterSheet!$A$1=1,MasterSheet!C399,MasterSheet!B399)</f>
        <v>Pozajmice i krediti</v>
      </c>
      <c r="D81" s="327">
        <v>5000</v>
      </c>
      <c r="E81" s="328">
        <v>57001.11</v>
      </c>
      <c r="F81" s="328">
        <v>614160.66</v>
      </c>
      <c r="G81" s="328">
        <v>220833.34</v>
      </c>
      <c r="H81" s="328">
        <v>331814</v>
      </c>
      <c r="I81" s="328">
        <v>6656</v>
      </c>
      <c r="J81" s="328">
        <v>27500</v>
      </c>
      <c r="K81" s="328">
        <v>40000</v>
      </c>
      <c r="L81" s="328">
        <v>17507.28</v>
      </c>
      <c r="M81" s="328">
        <v>533513.18999999994</v>
      </c>
      <c r="N81" s="329">
        <v>69960</v>
      </c>
      <c r="O81" s="387">
        <v>828836.39999999991</v>
      </c>
      <c r="P81" s="317">
        <f t="shared" si="3"/>
        <v>2752781.9799999995</v>
      </c>
      <c r="Q81" s="317">
        <v>614160.66</v>
      </c>
      <c r="R81" s="317">
        <f t="shared" si="15"/>
        <v>3366942.6399999997</v>
      </c>
      <c r="S81" s="317">
        <f>+'2013 - plan'!D81+'2013 - plan'!E81+'2013 - plan'!F81</f>
        <v>430000.02</v>
      </c>
      <c r="T81" s="368">
        <f t="shared" si="16"/>
        <v>2936942.6199999996</v>
      </c>
      <c r="U81" s="341"/>
      <c r="V81" s="341"/>
      <c r="W81" s="341"/>
      <c r="X81" s="318">
        <f t="shared" si="4"/>
        <v>8.2519919062322006E-2</v>
      </c>
      <c r="Y81" s="3"/>
      <c r="Z81" s="3"/>
      <c r="AA81" s="3"/>
      <c r="AB81" s="3"/>
      <c r="AC81" s="3"/>
      <c r="AD81" s="3"/>
      <c r="AE81" s="3"/>
      <c r="AF81" s="3"/>
    </row>
    <row r="82" spans="2:32" ht="13.5" thickBot="1">
      <c r="B82" s="3"/>
      <c r="C82" s="382" t="str">
        <f>IF(MasterSheet!$A$1=1,MasterSheet!C400,MasterSheet!B400)</f>
        <v>Rezerve</v>
      </c>
      <c r="D82" s="303">
        <v>152480</v>
      </c>
      <c r="E82" s="383">
        <v>69850</v>
      </c>
      <c r="F82" s="383">
        <v>381882.21</v>
      </c>
      <c r="G82" s="383">
        <v>795860</v>
      </c>
      <c r="H82" s="383">
        <v>1010265.09</v>
      </c>
      <c r="I82" s="304">
        <v>3303845.5</v>
      </c>
      <c r="J82" s="304">
        <v>2217610</v>
      </c>
      <c r="K82" s="304">
        <v>1221150.82</v>
      </c>
      <c r="L82" s="304">
        <v>2522421.1</v>
      </c>
      <c r="M82" s="304">
        <v>283431.86</v>
      </c>
      <c r="N82" s="331">
        <v>862021</v>
      </c>
      <c r="O82" s="572">
        <v>1306027.21</v>
      </c>
      <c r="P82" s="307">
        <f t="shared" si="3"/>
        <v>14126844.789999999</v>
      </c>
      <c r="Q82" s="307">
        <v>381882.21</v>
      </c>
      <c r="R82" s="307">
        <f t="shared" si="15"/>
        <v>14508727</v>
      </c>
      <c r="S82" s="307">
        <f>+'2013 - plan'!D82+'2013 - plan'!E82+'2013 - plan'!F82</f>
        <v>1839017.3699999996</v>
      </c>
      <c r="T82" s="368">
        <f t="shared" si="16"/>
        <v>12669709.630000001</v>
      </c>
      <c r="U82" s="341"/>
      <c r="V82" s="341"/>
      <c r="W82" s="341"/>
      <c r="X82" s="308">
        <f t="shared" si="4"/>
        <v>0.42347926466620694</v>
      </c>
      <c r="Y82" s="3"/>
      <c r="Z82" s="3"/>
      <c r="AA82" s="3"/>
      <c r="AB82" s="3"/>
      <c r="AC82" s="3"/>
      <c r="AD82" s="3"/>
      <c r="AE82" s="3"/>
      <c r="AF82" s="3"/>
    </row>
    <row r="83" spans="2:32" ht="14.25" thickTop="1" thickBot="1">
      <c r="B83" s="3"/>
      <c r="C83" s="382" t="str">
        <f>IF(MasterSheet!$A$1=1,MasterSheet!C408,MasterSheet!B408)</f>
        <v>Otplata garancija</v>
      </c>
      <c r="D83" s="303">
        <v>0</v>
      </c>
      <c r="E83" s="383">
        <v>0</v>
      </c>
      <c r="F83" s="383">
        <v>0</v>
      </c>
      <c r="G83" s="383">
        <v>145520.37</v>
      </c>
      <c r="H83" s="383">
        <v>0</v>
      </c>
      <c r="I83" s="304">
        <v>0</v>
      </c>
      <c r="J83" s="405">
        <v>60056480</v>
      </c>
      <c r="K83" s="405">
        <v>42900294.009999998</v>
      </c>
      <c r="L83" s="305">
        <v>0</v>
      </c>
      <c r="M83" s="305">
        <v>0</v>
      </c>
      <c r="N83" s="305">
        <v>3561508.52</v>
      </c>
      <c r="O83" s="572">
        <v>575548.03</v>
      </c>
      <c r="P83" s="307">
        <f>SUM(D83:O83)</f>
        <v>107239350.92999999</v>
      </c>
      <c r="Q83" s="307">
        <v>0</v>
      </c>
      <c r="R83" s="406">
        <f t="shared" si="15"/>
        <v>107239350.92999999</v>
      </c>
      <c r="S83" s="406"/>
      <c r="T83" s="407"/>
      <c r="U83" s="407"/>
      <c r="V83" s="407"/>
      <c r="W83" s="407"/>
      <c r="X83" s="308">
        <f t="shared" si="4"/>
        <v>3.2147052048922329</v>
      </c>
      <c r="Y83" s="3"/>
      <c r="Z83" s="3"/>
      <c r="AA83" s="3"/>
      <c r="AB83" s="3"/>
      <c r="AC83" s="3"/>
      <c r="AD83" s="3"/>
      <c r="AE83" s="3"/>
      <c r="AF83" s="3"/>
    </row>
    <row r="84" spans="2:32" ht="14.25" thickTop="1" thickBot="1">
      <c r="B84" s="3"/>
      <c r="C84" s="382" t="s">
        <v>427</v>
      </c>
      <c r="D84" s="408"/>
      <c r="E84" s="409"/>
      <c r="F84" s="409"/>
      <c r="G84" s="409"/>
      <c r="H84" s="409"/>
      <c r="I84" s="410"/>
      <c r="J84" s="411"/>
      <c r="K84" s="411"/>
      <c r="L84" s="410"/>
      <c r="M84" s="410"/>
      <c r="N84" s="410"/>
      <c r="O84" s="422"/>
      <c r="P84" s="295"/>
      <c r="Q84" s="295"/>
      <c r="R84" s="368"/>
      <c r="S84" s="368"/>
      <c r="T84" s="341"/>
      <c r="U84" s="341"/>
      <c r="V84" s="341"/>
      <c r="W84" s="341"/>
      <c r="X84" s="296"/>
      <c r="Y84" s="3"/>
      <c r="Z84" s="3"/>
      <c r="AA84" s="3"/>
      <c r="AB84" s="3"/>
      <c r="AC84" s="3"/>
      <c r="AD84" s="3"/>
      <c r="AE84" s="3"/>
      <c r="AF84" s="3"/>
    </row>
    <row r="85" spans="2:32" ht="14.25" thickTop="1" thickBot="1">
      <c r="B85" s="3"/>
      <c r="C85" s="344" t="str">
        <f>IF(MasterSheet!$A$1=1,MasterSheet!C402,MasterSheet!B402)</f>
        <v>Suficit/ Deficit</v>
      </c>
      <c r="D85" s="283">
        <f>+D18-D50</f>
        <v>-26029630.600000054</v>
      </c>
      <c r="E85" s="283">
        <f t="shared" ref="E85:N85" si="21">+E18-E50</f>
        <v>-18963524.985214218</v>
      </c>
      <c r="F85" s="283">
        <f t="shared" si="21"/>
        <v>-15539960.174283639</v>
      </c>
      <c r="G85" s="283">
        <f t="shared" si="21"/>
        <v>-15892411.473259315</v>
      </c>
      <c r="H85" s="283">
        <f t="shared" si="21"/>
        <v>-1544398.7501670867</v>
      </c>
      <c r="I85" s="283">
        <f t="shared" si="21"/>
        <v>-607686.93338963389</v>
      </c>
      <c r="J85" s="283">
        <f t="shared" si="21"/>
        <v>-38312345.495714545</v>
      </c>
      <c r="K85" s="283">
        <f t="shared" si="21"/>
        <v>-16221972.00090231</v>
      </c>
      <c r="L85" s="283">
        <f t="shared" si="21"/>
        <v>-2657604.3090550303</v>
      </c>
      <c r="M85" s="283">
        <f t="shared" si="21"/>
        <v>17862496.387521476</v>
      </c>
      <c r="N85" s="283">
        <f t="shared" si="21"/>
        <v>-2710356.1671831608</v>
      </c>
      <c r="O85" s="367">
        <f>+O18-O50</f>
        <v>-7703230.0812701583</v>
      </c>
      <c r="P85" s="250">
        <f>SUM(D85:O85)</f>
        <v>-128320624.58291766</v>
      </c>
      <c r="Q85" s="250"/>
      <c r="R85" s="341"/>
      <c r="S85" s="341"/>
      <c r="T85" s="341"/>
      <c r="U85" s="341"/>
      <c r="V85" s="341"/>
      <c r="W85" s="341"/>
      <c r="X85" s="251">
        <f t="shared" ref="X85:X97" si="22">+P85/$D$13*100</f>
        <v>-3.8466568117424882</v>
      </c>
      <c r="Y85" s="7"/>
      <c r="Z85" s="3"/>
      <c r="AA85" s="3"/>
      <c r="AB85" s="3"/>
      <c r="AC85" s="3"/>
      <c r="AD85" s="3"/>
      <c r="AE85" s="3"/>
      <c r="AF85" s="3"/>
    </row>
    <row r="86" spans="2:32" ht="14.25" thickTop="1" thickBot="1">
      <c r="B86" s="3"/>
      <c r="C86" s="344" t="str">
        <f>IF(MasterSheet!$A$1=1,MasterSheet!C403,MasterSheet!B403)</f>
        <v>Primarni deficit</v>
      </c>
      <c r="D86" s="283">
        <f>+D85+D62</f>
        <v>-25475840.090000052</v>
      </c>
      <c r="E86" s="283">
        <f t="shared" ref="E86:O86" si="23">+E85+E62</f>
        <v>-17202173.635214217</v>
      </c>
      <c r="F86" s="283">
        <f t="shared" si="23"/>
        <v>-13403057.554283638</v>
      </c>
      <c r="G86" s="283">
        <f t="shared" si="23"/>
        <v>8935060.6567406878</v>
      </c>
      <c r="H86" s="283">
        <f t="shared" si="23"/>
        <v>-418982.82016708655</v>
      </c>
      <c r="I86" s="283">
        <f t="shared" si="23"/>
        <v>3186259.5166103663</v>
      </c>
      <c r="J86" s="283">
        <f t="shared" si="23"/>
        <v>-32573130.305714548</v>
      </c>
      <c r="K86" s="283">
        <f t="shared" si="23"/>
        <v>-14118391.91090231</v>
      </c>
      <c r="L86" s="283">
        <f t="shared" si="23"/>
        <v>16056972.640944973</v>
      </c>
      <c r="M86" s="283">
        <f t="shared" si="23"/>
        <v>18659884.677521475</v>
      </c>
      <c r="N86" s="283">
        <f t="shared" si="23"/>
        <v>-1961237.3871831608</v>
      </c>
      <c r="O86" s="367">
        <f t="shared" si="23"/>
        <v>-2578257.5812701583</v>
      </c>
      <c r="P86" s="250">
        <f t="shared" ref="P86:P97" si="24">SUM(D86:O86)</f>
        <v>-60892893.792917661</v>
      </c>
      <c r="Q86" s="341"/>
      <c r="R86" s="341"/>
      <c r="S86" s="341"/>
      <c r="T86" s="341"/>
      <c r="U86" s="341"/>
      <c r="V86" s="341"/>
      <c r="W86" s="341"/>
      <c r="X86" s="251">
        <f t="shared" si="22"/>
        <v>-1.8253812702094685</v>
      </c>
      <c r="Y86" s="3"/>
      <c r="Z86" s="3"/>
      <c r="AA86" s="3"/>
      <c r="AB86" s="3"/>
      <c r="AC86" s="3"/>
      <c r="AD86" s="3"/>
      <c r="AE86" s="3"/>
      <c r="AF86" s="3"/>
    </row>
    <row r="87" spans="2:32" ht="14.25" thickTop="1" thickBot="1">
      <c r="B87" s="3"/>
      <c r="C87" s="344" t="str">
        <f>IF(MasterSheet!$A$1=1,MasterSheet!C404,MasterSheet!B404)</f>
        <v>Otplata duga</v>
      </c>
      <c r="D87" s="283">
        <f>+SUM(D88:D90)</f>
        <v>16061025.709999999</v>
      </c>
      <c r="E87" s="283">
        <f t="shared" ref="E87:O87" si="25">+SUM(E88:E90)</f>
        <v>7375048.8699999992</v>
      </c>
      <c r="F87" s="283">
        <f t="shared" si="25"/>
        <v>7217299.5099999998</v>
      </c>
      <c r="G87" s="283">
        <f t="shared" si="25"/>
        <v>7894827.54</v>
      </c>
      <c r="H87" s="283">
        <f t="shared" si="25"/>
        <v>5565089.5</v>
      </c>
      <c r="I87" s="283">
        <f t="shared" si="25"/>
        <v>18466625.890000001</v>
      </c>
      <c r="J87" s="283">
        <f t="shared" si="25"/>
        <v>34603919.259999998</v>
      </c>
      <c r="K87" s="283">
        <f t="shared" si="25"/>
        <v>16979858.109999999</v>
      </c>
      <c r="L87" s="283">
        <f t="shared" si="25"/>
        <v>24394432.170000002</v>
      </c>
      <c r="M87" s="283">
        <f t="shared" si="25"/>
        <v>14005707.239999998</v>
      </c>
      <c r="N87" s="283">
        <f t="shared" si="25"/>
        <v>17570784.68</v>
      </c>
      <c r="O87" s="367">
        <f t="shared" si="25"/>
        <v>71642809.530000001</v>
      </c>
      <c r="P87" s="250">
        <f t="shared" si="24"/>
        <v>241777428.01000002</v>
      </c>
      <c r="Q87" s="341"/>
      <c r="R87" s="341"/>
      <c r="S87" s="341"/>
      <c r="T87" s="341"/>
      <c r="U87" s="341"/>
      <c r="V87" s="341"/>
      <c r="W87" s="341"/>
      <c r="X87" s="251">
        <f t="shared" si="22"/>
        <v>7.2477420788992486</v>
      </c>
      <c r="Y87" s="3"/>
      <c r="Z87" s="3"/>
      <c r="AA87" s="3"/>
      <c r="AB87" s="3"/>
      <c r="AC87" s="3"/>
      <c r="AD87" s="3"/>
      <c r="AE87" s="3"/>
      <c r="AF87" s="3"/>
    </row>
    <row r="88" spans="2:32" ht="13.5" thickTop="1">
      <c r="B88" s="3"/>
      <c r="C88" s="352" t="str">
        <f>IF(MasterSheet!$A$1=1,MasterSheet!C405,MasterSheet!B405)</f>
        <v>Otplata duga rezidentima</v>
      </c>
      <c r="D88" s="327">
        <v>10400865.82</v>
      </c>
      <c r="E88" s="328">
        <v>889367.83</v>
      </c>
      <c r="F88" s="328">
        <v>1750313.77</v>
      </c>
      <c r="G88" s="328">
        <v>3128301.99</v>
      </c>
      <c r="H88" s="328">
        <v>1945669.64</v>
      </c>
      <c r="I88" s="328">
        <v>989736.54</v>
      </c>
      <c r="J88" s="328">
        <v>4774307.72</v>
      </c>
      <c r="K88" s="328">
        <v>9944955.3699999992</v>
      </c>
      <c r="L88" s="328">
        <v>12179630.32</v>
      </c>
      <c r="M88" s="328">
        <v>7710797.4800000004</v>
      </c>
      <c r="N88" s="329">
        <v>10161021.360000001</v>
      </c>
      <c r="O88" s="387">
        <v>48820983.07</v>
      </c>
      <c r="P88" s="295">
        <f t="shared" si="24"/>
        <v>112695950.91</v>
      </c>
      <c r="Q88" s="341"/>
      <c r="R88" s="341"/>
      <c r="S88" s="341"/>
      <c r="T88" s="341"/>
      <c r="U88" s="341"/>
      <c r="V88" s="341"/>
      <c r="W88" s="341"/>
      <c r="X88" s="296">
        <f t="shared" si="22"/>
        <v>3.3782772538145629</v>
      </c>
      <c r="Y88" s="3"/>
      <c r="Z88" s="3"/>
      <c r="AA88" s="3"/>
      <c r="AB88" s="3"/>
      <c r="AC88" s="3"/>
      <c r="AD88" s="3"/>
      <c r="AE88" s="3"/>
      <c r="AF88" s="3"/>
    </row>
    <row r="89" spans="2:32">
      <c r="B89" s="3"/>
      <c r="C89" s="352" t="str">
        <f>IF(MasterSheet!$A$1=1,MasterSheet!C406,MasterSheet!B406)</f>
        <v>Otplata duga nerezidentima</v>
      </c>
      <c r="D89" s="261">
        <v>3134669.41</v>
      </c>
      <c r="E89" s="294">
        <v>158802.38</v>
      </c>
      <c r="F89" s="294">
        <v>3318984.81</v>
      </c>
      <c r="G89" s="294">
        <v>2298414.4</v>
      </c>
      <c r="H89" s="294">
        <v>2516927.7599999998</v>
      </c>
      <c r="I89" s="294">
        <v>11294736.17</v>
      </c>
      <c r="J89" s="294">
        <v>14484226.060000001</v>
      </c>
      <c r="K89" s="294">
        <v>790205.48</v>
      </c>
      <c r="L89" s="294">
        <v>7014425.7999999998</v>
      </c>
      <c r="M89" s="294">
        <v>3516922.29</v>
      </c>
      <c r="N89" s="330">
        <v>4899072.42</v>
      </c>
      <c r="O89" s="387">
        <v>15375518.51</v>
      </c>
      <c r="P89" s="295">
        <f t="shared" si="24"/>
        <v>68802905.489999995</v>
      </c>
      <c r="Q89" s="341"/>
      <c r="R89" s="341"/>
      <c r="S89" s="341"/>
      <c r="T89" s="341"/>
      <c r="U89" s="341"/>
      <c r="V89" s="341"/>
      <c r="W89" s="341"/>
      <c r="X89" s="296">
        <f t="shared" si="22"/>
        <v>2.0624990404388619</v>
      </c>
      <c r="Y89" s="3"/>
      <c r="Z89" s="3"/>
      <c r="AA89" s="3"/>
      <c r="AB89" s="3"/>
      <c r="AC89" s="3"/>
      <c r="AD89" s="3"/>
      <c r="AE89" s="3"/>
      <c r="AF89" s="3"/>
    </row>
    <row r="90" spans="2:32" ht="13.5" thickBot="1">
      <c r="B90" s="3"/>
      <c r="C90" s="352" t="str">
        <f>IF(MasterSheet!$A$1=1,MasterSheet!C407,MasterSheet!B407)</f>
        <v>Otplata obaveza iz prethodnog perioda</v>
      </c>
      <c r="D90" s="303">
        <v>2525490.4799999991</v>
      </c>
      <c r="E90" s="304">
        <v>6326878.6599999992</v>
      </c>
      <c r="F90" s="304">
        <v>2148000.9299999992</v>
      </c>
      <c r="G90" s="304">
        <v>2468111.1499999994</v>
      </c>
      <c r="H90" s="304">
        <v>1102492.1000000001</v>
      </c>
      <c r="I90" s="304">
        <v>6182153.1800000016</v>
      </c>
      <c r="J90" s="304">
        <v>15345385.479999999</v>
      </c>
      <c r="K90" s="304">
        <v>6244697.2599999979</v>
      </c>
      <c r="L90" s="304">
        <v>5200376.05</v>
      </c>
      <c r="M90" s="304">
        <v>2777987.4699999997</v>
      </c>
      <c r="N90" s="331">
        <v>2510690.9</v>
      </c>
      <c r="O90" s="387">
        <v>7446307.9500000011</v>
      </c>
      <c r="P90" s="295">
        <f t="shared" si="24"/>
        <v>60278571.609999992</v>
      </c>
      <c r="Q90" s="341"/>
      <c r="R90" s="341"/>
      <c r="S90" s="341"/>
      <c r="T90" s="341"/>
      <c r="U90" s="341"/>
      <c r="V90" s="341"/>
      <c r="W90" s="341"/>
      <c r="X90" s="296">
        <f t="shared" si="22"/>
        <v>1.8069657846458225</v>
      </c>
      <c r="Y90" s="3"/>
      <c r="Z90" s="3"/>
      <c r="AA90" s="3"/>
      <c r="AB90" s="3"/>
      <c r="AC90" s="3"/>
      <c r="AD90" s="3"/>
      <c r="AE90" s="3"/>
      <c r="AF90" s="3"/>
    </row>
    <row r="91" spans="2:32" ht="14.25" thickTop="1" thickBot="1">
      <c r="B91" s="3"/>
      <c r="C91" s="344" t="str">
        <f>IF(MasterSheet!$A$1=1,MasterSheet!C409,MasterSheet!B409)</f>
        <v>Nedostajuća sredstva</v>
      </c>
      <c r="D91" s="283">
        <f>+D85-D87</f>
        <v>-42090656.310000055</v>
      </c>
      <c r="E91" s="283">
        <f t="shared" ref="E91:O91" si="26">+E85-E87</f>
        <v>-26338573.855214216</v>
      </c>
      <c r="F91" s="283">
        <f t="shared" si="26"/>
        <v>-22757259.684283637</v>
      </c>
      <c r="G91" s="283">
        <f t="shared" si="26"/>
        <v>-23787239.013259314</v>
      </c>
      <c r="H91" s="283">
        <f t="shared" si="26"/>
        <v>-7109488.2501670867</v>
      </c>
      <c r="I91" s="283">
        <f t="shared" si="26"/>
        <v>-19074312.823389634</v>
      </c>
      <c r="J91" s="283">
        <f t="shared" si="26"/>
        <v>-72916264.755714536</v>
      </c>
      <c r="K91" s="283">
        <f t="shared" si="26"/>
        <v>-33201830.110902309</v>
      </c>
      <c r="L91" s="283">
        <f t="shared" si="26"/>
        <v>-27052036.479055032</v>
      </c>
      <c r="M91" s="283">
        <f t="shared" si="26"/>
        <v>3856789.1475214772</v>
      </c>
      <c r="N91" s="283">
        <f t="shared" si="26"/>
        <v>-20281140.84718316</v>
      </c>
      <c r="O91" s="367">
        <f t="shared" si="26"/>
        <v>-79346039.611270159</v>
      </c>
      <c r="P91" s="250">
        <f>SUM(D91:O91)</f>
        <v>-370098052.59291768</v>
      </c>
      <c r="Q91" s="341"/>
      <c r="R91" s="341"/>
      <c r="S91" s="341"/>
      <c r="T91" s="341"/>
      <c r="U91" s="341"/>
      <c r="V91" s="341"/>
      <c r="W91" s="341"/>
      <c r="X91" s="251">
        <f t="shared" si="22"/>
        <v>-11.094398890641736</v>
      </c>
      <c r="Y91" s="3"/>
      <c r="Z91" s="3"/>
      <c r="AA91" s="3"/>
      <c r="AB91" s="3"/>
      <c r="AC91" s="3"/>
      <c r="AD91" s="3"/>
      <c r="AE91" s="3"/>
      <c r="AF91" s="3"/>
    </row>
    <row r="92" spans="2:32" ht="14.25" thickTop="1" thickBot="1">
      <c r="B92" s="3"/>
      <c r="C92" s="344" t="str">
        <f>IF(MasterSheet!$A$1=1,MasterSheet!C410,MasterSheet!B410)</f>
        <v>Finansiranje</v>
      </c>
      <c r="D92" s="283">
        <f>+SUM(D93:D97)</f>
        <v>42090656.310000055</v>
      </c>
      <c r="E92" s="283">
        <f t="shared" ref="E92:M92" si="27">+SUM(E93:E97)</f>
        <v>26338573.855214216</v>
      </c>
      <c r="F92" s="283">
        <f t="shared" si="27"/>
        <v>22757259.684283637</v>
      </c>
      <c r="G92" s="283">
        <f t="shared" si="27"/>
        <v>23787239.013259314</v>
      </c>
      <c r="H92" s="283">
        <f t="shared" si="27"/>
        <v>7109488.2501670867</v>
      </c>
      <c r="I92" s="283">
        <f t="shared" si="27"/>
        <v>19074312.823389634</v>
      </c>
      <c r="J92" s="283">
        <f t="shared" si="27"/>
        <v>72916264.755714536</v>
      </c>
      <c r="K92" s="283">
        <f t="shared" si="27"/>
        <v>33201830.110902309</v>
      </c>
      <c r="L92" s="283">
        <f t="shared" si="27"/>
        <v>27052036.479055032</v>
      </c>
      <c r="M92" s="283">
        <f t="shared" si="27"/>
        <v>-3856789.1475214767</v>
      </c>
      <c r="N92" s="283">
        <f t="shared" ref="N92:O92" si="28">SUM(N93:N97)</f>
        <v>20281140.84718316</v>
      </c>
      <c r="O92" s="367">
        <f t="shared" si="28"/>
        <v>79346039.611270159</v>
      </c>
      <c r="P92" s="250">
        <f t="shared" si="24"/>
        <v>370098052.59291768</v>
      </c>
      <c r="Q92" s="341"/>
      <c r="R92" s="341"/>
      <c r="S92" s="341"/>
      <c r="T92" s="341"/>
      <c r="U92" s="341"/>
      <c r="V92" s="341"/>
      <c r="W92" s="341"/>
      <c r="X92" s="251">
        <f t="shared" si="22"/>
        <v>11.094398890641736</v>
      </c>
      <c r="Y92" s="3"/>
      <c r="Z92" s="3"/>
      <c r="AA92" s="3"/>
      <c r="AB92" s="3"/>
      <c r="AC92" s="3"/>
      <c r="AD92" s="3"/>
      <c r="AE92" s="3"/>
      <c r="AF92" s="3"/>
    </row>
    <row r="93" spans="2:32" ht="13.5" thickTop="1">
      <c r="B93" s="3"/>
      <c r="C93" s="352" t="str">
        <f>IF(MasterSheet!$A$1=1,MasterSheet!C411,MasterSheet!B411)</f>
        <v>Pozajmice i krediti iz domaćih izvora</v>
      </c>
      <c r="D93" s="327">
        <v>0</v>
      </c>
      <c r="E93" s="328">
        <v>3971500</v>
      </c>
      <c r="F93" s="328">
        <v>23000000</v>
      </c>
      <c r="G93" s="328">
        <v>14499142</v>
      </c>
      <c r="H93" s="328">
        <v>4400000</v>
      </c>
      <c r="I93" s="328">
        <v>7785609.8499999996</v>
      </c>
      <c r="J93" s="328">
        <v>11000000</v>
      </c>
      <c r="K93" s="328">
        <v>2178500</v>
      </c>
      <c r="L93" s="328">
        <v>16000000</v>
      </c>
      <c r="M93" s="328">
        <v>0</v>
      </c>
      <c r="N93" s="329">
        <v>0</v>
      </c>
      <c r="O93" s="387">
        <v>20000000</v>
      </c>
      <c r="P93" s="295">
        <f t="shared" si="24"/>
        <v>102834751.84999999</v>
      </c>
      <c r="Q93" s="341"/>
      <c r="R93" s="388"/>
      <c r="S93" s="341"/>
      <c r="T93" s="341"/>
      <c r="U93" s="341"/>
      <c r="V93" s="341"/>
      <c r="W93" s="341"/>
      <c r="X93" s="296">
        <f t="shared" si="22"/>
        <v>3.0826689004466559</v>
      </c>
      <c r="Y93" s="3"/>
      <c r="Z93" s="3"/>
      <c r="AA93" s="3"/>
      <c r="AB93" s="3"/>
      <c r="AC93" s="3"/>
      <c r="AD93" s="3"/>
      <c r="AE93" s="3"/>
      <c r="AF93" s="3"/>
    </row>
    <row r="94" spans="2:32">
      <c r="B94" s="3"/>
      <c r="C94" s="352" t="str">
        <f>IF(MasterSheet!$A$1=1,MasterSheet!C412,MasterSheet!B412)</f>
        <v>Pozajmice i krediti iz inostranih izvora</v>
      </c>
      <c r="D94" s="261">
        <v>35315594.670000002</v>
      </c>
      <c r="E94" s="294">
        <v>1296835.01</v>
      </c>
      <c r="F94" s="294">
        <v>1101008.74</v>
      </c>
      <c r="G94" s="294">
        <v>772062.14</v>
      </c>
      <c r="H94" s="294">
        <v>1139143.8400000001</v>
      </c>
      <c r="I94" s="294">
        <v>3391069.12</v>
      </c>
      <c r="J94" s="294">
        <v>59863883.469999999</v>
      </c>
      <c r="K94" s="294">
        <v>43150880.350000001</v>
      </c>
      <c r="L94" s="294">
        <v>107867.28</v>
      </c>
      <c r="M94" s="294">
        <v>443723.69</v>
      </c>
      <c r="N94" s="330">
        <v>890239.71</v>
      </c>
      <c r="O94" s="387">
        <v>83065168.799999997</v>
      </c>
      <c r="P94" s="295">
        <f>SUM(D94:O94)</f>
        <v>230537476.81999999</v>
      </c>
      <c r="Q94" s="341"/>
      <c r="R94" s="341"/>
      <c r="S94" s="341"/>
      <c r="T94" s="341"/>
      <c r="U94" s="341"/>
      <c r="V94" s="341"/>
      <c r="W94" s="341"/>
      <c r="X94" s="296">
        <f t="shared" si="22"/>
        <v>6.9108029863005491</v>
      </c>
      <c r="Y94" s="3"/>
      <c r="Z94" s="3"/>
      <c r="AA94" s="3"/>
      <c r="AB94" s="3"/>
      <c r="AC94" s="3"/>
      <c r="AD94" s="3"/>
      <c r="AE94" s="3"/>
      <c r="AF94" s="3"/>
    </row>
    <row r="95" spans="2:32">
      <c r="B95" s="3"/>
      <c r="C95" s="352" t="str">
        <f>IF(MasterSheet!$A$1=1,MasterSheet!C413,MasterSheet!B413)</f>
        <v>Donacije</v>
      </c>
      <c r="D95" s="261">
        <v>165851.26</v>
      </c>
      <c r="E95" s="294">
        <v>158391.43</v>
      </c>
      <c r="F95" s="294">
        <v>618410.81000000006</v>
      </c>
      <c r="G95" s="294">
        <v>144375.03</v>
      </c>
      <c r="H95" s="294">
        <v>330184.13</v>
      </c>
      <c r="I95" s="294">
        <v>460006.45</v>
      </c>
      <c r="J95" s="294">
        <v>487486.95</v>
      </c>
      <c r="K95" s="294">
        <v>225390.9</v>
      </c>
      <c r="L95" s="294">
        <v>762489.43</v>
      </c>
      <c r="M95" s="294">
        <v>1447115.81</v>
      </c>
      <c r="N95" s="330">
        <v>707499.84</v>
      </c>
      <c r="O95" s="387">
        <v>1108249.5</v>
      </c>
      <c r="P95" s="295">
        <f t="shared" si="24"/>
        <v>6615451.54</v>
      </c>
      <c r="Q95" s="341"/>
      <c r="R95" s="341"/>
      <c r="S95" s="341"/>
      <c r="T95" s="341"/>
      <c r="U95" s="341"/>
      <c r="V95" s="341"/>
      <c r="W95" s="341"/>
      <c r="X95" s="296">
        <f t="shared" si="22"/>
        <v>0.1983108468479271</v>
      </c>
      <c r="Y95" s="3"/>
      <c r="Z95" s="3"/>
      <c r="AA95" s="3"/>
      <c r="AB95" s="3"/>
      <c r="AC95" s="3"/>
      <c r="AD95" s="3"/>
      <c r="AE95" s="3"/>
      <c r="AF95" s="3"/>
    </row>
    <row r="96" spans="2:32">
      <c r="B96" s="3"/>
      <c r="C96" s="352" t="str">
        <f>IF(MasterSheet!$A$1=1,MasterSheet!C414,MasterSheet!B414)</f>
        <v>Prihodi od privatizacije</v>
      </c>
      <c r="D96" s="261">
        <v>10542.3</v>
      </c>
      <c r="E96" s="294">
        <v>34351.879999999997</v>
      </c>
      <c r="F96" s="294">
        <v>12933.29</v>
      </c>
      <c r="G96" s="294">
        <v>120350.94</v>
      </c>
      <c r="H96" s="294">
        <v>206183.41</v>
      </c>
      <c r="I96" s="294">
        <v>461491.11</v>
      </c>
      <c r="J96" s="294">
        <v>435504.8</v>
      </c>
      <c r="K96" s="294">
        <v>828248.49</v>
      </c>
      <c r="L96" s="294">
        <v>315288.5</v>
      </c>
      <c r="M96" s="294">
        <v>261391.69</v>
      </c>
      <c r="N96" s="330">
        <v>330347.21000000002</v>
      </c>
      <c r="O96" s="387">
        <v>8932212.7300000004</v>
      </c>
      <c r="P96" s="295">
        <f t="shared" si="24"/>
        <v>11948846.35</v>
      </c>
      <c r="Q96" s="341"/>
      <c r="R96" s="341"/>
      <c r="S96" s="341"/>
      <c r="T96" s="341"/>
      <c r="U96" s="341"/>
      <c r="V96" s="341"/>
      <c r="W96" s="341"/>
      <c r="X96" s="296">
        <f t="shared" si="22"/>
        <v>0.35818958451991967</v>
      </c>
      <c r="Y96" s="3"/>
      <c r="Z96" s="3"/>
      <c r="AA96" s="3"/>
      <c r="AB96" s="3"/>
      <c r="AC96" s="3"/>
      <c r="AD96" s="3"/>
      <c r="AE96" s="3"/>
      <c r="AF96" s="3"/>
    </row>
    <row r="97" spans="2:32" ht="13.5" thickBot="1">
      <c r="B97" s="3"/>
      <c r="C97" s="333" t="str">
        <f>IF(MasterSheet!$A$1=1,MasterSheet!C415,MasterSheet!B415)</f>
        <v>Povećanje/smanjenje depozita</v>
      </c>
      <c r="D97" s="334">
        <f>-D91-SUM(D93:D96)</f>
        <v>6598668.0800000578</v>
      </c>
      <c r="E97" s="363">
        <f t="shared" ref="E97:M97" si="29">-E91-SUM(E93:E96)</f>
        <v>20877495.535214216</v>
      </c>
      <c r="F97" s="363">
        <f t="shared" si="29"/>
        <v>-1975093.1557163596</v>
      </c>
      <c r="G97" s="363">
        <f t="shared" si="29"/>
        <v>8251308.9032593146</v>
      </c>
      <c r="H97" s="363">
        <f t="shared" si="29"/>
        <v>1033976.8701670868</v>
      </c>
      <c r="I97" s="335">
        <f t="shared" si="29"/>
        <v>6976136.293389637</v>
      </c>
      <c r="J97" s="335">
        <f t="shared" si="29"/>
        <v>1129389.5357145369</v>
      </c>
      <c r="K97" s="335">
        <f t="shared" si="29"/>
        <v>-13181189.629097693</v>
      </c>
      <c r="L97" s="335">
        <f t="shared" si="29"/>
        <v>9866391.2690550312</v>
      </c>
      <c r="M97" s="335">
        <f t="shared" si="29"/>
        <v>-6009020.3375214767</v>
      </c>
      <c r="N97" s="389">
        <f t="shared" ref="N97:O97" si="30">-N91-SUM(N93:N96)</f>
        <v>18353054.087183163</v>
      </c>
      <c r="O97" s="573">
        <f t="shared" si="30"/>
        <v>-33759591.418729842</v>
      </c>
      <c r="P97" s="338">
        <f t="shared" si="24"/>
        <v>18161526.032917663</v>
      </c>
      <c r="Q97" s="352"/>
      <c r="R97" s="341"/>
      <c r="S97" s="341"/>
      <c r="T97" s="341"/>
      <c r="U97" s="341"/>
      <c r="V97" s="341"/>
      <c r="W97" s="341"/>
      <c r="X97" s="339">
        <f t="shared" si="22"/>
        <v>0.54442657252668436</v>
      </c>
      <c r="Y97" s="3"/>
      <c r="Z97" s="3"/>
      <c r="AA97" s="3"/>
      <c r="AB97" s="3"/>
      <c r="AC97" s="3"/>
      <c r="AD97" s="3"/>
      <c r="AE97" s="3"/>
      <c r="AF97" s="3"/>
    </row>
    <row r="98" spans="2:32" s="3" customFormat="1" ht="13.5" thickTop="1">
      <c r="C98" s="340" t="str">
        <f>IF(MasterSheet!$A$1=1,MasterSheet!C416,MasterSheet!B416)</f>
        <v>Izvor: Ministarstvo finansija Crne Gore</v>
      </c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</row>
    <row r="99" spans="2:32" s="3" customFormat="1">
      <c r="C99" s="390" t="s">
        <v>423</v>
      </c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</row>
    <row r="100" spans="2:32" s="3" customFormat="1"/>
    <row r="101" spans="2:32" s="3" customFormat="1"/>
    <row r="102" spans="2:32" s="3" customFormat="1"/>
    <row r="103" spans="2:32" s="3" customFormat="1"/>
    <row r="104" spans="2:32" s="3" customFormat="1"/>
    <row r="105" spans="2:32" s="3" customFormat="1"/>
    <row r="106" spans="2:32" s="3" customFormat="1"/>
    <row r="107" spans="2:32" s="3" customFormat="1"/>
    <row r="108" spans="2:32" s="3" customFormat="1"/>
    <row r="109" spans="2:32" s="3" customFormat="1"/>
    <row r="110" spans="2:32" s="3" customFormat="1"/>
    <row r="111" spans="2:32" s="3" customFormat="1"/>
    <row r="112" spans="2:3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</sheetData>
  <sheetProtection formatCells="0" formatColumns="0" formatRows="0" sort="0" autoFilter="0" pivotTables="0"/>
  <mergeCells count="5">
    <mergeCell ref="D7:P7"/>
    <mergeCell ref="D8:P8"/>
    <mergeCell ref="C16:C17"/>
    <mergeCell ref="D16:X16"/>
    <mergeCell ref="D13:X1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D14" sqref="D14:P14"/>
    </sheetView>
  </sheetViews>
  <sheetFormatPr defaultRowHeight="12.75"/>
  <cols>
    <col min="3" max="3" width="54.7109375" customWidth="1"/>
    <col min="4" max="4" width="10.7109375" style="2" customWidth="1"/>
    <col min="5" max="7" width="10.7109375" customWidth="1"/>
    <col min="8" max="8" width="10.7109375" style="2" customWidth="1"/>
    <col min="9" max="15" width="10.7109375" customWidth="1"/>
    <col min="16" max="16" width="9.7109375" bestFit="1" customWidth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3"/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4"/>
      <c r="D7" s="3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">
      <c r="A8" s="3"/>
      <c r="B8" s="3"/>
      <c r="C8" s="4"/>
      <c r="D8" s="3"/>
      <c r="E8" s="3"/>
      <c r="F8" s="3"/>
      <c r="G8" s="585" t="str">
        <f>IF(MasterSheet!$A$1=1, MasterSheet!C5,MasterSheet!B5)</f>
        <v>CRNA GORA</v>
      </c>
      <c r="H8" s="585"/>
      <c r="I8" s="58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>
      <c r="A9" s="3"/>
      <c r="B9" s="3"/>
      <c r="C9" s="3"/>
      <c r="D9" s="3"/>
      <c r="E9" s="3"/>
      <c r="F9" s="585" t="str">
        <f>IF(MasterSheet!$A$1=1, MasterSheet!C6,MasterSheet!B6)</f>
        <v>MINISTARSTVO FINANSIJA</v>
      </c>
      <c r="G9" s="585"/>
      <c r="H9" s="585"/>
      <c r="I9" s="585"/>
      <c r="J9" s="58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6"/>
      <c r="D10" s="6"/>
      <c r="E10" s="6"/>
      <c r="F10" s="6"/>
      <c r="G10" s="6"/>
      <c r="H10" s="3"/>
      <c r="I10" s="6"/>
      <c r="J10" s="6"/>
      <c r="K10" s="6"/>
      <c r="L10" s="6"/>
      <c r="M10" s="6"/>
      <c r="N10" s="6"/>
      <c r="O10" s="6"/>
      <c r="P10" s="6"/>
      <c r="Q10" s="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6"/>
      <c r="D11" s="6"/>
      <c r="E11" s="6"/>
      <c r="F11" s="6"/>
      <c r="G11" s="6"/>
      <c r="H11" s="3"/>
      <c r="I11" s="6"/>
      <c r="J11" s="6"/>
      <c r="K11" s="6"/>
      <c r="L11" s="6"/>
      <c r="M11" s="6"/>
      <c r="N11" s="6"/>
      <c r="O11" s="6"/>
      <c r="P11" s="6"/>
      <c r="Q11" s="6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11"/>
      <c r="D12" s="6"/>
      <c r="E12" s="6"/>
      <c r="F12" s="6"/>
      <c r="G12" s="6"/>
      <c r="H12" s="3"/>
      <c r="I12" s="6"/>
      <c r="J12" s="6"/>
      <c r="K12" s="6"/>
      <c r="L12" s="6"/>
      <c r="M12" s="6"/>
      <c r="N12" s="6"/>
      <c r="O12" s="6"/>
      <c r="P12" s="6"/>
      <c r="Q12" s="6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3.5" thickBot="1">
      <c r="A13" s="3"/>
      <c r="B13" s="3"/>
      <c r="C13" s="6"/>
      <c r="D13" s="6"/>
      <c r="E13" s="6"/>
      <c r="F13" s="6"/>
      <c r="G13" s="6"/>
      <c r="H13" s="3"/>
      <c r="I13" s="6"/>
      <c r="J13" s="6"/>
      <c r="K13" s="6"/>
      <c r="L13" s="6"/>
      <c r="M13" s="6"/>
      <c r="N13" s="6"/>
      <c r="O13" s="6"/>
      <c r="P13" s="6"/>
      <c r="Q13" s="11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7.25" thickTop="1" thickBot="1">
      <c r="B14" s="84"/>
      <c r="C14" s="85" t="str">
        <f>IF(MasterSheet!$A$1=1,MasterSheet!B67,MasterSheet!B66)</f>
        <v>BDP (u mil. €)</v>
      </c>
      <c r="D14" s="589">
        <v>3335900000</v>
      </c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90"/>
      <c r="Q14" s="81"/>
      <c r="R14" s="8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5.75" thickTop="1">
      <c r="A15" s="78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79"/>
      <c r="N15" s="79"/>
      <c r="O15" s="80"/>
      <c r="P15" s="80"/>
      <c r="Q15" s="80"/>
      <c r="R15" s="8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7.25" customHeight="1" thickBot="1">
      <c r="A16" s="3"/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25" customHeight="1" thickTop="1">
      <c r="A17" s="3"/>
      <c r="B17" s="3"/>
      <c r="C17" s="605" t="str">
        <f>IF(MasterSheet!$A$1=1,MasterSheet!B336,MasterSheet!B335)</f>
        <v>Mjesečni plan za 2013. godinu</v>
      </c>
      <c r="D17" s="602">
        <v>2013</v>
      </c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4"/>
      <c r="Q17" s="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thickBot="1">
      <c r="A18" s="3"/>
      <c r="B18" s="3"/>
      <c r="C18" s="606"/>
      <c r="D18" s="39" t="str">
        <f>IF(MasterSheet!$A$1=1,MasterSheet!C336,MasterSheet!C335)</f>
        <v>Januar</v>
      </c>
      <c r="E18" s="40" t="str">
        <f>IF(MasterSheet!$A$1=1,MasterSheet!D336,MasterSheet!D335)</f>
        <v>Februar</v>
      </c>
      <c r="F18" s="40" t="str">
        <f>IF(MasterSheet!$A$1=1,MasterSheet!E336,MasterSheet!E335)</f>
        <v>Mart</v>
      </c>
      <c r="G18" s="40" t="str">
        <f>IF(MasterSheet!$A$1=1,MasterSheet!F336,MasterSheet!F335)</f>
        <v>April</v>
      </c>
      <c r="H18" s="40" t="str">
        <f>IF(MasterSheet!$A$1=1,MasterSheet!G336,MasterSheet!G335)</f>
        <v>Maj</v>
      </c>
      <c r="I18" s="40" t="str">
        <f>IF(MasterSheet!$A$1=1,MasterSheet!H336,MasterSheet!H335)</f>
        <v>Jun</v>
      </c>
      <c r="J18" s="40" t="str">
        <f>IF(MasterSheet!$A$1=1,MasterSheet!I336,MasterSheet!I335)</f>
        <v>Jul</v>
      </c>
      <c r="K18" s="41" t="str">
        <f>IF(MasterSheet!$A$1=1,MasterSheet!J336,MasterSheet!J335)</f>
        <v>Avgust</v>
      </c>
      <c r="L18" s="41" t="str">
        <f>IF(MasterSheet!$A$1=1,MasterSheet!K336,MasterSheet!K335)</f>
        <v>Septembar</v>
      </c>
      <c r="M18" s="41" t="str">
        <f>IF(MasterSheet!$A$1=1,MasterSheet!L336,MasterSheet!L335)</f>
        <v>Oktobar</v>
      </c>
      <c r="N18" s="41" t="str">
        <f>IF(MasterSheet!$A$1=1,MasterSheet!M336,MasterSheet!M335)</f>
        <v>Novembar</v>
      </c>
      <c r="O18" s="50" t="str">
        <f>IF(MasterSheet!$A$1=1,MasterSheet!N336,MasterSheet!N335)</f>
        <v>Decembar</v>
      </c>
      <c r="P18" s="42" t="str">
        <f>IF(MasterSheet!$A$1=1,MasterSheet!O336,MasterSheet!O335)</f>
        <v>Plan 2014</v>
      </c>
      <c r="Q18" s="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" customHeight="1" thickTop="1" thickBot="1">
      <c r="A19" s="3"/>
      <c r="B19" s="3"/>
      <c r="C19" s="35" t="str">
        <f>IF(MasterSheet!$A$1=1,MasterSheet!C337,MasterSheet!B337)</f>
        <v>Izvorni prihodi</v>
      </c>
      <c r="D19" s="36">
        <f>+D20+D28+D33+D38+D45+D50</f>
        <v>56405250.354879163</v>
      </c>
      <c r="E19" s="37">
        <f t="shared" ref="E19:O19" si="0">+E20+E28+E33+E38+E45+E50</f>
        <v>72068150.748850062</v>
      </c>
      <c r="F19" s="37">
        <f t="shared" si="0"/>
        <v>82943306.844960943</v>
      </c>
      <c r="G19" s="37">
        <f t="shared" si="0"/>
        <v>99956198.46386914</v>
      </c>
      <c r="H19" s="37">
        <f t="shared" si="0"/>
        <v>96466058.107237935</v>
      </c>
      <c r="I19" s="37">
        <f t="shared" si="0"/>
        <v>100951633.7918953</v>
      </c>
      <c r="J19" s="37">
        <f t="shared" si="0"/>
        <v>115591299.75791205</v>
      </c>
      <c r="K19" s="38">
        <f t="shared" si="0"/>
        <v>114897225.7493697</v>
      </c>
      <c r="L19" s="38">
        <f t="shared" si="0"/>
        <v>99189777.327771991</v>
      </c>
      <c r="M19" s="38">
        <f t="shared" si="0"/>
        <v>104871992.58523692</v>
      </c>
      <c r="N19" s="38">
        <f t="shared" si="0"/>
        <v>96927456.149828702</v>
      </c>
      <c r="O19" s="51">
        <f t="shared" si="0"/>
        <v>121532471.11942177</v>
      </c>
      <c r="P19" s="131">
        <f>+SUM(D19:O19)</f>
        <v>1161800821.0012338</v>
      </c>
      <c r="Q19" s="6"/>
      <c r="R19" s="15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thickTop="1">
      <c r="A20" s="3"/>
      <c r="B20" s="3"/>
      <c r="C20" s="20" t="str">
        <f>IF(MasterSheet!$A$1=1,MasterSheet!C338,MasterSheet!B338)</f>
        <v>Porezi</v>
      </c>
      <c r="D20" s="27">
        <f>+SUM(D21:D27)</f>
        <v>41686253.110737316</v>
      </c>
      <c r="E20" s="28">
        <f t="shared" ref="E20:O20" si="1">+SUM(E21:E27)</f>
        <v>40855853.79586979</v>
      </c>
      <c r="F20" s="28">
        <f t="shared" si="1"/>
        <v>48871129.289274208</v>
      </c>
      <c r="G20" s="28">
        <f t="shared" si="1"/>
        <v>63044978.667560622</v>
      </c>
      <c r="H20" s="28">
        <f t="shared" si="1"/>
        <v>59903018.246625409</v>
      </c>
      <c r="I20" s="28">
        <f t="shared" si="1"/>
        <v>65474825.471494481</v>
      </c>
      <c r="J20" s="28">
        <f t="shared" si="1"/>
        <v>71410525.13479729</v>
      </c>
      <c r="K20" s="29">
        <f t="shared" si="1"/>
        <v>66453623.073847495</v>
      </c>
      <c r="L20" s="29">
        <f t="shared" si="1"/>
        <v>65790416.568190843</v>
      </c>
      <c r="M20" s="29">
        <f t="shared" si="1"/>
        <v>63302926.264795646</v>
      </c>
      <c r="N20" s="29">
        <f t="shared" si="1"/>
        <v>56224451.677824281</v>
      </c>
      <c r="O20" s="52">
        <f t="shared" si="1"/>
        <v>57412527.94082702</v>
      </c>
      <c r="P20" s="30">
        <f t="shared" ref="P20:P82" si="2">+SUM(D20:O20)</f>
        <v>700430529.24184442</v>
      </c>
      <c r="Q20" s="6"/>
      <c r="R20" s="15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5" customHeight="1">
      <c r="A21" s="3"/>
      <c r="B21" s="3"/>
      <c r="C21" s="21" t="str">
        <f>IF(MasterSheet!$A$1=1,MasterSheet!C339,MasterSheet!B339)</f>
        <v>Porez na dohodak fizičkih lica</v>
      </c>
      <c r="D21" s="31">
        <v>2820446.8223670614</v>
      </c>
      <c r="E21" s="32">
        <v>5820928.5775817595</v>
      </c>
      <c r="F21" s="32">
        <v>6919198.0351699237</v>
      </c>
      <c r="G21" s="32">
        <v>7408525.4606941696</v>
      </c>
      <c r="H21" s="32">
        <v>7204484.0505127097</v>
      </c>
      <c r="I21" s="32">
        <v>6466633.4408446904</v>
      </c>
      <c r="J21" s="32">
        <v>8521641.6469569467</v>
      </c>
      <c r="K21" s="33">
        <v>9664205.1361650527</v>
      </c>
      <c r="L21" s="33">
        <v>6815248.5982489977</v>
      </c>
      <c r="M21" s="33">
        <v>9471655.9367153402</v>
      </c>
      <c r="N21" s="33">
        <v>8042875.0851052543</v>
      </c>
      <c r="O21" s="53">
        <v>11726411.550236525</v>
      </c>
      <c r="P21" s="34">
        <f t="shared" si="2"/>
        <v>90882254.340598434</v>
      </c>
      <c r="Q21" s="6"/>
      <c r="R21" s="15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" customHeight="1">
      <c r="A22" s="3"/>
      <c r="B22" s="3"/>
      <c r="C22" s="21" t="str">
        <f>IF(MasterSheet!$A$1=1,MasterSheet!C340,MasterSheet!B340)</f>
        <v>Porez na dobit pravnih lica</v>
      </c>
      <c r="D22" s="31">
        <v>579786.54478696431</v>
      </c>
      <c r="E22" s="32">
        <v>515115.82451773522</v>
      </c>
      <c r="F22" s="32">
        <v>4474685.1189596485</v>
      </c>
      <c r="G22" s="32">
        <v>12488272.478114691</v>
      </c>
      <c r="H22" s="32">
        <v>3690917.0906183273</v>
      </c>
      <c r="I22" s="32">
        <v>4274773.0439898577</v>
      </c>
      <c r="J22" s="32">
        <v>3994418.0701162638</v>
      </c>
      <c r="K22" s="33">
        <v>3426415.4173260536</v>
      </c>
      <c r="L22" s="33">
        <v>2644519.6751525379</v>
      </c>
      <c r="M22" s="33">
        <v>1873134.4055505693</v>
      </c>
      <c r="N22" s="33">
        <v>1099856.2789091328</v>
      </c>
      <c r="O22" s="53">
        <v>2871073.2358503304</v>
      </c>
      <c r="P22" s="34">
        <f t="shared" si="2"/>
        <v>41932967.183892116</v>
      </c>
      <c r="Q22" s="6"/>
      <c r="R22" s="15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>
      <c r="A23" s="3"/>
      <c r="B23" s="3"/>
      <c r="C23" s="21" t="str">
        <f>IF(MasterSheet!$A$1=1,MasterSheet!C341,MasterSheet!B341)</f>
        <v>Porez na imovinu</v>
      </c>
      <c r="D23" s="31">
        <v>81248.859864734099</v>
      </c>
      <c r="E23" s="32">
        <v>103646.50733568591</v>
      </c>
      <c r="F23" s="32">
        <v>186194.97392852511</v>
      </c>
      <c r="G23" s="32">
        <v>103363.42634788297</v>
      </c>
      <c r="H23" s="32">
        <v>100106.28093907743</v>
      </c>
      <c r="I23" s="32">
        <v>133863.83595351625</v>
      </c>
      <c r="J23" s="32">
        <v>122268.58842091225</v>
      </c>
      <c r="K23" s="33">
        <v>96003.204992983359</v>
      </c>
      <c r="L23" s="33">
        <v>170229.34291973972</v>
      </c>
      <c r="M23" s="33">
        <v>136036.03036244924</v>
      </c>
      <c r="N23" s="33">
        <v>147948.87120833801</v>
      </c>
      <c r="O23" s="53">
        <v>140979.1375726462</v>
      </c>
      <c r="P23" s="34">
        <f t="shared" si="2"/>
        <v>1521889.0598464906</v>
      </c>
      <c r="Q23" s="6"/>
      <c r="R23" s="15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" customHeight="1">
      <c r="A24" s="3"/>
      <c r="B24" s="3"/>
      <c r="C24" s="21" t="str">
        <f>IF(MasterSheet!$A$1=1,MasterSheet!C342,MasterSheet!B342)</f>
        <v>Porez na dodatu vrijednost</v>
      </c>
      <c r="D24" s="31">
        <v>22216987.25911713</v>
      </c>
      <c r="E24" s="32">
        <v>22351785.25320363</v>
      </c>
      <c r="F24" s="32">
        <v>24907044.612074491</v>
      </c>
      <c r="G24" s="32">
        <v>29049120.919579607</v>
      </c>
      <c r="H24" s="32">
        <v>32485582.306773975</v>
      </c>
      <c r="I24" s="32">
        <v>39641428.685232304</v>
      </c>
      <c r="J24" s="32">
        <v>39144860.544407874</v>
      </c>
      <c r="K24" s="33">
        <v>33764783.498910055</v>
      </c>
      <c r="L24" s="33">
        <v>35212221.435317017</v>
      </c>
      <c r="M24" s="33">
        <v>35516823.320785411</v>
      </c>
      <c r="N24" s="33">
        <v>31733799.92897122</v>
      </c>
      <c r="O24" s="53">
        <v>27021193.241436299</v>
      </c>
      <c r="P24" s="34">
        <f t="shared" si="2"/>
        <v>373045631.00580907</v>
      </c>
      <c r="Q24" s="6"/>
      <c r="R24" s="15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>
      <c r="A25" s="3"/>
      <c r="B25" s="3"/>
      <c r="C25" s="21" t="str">
        <f>IF(MasterSheet!$A$1=1,MasterSheet!C343,MasterSheet!B343)</f>
        <v xml:space="preserve">Akcize </v>
      </c>
      <c r="D25" s="31">
        <v>13472385.619929252</v>
      </c>
      <c r="E25" s="32">
        <v>9374619.9781228825</v>
      </c>
      <c r="F25" s="32">
        <v>8591497.0238258317</v>
      </c>
      <c r="G25" s="32">
        <v>9976513.8396541588</v>
      </c>
      <c r="H25" s="32">
        <v>12529410.486162774</v>
      </c>
      <c r="I25" s="32">
        <v>12207544.038839269</v>
      </c>
      <c r="J25" s="32">
        <v>16644425.593685796</v>
      </c>
      <c r="K25" s="33">
        <v>16485948.596823877</v>
      </c>
      <c r="L25" s="33">
        <v>18432656.2065273</v>
      </c>
      <c r="M25" s="33">
        <v>13491210.566350998</v>
      </c>
      <c r="N25" s="33">
        <v>12913955.490205286</v>
      </c>
      <c r="O25" s="53">
        <v>13328622.385148553</v>
      </c>
      <c r="P25" s="34">
        <f t="shared" si="2"/>
        <v>157448789.82527599</v>
      </c>
      <c r="Q25" s="6"/>
      <c r="R25" s="15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>
      <c r="A26" s="3"/>
      <c r="B26" s="3"/>
      <c r="C26" s="21" t="str">
        <f>IF(MasterSheet!$A$1=1,MasterSheet!C344,MasterSheet!B344)</f>
        <v>Porez na međ. trgov. i transakcije</v>
      </c>
      <c r="D26" s="31">
        <v>2254635.1079826443</v>
      </c>
      <c r="E26" s="32">
        <v>2434600.1723288172</v>
      </c>
      <c r="F26" s="32">
        <v>3480742.4524679668</v>
      </c>
      <c r="G26" s="32">
        <v>3633160.2325686943</v>
      </c>
      <c r="H26" s="32">
        <v>3488794.2206289498</v>
      </c>
      <c r="I26" s="32">
        <v>2306819.3261174015</v>
      </c>
      <c r="J26" s="32">
        <v>2530520.0301218135</v>
      </c>
      <c r="K26" s="33">
        <v>2593024.591536134</v>
      </c>
      <c r="L26" s="33">
        <v>2137547.6737522222</v>
      </c>
      <c r="M26" s="33">
        <v>2432657.0001382544</v>
      </c>
      <c r="N26" s="33">
        <v>1904518.5019257402</v>
      </c>
      <c r="O26" s="53">
        <v>1992912.933800448</v>
      </c>
      <c r="P26" s="34">
        <f t="shared" si="2"/>
        <v>31189932.243369084</v>
      </c>
      <c r="Q26" s="6"/>
      <c r="R26" s="15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" customHeight="1">
      <c r="A27" s="3"/>
      <c r="B27" s="3"/>
      <c r="C27" s="21" t="str">
        <f>IF(MasterSheet!$A$1=1,MasterSheet!C345,MasterSheet!B345)</f>
        <v>Ostali republički porezi</v>
      </c>
      <c r="D27" s="31">
        <v>260762.89668953384</v>
      </c>
      <c r="E27" s="32">
        <v>255157.48277927918</v>
      </c>
      <c r="F27" s="32">
        <v>311767.07284781808</v>
      </c>
      <c r="G27" s="32">
        <v>386022.31060141494</v>
      </c>
      <c r="H27" s="32">
        <v>403723.81098959706</v>
      </c>
      <c r="I27" s="32">
        <v>443763.10051744088</v>
      </c>
      <c r="J27" s="32">
        <v>452390.66108767391</v>
      </c>
      <c r="K27" s="33">
        <v>423242.62809333584</v>
      </c>
      <c r="L27" s="33">
        <v>377993.63627302414</v>
      </c>
      <c r="M27" s="33">
        <v>381409.00489262829</v>
      </c>
      <c r="N27" s="33">
        <v>381497.52149931074</v>
      </c>
      <c r="O27" s="53">
        <v>331335.45678221656</v>
      </c>
      <c r="P27" s="34">
        <f t="shared" si="2"/>
        <v>4409065.5830532731</v>
      </c>
      <c r="Q27" s="6"/>
      <c r="R27" s="15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>
      <c r="A28" s="3"/>
      <c r="B28" s="3"/>
      <c r="C28" s="22" t="str">
        <f>IF(MasterSheet!$A$1=1,MasterSheet!C346,MasterSheet!B346)</f>
        <v>Doprinosi</v>
      </c>
      <c r="D28" s="27">
        <f>+SUM(D29:D32)</f>
        <v>10225366.011998521</v>
      </c>
      <c r="E28" s="28">
        <f t="shared" ref="E28:O28" si="3">+SUM(E29:E32)</f>
        <v>26328872.744704504</v>
      </c>
      <c r="F28" s="28">
        <f t="shared" si="3"/>
        <v>28215029.512952704</v>
      </c>
      <c r="G28" s="28">
        <f t="shared" si="3"/>
        <v>31078344.176256344</v>
      </c>
      <c r="H28" s="28">
        <f t="shared" si="3"/>
        <v>31062993.346150994</v>
      </c>
      <c r="I28" s="28">
        <f t="shared" si="3"/>
        <v>29533886.744876273</v>
      </c>
      <c r="J28" s="28">
        <f t="shared" si="3"/>
        <v>35614836.490956061</v>
      </c>
      <c r="K28" s="29">
        <f t="shared" si="3"/>
        <v>41423629.787263155</v>
      </c>
      <c r="L28" s="29">
        <f t="shared" si="3"/>
        <v>27897944.753825549</v>
      </c>
      <c r="M28" s="29">
        <f t="shared" si="3"/>
        <v>35782419.896350168</v>
      </c>
      <c r="N28" s="29">
        <f t="shared" si="3"/>
        <v>35053926.847713381</v>
      </c>
      <c r="O28" s="52">
        <f t="shared" si="3"/>
        <v>52000480.125178605</v>
      </c>
      <c r="P28" s="30">
        <f t="shared" si="2"/>
        <v>384217730.43822622</v>
      </c>
      <c r="Q28" s="6"/>
      <c r="R28" s="15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5" customHeight="1">
      <c r="A29" s="3"/>
      <c r="B29" s="3"/>
      <c r="C29" s="21" t="str">
        <f>IF(MasterSheet!$A$1=1,MasterSheet!C347,MasterSheet!B347)</f>
        <v>Doprinosi za PIO</v>
      </c>
      <c r="D29" s="31">
        <v>5896216.9131298037</v>
      </c>
      <c r="E29" s="32">
        <v>15984604.165490396</v>
      </c>
      <c r="F29" s="32">
        <v>15980210.637352593</v>
      </c>
      <c r="G29" s="32">
        <v>18099107.195466701</v>
      </c>
      <c r="H29" s="32">
        <v>18902345.114124902</v>
      </c>
      <c r="I29" s="32">
        <v>16660130.6959597</v>
      </c>
      <c r="J29" s="32">
        <v>20975423.912817873</v>
      </c>
      <c r="K29" s="33">
        <v>24152995.284398187</v>
      </c>
      <c r="L29" s="33">
        <v>16438117.212416081</v>
      </c>
      <c r="M29" s="33">
        <v>21064902.89657861</v>
      </c>
      <c r="N29" s="33">
        <v>21199343.745804995</v>
      </c>
      <c r="O29" s="53">
        <v>31496085.4772765</v>
      </c>
      <c r="P29" s="34">
        <f t="shared" si="2"/>
        <v>226849483.25081638</v>
      </c>
      <c r="Q29" s="6"/>
      <c r="R29" s="157"/>
      <c r="S29" s="132"/>
      <c r="T29" s="13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>
      <c r="A30" s="3"/>
      <c r="B30" s="3"/>
      <c r="C30" s="21" t="str">
        <f>IF(MasterSheet!$A$1=1,MasterSheet!C348,MasterSheet!B348)</f>
        <v>Doprinosi za zdravstvo</v>
      </c>
      <c r="D30" s="31">
        <v>3523976.3657705826</v>
      </c>
      <c r="E30" s="32">
        <v>8837193.1137481872</v>
      </c>
      <c r="F30" s="32">
        <v>10296968.732518861</v>
      </c>
      <c r="G30" s="32">
        <v>11080649.937486099</v>
      </c>
      <c r="H30" s="32">
        <v>10426593.073253199</v>
      </c>
      <c r="I30" s="32">
        <v>10797558.1123464</v>
      </c>
      <c r="J30" s="32">
        <v>12338418.275424777</v>
      </c>
      <c r="K30" s="33">
        <v>14695618.751093065</v>
      </c>
      <c r="L30" s="33">
        <v>9887757.094026586</v>
      </c>
      <c r="M30" s="33">
        <v>12555740.885830941</v>
      </c>
      <c r="N30" s="33">
        <v>11911787.04868594</v>
      </c>
      <c r="O30" s="53">
        <v>17572653.898443229</v>
      </c>
      <c r="P30" s="34">
        <f t="shared" si="2"/>
        <v>133924915.28862786</v>
      </c>
      <c r="Q30" s="6"/>
      <c r="R30" s="15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>
      <c r="A31" s="3"/>
      <c r="B31" s="3"/>
      <c r="C31" s="21" t="str">
        <f>IF(MasterSheet!$A$1=1,MasterSheet!C349,MasterSheet!B349)</f>
        <v>Doprinosi za nezaposlene</v>
      </c>
      <c r="D31" s="31">
        <v>290701.31067824201</v>
      </c>
      <c r="E31" s="32">
        <v>744628.51853836537</v>
      </c>
      <c r="F31" s="32">
        <v>900014.53265058505</v>
      </c>
      <c r="G31" s="32">
        <v>960420.42316401063</v>
      </c>
      <c r="H31" s="32">
        <v>850902.03134404484</v>
      </c>
      <c r="I31" s="32">
        <v>873102.0001937449</v>
      </c>
      <c r="J31" s="32">
        <v>1044477.0015934415</v>
      </c>
      <c r="K31" s="33">
        <v>1233245.0541489115</v>
      </c>
      <c r="L31" s="33">
        <v>823964.48361802031</v>
      </c>
      <c r="M31" s="33">
        <v>1104138.5296295469</v>
      </c>
      <c r="N31" s="33">
        <v>947842.00635200134</v>
      </c>
      <c r="O31" s="53">
        <v>1446638.2353968821</v>
      </c>
      <c r="P31" s="34">
        <f t="shared" si="2"/>
        <v>11220074.127307797</v>
      </c>
      <c r="Q31" s="6"/>
      <c r="R31" s="15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5" customHeight="1">
      <c r="A32" s="3"/>
      <c r="B32" s="3"/>
      <c r="C32" s="21" t="str">
        <f>IF(MasterSheet!$A$1=1,MasterSheet!C350,MasterSheet!B350)</f>
        <v>Ostali doprinosi</v>
      </c>
      <c r="D32" s="31">
        <v>514471.42241989321</v>
      </c>
      <c r="E32" s="32">
        <v>762446.94692755432</v>
      </c>
      <c r="F32" s="32">
        <v>1037835.6104306638</v>
      </c>
      <c r="G32" s="32">
        <v>938166.6201395333</v>
      </c>
      <c r="H32" s="32">
        <v>883153.12742885004</v>
      </c>
      <c r="I32" s="32">
        <v>1203095.9363764296</v>
      </c>
      <c r="J32" s="32">
        <v>1256517.301119969</v>
      </c>
      <c r="K32" s="33">
        <v>1341770.6976229935</v>
      </c>
      <c r="L32" s="33">
        <v>748105.96376486088</v>
      </c>
      <c r="M32" s="33">
        <v>1057637.5843110771</v>
      </c>
      <c r="N32" s="33">
        <v>994954.04687044967</v>
      </c>
      <c r="O32" s="53">
        <v>1485102.5140619949</v>
      </c>
      <c r="P32" s="34">
        <f t="shared" si="2"/>
        <v>12223257.77147427</v>
      </c>
      <c r="Q32" s="6"/>
      <c r="R32" s="157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>
      <c r="A33" s="3"/>
      <c r="B33" s="3"/>
      <c r="C33" s="22" t="str">
        <f>IF(MasterSheet!$A$1=1,MasterSheet!C351,MasterSheet!B351)</f>
        <v>Takse</v>
      </c>
      <c r="D33" s="27">
        <f>+SUM(D34:D37)</f>
        <v>2027877.2372930939</v>
      </c>
      <c r="E33" s="28">
        <f t="shared" ref="E33:O33" si="4">+SUM(E34:E37)</f>
        <v>1882424.3685098737</v>
      </c>
      <c r="F33" s="28">
        <f t="shared" si="4"/>
        <v>2363168.5236575948</v>
      </c>
      <c r="G33" s="28">
        <f t="shared" si="4"/>
        <v>2393449.5740456693</v>
      </c>
      <c r="H33" s="28">
        <f t="shared" si="4"/>
        <v>2431766.3719360717</v>
      </c>
      <c r="I33" s="28">
        <f t="shared" si="4"/>
        <v>2858151.7123018736</v>
      </c>
      <c r="J33" s="28">
        <f t="shared" si="4"/>
        <v>2917908.2048975867</v>
      </c>
      <c r="K33" s="29">
        <f t="shared" si="4"/>
        <v>2932949.8029298875</v>
      </c>
      <c r="L33" s="29">
        <f t="shared" si="4"/>
        <v>2302181.1067919475</v>
      </c>
      <c r="M33" s="29">
        <f t="shared" si="4"/>
        <v>2479397.4364794977</v>
      </c>
      <c r="N33" s="29">
        <f t="shared" si="4"/>
        <v>2197340.2207755819</v>
      </c>
      <c r="O33" s="52">
        <f t="shared" si="4"/>
        <v>2280154.7968325969</v>
      </c>
      <c r="P33" s="30">
        <f t="shared" si="2"/>
        <v>29066769.356451273</v>
      </c>
      <c r="Q33" s="6"/>
      <c r="R33" s="15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5" customHeight="1">
      <c r="A34" s="3"/>
      <c r="B34" s="3"/>
      <c r="C34" s="21" t="str">
        <f>IF(MasterSheet!$A$1=1,MasterSheet!C352,MasterSheet!B352)</f>
        <v>Administrativne takse</v>
      </c>
      <c r="D34" s="31">
        <v>542096.38724093605</v>
      </c>
      <c r="E34" s="32">
        <v>536397.13298492332</v>
      </c>
      <c r="F34" s="32">
        <v>759288.54284763371</v>
      </c>
      <c r="G34" s="32">
        <v>724733.04432771762</v>
      </c>
      <c r="H34" s="32">
        <v>823629.87439344113</v>
      </c>
      <c r="I34" s="32">
        <v>866651.25939663569</v>
      </c>
      <c r="J34" s="32">
        <v>822206.96615173062</v>
      </c>
      <c r="K34" s="33">
        <v>822500.35972019134</v>
      </c>
      <c r="L34" s="33">
        <v>653046.97944805818</v>
      </c>
      <c r="M34" s="33">
        <v>912828.08748487011</v>
      </c>
      <c r="N34" s="33">
        <v>633141.89239853795</v>
      </c>
      <c r="O34" s="53">
        <v>670108.0224069875</v>
      </c>
      <c r="P34" s="34">
        <f t="shared" si="2"/>
        <v>8766628.5488016624</v>
      </c>
      <c r="Q34" s="6"/>
      <c r="R34" s="15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" customHeight="1">
      <c r="A35" s="3"/>
      <c r="B35" s="3"/>
      <c r="C35" s="21" t="str">
        <f>IF(MasterSheet!$A$1=1,MasterSheet!C353,MasterSheet!B353)</f>
        <v>Sudske takse</v>
      </c>
      <c r="D35" s="31">
        <v>252442.47852541984</v>
      </c>
      <c r="E35" s="32">
        <v>257727.78032652178</v>
      </c>
      <c r="F35" s="32">
        <v>326063.49946238624</v>
      </c>
      <c r="G35" s="32">
        <v>345774.20752005593</v>
      </c>
      <c r="H35" s="32">
        <v>268259.93480340595</v>
      </c>
      <c r="I35" s="32">
        <v>332044.44392410474</v>
      </c>
      <c r="J35" s="32">
        <v>288341.93029107194</v>
      </c>
      <c r="K35" s="33">
        <v>203437.32988708364</v>
      </c>
      <c r="L35" s="33">
        <v>285816.36008690012</v>
      </c>
      <c r="M35" s="33">
        <v>295491.81584812951</v>
      </c>
      <c r="N35" s="33">
        <v>344335.81666740507</v>
      </c>
      <c r="O35" s="53">
        <v>355728.9521809821</v>
      </c>
      <c r="P35" s="34">
        <f t="shared" si="2"/>
        <v>3555464.5495234667</v>
      </c>
      <c r="Q35" s="6"/>
      <c r="R35" s="15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>
      <c r="A36" s="3"/>
      <c r="B36" s="3"/>
      <c r="C36" s="21" t="str">
        <f>IF(MasterSheet!$A$1=1,MasterSheet!C354,MasterSheet!B354)</f>
        <v>Boravišne takse</v>
      </c>
      <c r="D36" s="31">
        <v>15175.988329241076</v>
      </c>
      <c r="E36" s="32">
        <v>5488.4479117645715</v>
      </c>
      <c r="F36" s="32">
        <v>5513.547785744513</v>
      </c>
      <c r="G36" s="32">
        <v>10033.975862815605</v>
      </c>
      <c r="H36" s="32">
        <v>13433.078813061053</v>
      </c>
      <c r="I36" s="32">
        <v>35239.498051137023</v>
      </c>
      <c r="J36" s="32">
        <v>115467.10956937172</v>
      </c>
      <c r="K36" s="33">
        <v>147444.22648178381</v>
      </c>
      <c r="L36" s="33">
        <v>77479.696104075862</v>
      </c>
      <c r="M36" s="33">
        <v>52915.149949001381</v>
      </c>
      <c r="N36" s="33">
        <v>15235.266103225436</v>
      </c>
      <c r="O36" s="53">
        <v>9085.1638649635734</v>
      </c>
      <c r="P36" s="34">
        <f t="shared" si="2"/>
        <v>502511.14882618561</v>
      </c>
      <c r="Q36" s="6"/>
      <c r="R36" s="157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>
      <c r="A37" s="3"/>
      <c r="B37" s="3"/>
      <c r="C37" s="21" t="str">
        <f>IF(MasterSheet!$A$1=1,MasterSheet!C355,MasterSheet!B355)</f>
        <v>Ostale takse</v>
      </c>
      <c r="D37" s="31">
        <v>1218162.3831974969</v>
      </c>
      <c r="E37" s="32">
        <v>1082811.0072866639</v>
      </c>
      <c r="F37" s="32">
        <v>1272302.9335618301</v>
      </c>
      <c r="G37" s="32">
        <v>1312908.34633508</v>
      </c>
      <c r="H37" s="32">
        <v>1326443.4839261633</v>
      </c>
      <c r="I37" s="32">
        <v>1624216.5109299959</v>
      </c>
      <c r="J37" s="32">
        <v>1691892.1988854124</v>
      </c>
      <c r="K37" s="33">
        <v>1759567.8868408289</v>
      </c>
      <c r="L37" s="33">
        <v>1285838.0711529134</v>
      </c>
      <c r="M37" s="33">
        <v>1218162.3831974969</v>
      </c>
      <c r="N37" s="33">
        <v>1204627.2456064136</v>
      </c>
      <c r="O37" s="53">
        <v>1245232.6583796635</v>
      </c>
      <c r="P37" s="34">
        <f t="shared" si="2"/>
        <v>16242165.10929996</v>
      </c>
      <c r="Q37" s="6"/>
      <c r="R37" s="157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" customHeight="1">
      <c r="A38" s="3"/>
      <c r="B38" s="3"/>
      <c r="C38" s="22" t="str">
        <f>IF(MasterSheet!$A$1=1,MasterSheet!C356,MasterSheet!B356)</f>
        <v>Naknade</v>
      </c>
      <c r="D38" s="27">
        <f>+SUM(D39:D44)</f>
        <v>982710.87498690933</v>
      </c>
      <c r="E38" s="28">
        <f t="shared" ref="E38:O38" si="5">+SUM(E39:E44)</f>
        <v>869104.05358116457</v>
      </c>
      <c r="F38" s="28">
        <f t="shared" si="5"/>
        <v>787268.76554129389</v>
      </c>
      <c r="G38" s="28">
        <f t="shared" si="5"/>
        <v>1546322.5460752659</v>
      </c>
      <c r="H38" s="28">
        <f t="shared" si="5"/>
        <v>932515.34080204321</v>
      </c>
      <c r="I38" s="28">
        <f t="shared" si="5"/>
        <v>1175327.7210279165</v>
      </c>
      <c r="J38" s="28">
        <f t="shared" si="5"/>
        <v>2020249.028265815</v>
      </c>
      <c r="K38" s="29">
        <f t="shared" si="5"/>
        <v>1079348.0183819076</v>
      </c>
      <c r="L38" s="29">
        <f t="shared" si="5"/>
        <v>1345127.7045627646</v>
      </c>
      <c r="M38" s="29">
        <f t="shared" si="5"/>
        <v>1098866.9792922472</v>
      </c>
      <c r="N38" s="29">
        <f t="shared" si="5"/>
        <v>885498.0103225843</v>
      </c>
      <c r="O38" s="52">
        <f t="shared" si="5"/>
        <v>1136253.4997662231</v>
      </c>
      <c r="P38" s="30">
        <f t="shared" si="2"/>
        <v>13858592.542606136</v>
      </c>
      <c r="Q38" s="6"/>
      <c r="R38" s="15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" customHeight="1">
      <c r="A39" s="3"/>
      <c r="B39" s="3"/>
      <c r="C39" s="21" t="str">
        <f>IF(MasterSheet!$A$1=1,MasterSheet!C357,MasterSheet!B357)</f>
        <v>Nakn. za koriš. dob. od opš. int.</v>
      </c>
      <c r="D39" s="31">
        <v>74908.131611371835</v>
      </c>
      <c r="E39" s="32">
        <v>23550.009068415115</v>
      </c>
      <c r="F39" s="32">
        <v>22968.940964279551</v>
      </c>
      <c r="G39" s="32">
        <v>27429.389117970448</v>
      </c>
      <c r="H39" s="32">
        <v>30556.042262077168</v>
      </c>
      <c r="I39" s="32">
        <v>29697.340030062864</v>
      </c>
      <c r="J39" s="32">
        <v>58678.475724849472</v>
      </c>
      <c r="K39" s="33">
        <v>90332.521977156648</v>
      </c>
      <c r="L39" s="33">
        <v>111262.34960854963</v>
      </c>
      <c r="M39" s="33">
        <v>120982.61938268811</v>
      </c>
      <c r="N39" s="33">
        <v>76485.188166027234</v>
      </c>
      <c r="O39" s="53">
        <v>100665.72865548421</v>
      </c>
      <c r="P39" s="34">
        <f t="shared" si="2"/>
        <v>767516.73656893219</v>
      </c>
      <c r="Q39" s="6"/>
      <c r="R39" s="15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" customHeight="1">
      <c r="A40" s="3"/>
      <c r="B40" s="3"/>
      <c r="C40" s="21" t="str">
        <f>IF(MasterSheet!$A$1=1,MasterSheet!C358,MasterSheet!B358)</f>
        <v>Naknada za kor. prirodnih dobara</v>
      </c>
      <c r="D40" s="31">
        <v>41340.351166230052</v>
      </c>
      <c r="E40" s="32">
        <v>60139.779509022002</v>
      </c>
      <c r="F40" s="32">
        <v>65829.577299673969</v>
      </c>
      <c r="G40" s="32">
        <v>89073.136876231671</v>
      </c>
      <c r="H40" s="32">
        <v>107142.13571005454</v>
      </c>
      <c r="I40" s="32">
        <v>116641.17968953511</v>
      </c>
      <c r="J40" s="32">
        <v>121973.85521455987</v>
      </c>
      <c r="K40" s="33">
        <v>148251.86009824905</v>
      </c>
      <c r="L40" s="33">
        <v>118685.96121228721</v>
      </c>
      <c r="M40" s="33">
        <v>151103.61106134616</v>
      </c>
      <c r="N40" s="33">
        <v>112378.6351175053</v>
      </c>
      <c r="O40" s="53">
        <v>140815.61349906723</v>
      </c>
      <c r="P40" s="34">
        <f t="shared" si="2"/>
        <v>1273375.6964537622</v>
      </c>
      <c r="Q40" s="6"/>
      <c r="R40" s="15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>
      <c r="A41" s="3"/>
      <c r="B41" s="3"/>
      <c r="C41" s="21" t="str">
        <f>IF(MasterSheet!$A$1=1,MasterSheet!C359,MasterSheet!B359)</f>
        <v>Ekološke naknade</v>
      </c>
      <c r="D41" s="31">
        <v>247124.22503235005</v>
      </c>
      <c r="E41" s="32">
        <v>2218.5560408142283</v>
      </c>
      <c r="F41" s="32">
        <v>13432.213424296489</v>
      </c>
      <c r="G41" s="32">
        <v>71796.626625634046</v>
      </c>
      <c r="H41" s="32">
        <v>10921.311327090261</v>
      </c>
      <c r="I41" s="32">
        <v>234115.89884799815</v>
      </c>
      <c r="J41" s="32">
        <v>48074.023137452277</v>
      </c>
      <c r="K41" s="33">
        <v>43662.795502239882</v>
      </c>
      <c r="L41" s="33">
        <v>84724.058721427253</v>
      </c>
      <c r="M41" s="33">
        <v>89541.155584391992</v>
      </c>
      <c r="N41" s="33">
        <v>469.11923673154934</v>
      </c>
      <c r="O41" s="53">
        <v>60078.090968156321</v>
      </c>
      <c r="P41" s="34">
        <f t="shared" si="2"/>
        <v>906158.07444858248</v>
      </c>
      <c r="Q41" s="6"/>
      <c r="R41" s="15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>
      <c r="A42" s="3"/>
      <c r="B42" s="3"/>
      <c r="C42" s="21" t="str">
        <f>IF(MasterSheet!$A$1=1,MasterSheet!C360,MasterSheet!B360)</f>
        <v>Naknade za priređ.  igara na sreću</v>
      </c>
      <c r="D42" s="31">
        <v>179354.57666904427</v>
      </c>
      <c r="E42" s="32">
        <v>243144.83571010665</v>
      </c>
      <c r="F42" s="32">
        <v>272906.32295692031</v>
      </c>
      <c r="G42" s="32">
        <v>221192.91748194481</v>
      </c>
      <c r="H42" s="32">
        <v>207998.45917902872</v>
      </c>
      <c r="I42" s="32">
        <v>199861.55134658315</v>
      </c>
      <c r="J42" s="32">
        <v>279922.60601668584</v>
      </c>
      <c r="K42" s="33">
        <v>259024.3495760845</v>
      </c>
      <c r="L42" s="33">
        <v>163486.81222208266</v>
      </c>
      <c r="M42" s="33">
        <v>229512.62016446379</v>
      </c>
      <c r="N42" s="33">
        <v>278941.99950558663</v>
      </c>
      <c r="O42" s="53">
        <v>363990.4823728159</v>
      </c>
      <c r="P42" s="34">
        <f t="shared" si="2"/>
        <v>2899337.5332013466</v>
      </c>
      <c r="Q42" s="6"/>
      <c r="R42" s="157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>
      <c r="A43" s="3"/>
      <c r="B43" s="3"/>
      <c r="C43" s="21" t="str">
        <f>IF(MasterSheet!$A$1=1,MasterSheet!C361,MasterSheet!B361)</f>
        <v>Naknade za puteve</v>
      </c>
      <c r="D43" s="31">
        <v>296047.35467364622</v>
      </c>
      <c r="E43" s="32">
        <v>263097.27733410237</v>
      </c>
      <c r="F43" s="32">
        <v>258207.78749936659</v>
      </c>
      <c r="G43" s="32">
        <v>252033.27327615619</v>
      </c>
      <c r="H43" s="32">
        <v>393422.49566954153</v>
      </c>
      <c r="I43" s="32">
        <v>426928.76100874052</v>
      </c>
      <c r="J43" s="32">
        <v>419857.98023353948</v>
      </c>
      <c r="K43" s="33">
        <v>387071.55225916719</v>
      </c>
      <c r="L43" s="33">
        <v>657472.1958811942</v>
      </c>
      <c r="M43" s="33">
        <v>206724.58866331077</v>
      </c>
      <c r="N43" s="33">
        <v>263469.42623368697</v>
      </c>
      <c r="O43" s="53">
        <v>214540.13832752779</v>
      </c>
      <c r="P43" s="34">
        <f t="shared" si="2"/>
        <v>4038872.8310599797</v>
      </c>
      <c r="Q43" s="6"/>
      <c r="R43" s="157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5" customHeight="1">
      <c r="A44" s="3"/>
      <c r="B44" s="3"/>
      <c r="C44" s="21" t="str">
        <f>IF(MasterSheet!$A$1=1,MasterSheet!C362,MasterSheet!B362)</f>
        <v>Ostale naknade</v>
      </c>
      <c r="D44" s="31">
        <v>143936.23583426693</v>
      </c>
      <c r="E44" s="32">
        <v>276953.59591870417</v>
      </c>
      <c r="F44" s="32">
        <v>153923.92339675705</v>
      </c>
      <c r="G44" s="32">
        <v>884797.20269732864</v>
      </c>
      <c r="H44" s="32">
        <v>182474.89665425106</v>
      </c>
      <c r="I44" s="32">
        <v>168082.99010499663</v>
      </c>
      <c r="J44" s="32">
        <v>1091742.087938728</v>
      </c>
      <c r="K44" s="33">
        <v>151004.93896901025</v>
      </c>
      <c r="L44" s="33">
        <v>209496.32691722366</v>
      </c>
      <c r="M44" s="33">
        <v>301002.38443604641</v>
      </c>
      <c r="N44" s="33">
        <v>153753.64206304651</v>
      </c>
      <c r="O44" s="53">
        <v>256163.44594317174</v>
      </c>
      <c r="P44" s="34">
        <f t="shared" si="2"/>
        <v>3973331.6708735307</v>
      </c>
      <c r="Q44" s="6"/>
      <c r="R44" s="157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" customHeight="1">
      <c r="A45" s="3"/>
      <c r="B45" s="3"/>
      <c r="C45" s="22" t="str">
        <f>IF(MasterSheet!$A$1=1,MasterSheet!C363,MasterSheet!B363)</f>
        <v>Ostali prihodi</v>
      </c>
      <c r="D45" s="27">
        <f>+SUM(D46:D49)</f>
        <v>923442.3429132913</v>
      </c>
      <c r="E45" s="28">
        <f t="shared" ref="E45:O45" si="6">+SUM(E46:E49)</f>
        <v>1777418.9190493901</v>
      </c>
      <c r="F45" s="28">
        <f t="shared" si="6"/>
        <v>2321412.8253925741</v>
      </c>
      <c r="G45" s="28">
        <f t="shared" si="6"/>
        <v>1637829.2535735941</v>
      </c>
      <c r="H45" s="28">
        <f t="shared" si="6"/>
        <v>1886272.7717710272</v>
      </c>
      <c r="I45" s="28">
        <f t="shared" si="6"/>
        <v>1533956.11443653</v>
      </c>
      <c r="J45" s="28">
        <f t="shared" si="6"/>
        <v>3092390.5965000256</v>
      </c>
      <c r="K45" s="29">
        <f t="shared" si="6"/>
        <v>2409748.3951187199</v>
      </c>
      <c r="L45" s="29">
        <f t="shared" si="6"/>
        <v>1476812.0861061718</v>
      </c>
      <c r="M45" s="29">
        <f t="shared" si="6"/>
        <v>1888437.4129044577</v>
      </c>
      <c r="N45" s="29">
        <f t="shared" si="6"/>
        <v>2006775.4309992469</v>
      </c>
      <c r="O45" s="52">
        <f t="shared" si="6"/>
        <v>8463643.2651979905</v>
      </c>
      <c r="P45" s="30">
        <f t="shared" si="2"/>
        <v>29418139.413963012</v>
      </c>
      <c r="Q45" s="6"/>
      <c r="R45" s="157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" customHeight="1">
      <c r="A46" s="3"/>
      <c r="B46" s="3"/>
      <c r="C46" s="21" t="str">
        <f>IF(MasterSheet!$A$1=1,MasterSheet!C364,MasterSheet!B364)</f>
        <v>Prihodi od kapitala</v>
      </c>
      <c r="D46" s="31">
        <v>98721.240703580421</v>
      </c>
      <c r="E46" s="32">
        <v>199006.9554647851</v>
      </c>
      <c r="F46" s="32">
        <v>292621.907293392</v>
      </c>
      <c r="G46" s="32">
        <v>284997.00106043334</v>
      </c>
      <c r="H46" s="32">
        <v>65352.292316141793</v>
      </c>
      <c r="I46" s="32">
        <v>88560.434385360481</v>
      </c>
      <c r="J46" s="32">
        <v>1239363.1697599126</v>
      </c>
      <c r="K46" s="33">
        <v>88219.936051167344</v>
      </c>
      <c r="L46" s="33">
        <v>39016.234769396273</v>
      </c>
      <c r="M46" s="33">
        <v>27677.405106364404</v>
      </c>
      <c r="N46" s="33">
        <v>537263.99134649755</v>
      </c>
      <c r="O46" s="53">
        <v>5854494.6857544566</v>
      </c>
      <c r="P46" s="34">
        <f t="shared" si="2"/>
        <v>8815295.2540114876</v>
      </c>
      <c r="Q46" s="6"/>
      <c r="R46" s="157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" customHeight="1">
      <c r="A47" s="3"/>
      <c r="B47" s="3"/>
      <c r="C47" s="21" t="str">
        <f>IF(MasterSheet!$A$1=1,MasterSheet!C365,MasterSheet!B365)</f>
        <v>Novčane kazne i oduzete imovinske koristi</v>
      </c>
      <c r="D47" s="31">
        <v>383042.28989708459</v>
      </c>
      <c r="E47" s="32">
        <v>477254.92582153057</v>
      </c>
      <c r="F47" s="32">
        <v>683436.22345265537</v>
      </c>
      <c r="G47" s="32">
        <v>618670.23229595972</v>
      </c>
      <c r="H47" s="32">
        <v>674710.24948405835</v>
      </c>
      <c r="I47" s="32">
        <v>650321.89490412129</v>
      </c>
      <c r="J47" s="32">
        <v>961741.84883892175</v>
      </c>
      <c r="K47" s="33">
        <v>1110907.420503031</v>
      </c>
      <c r="L47" s="33">
        <v>721846.04987347173</v>
      </c>
      <c r="M47" s="33">
        <v>716487.68784240645</v>
      </c>
      <c r="N47" s="33">
        <v>710861.44747881312</v>
      </c>
      <c r="O47" s="53">
        <v>802065.24626978079</v>
      </c>
      <c r="P47" s="34">
        <f t="shared" si="2"/>
        <v>8511345.516661834</v>
      </c>
      <c r="Q47" s="6"/>
      <c r="R47" s="157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>
      <c r="A48" s="3"/>
      <c r="B48" s="3"/>
      <c r="C48" s="21" t="str">
        <f>IF(MasterSheet!$A$1=1,MasterSheet!C366,MasterSheet!B366)</f>
        <v>Prihodi koje organi ostvaruju vršenjem svoje djel.</v>
      </c>
      <c r="D48" s="31">
        <v>105660.57810580246</v>
      </c>
      <c r="E48" s="32">
        <v>113960.07404027163</v>
      </c>
      <c r="F48" s="32">
        <v>194068.21940110344</v>
      </c>
      <c r="G48" s="32">
        <v>215744.02279161251</v>
      </c>
      <c r="H48" s="32">
        <v>194245.15208018161</v>
      </c>
      <c r="I48" s="33">
        <v>202910.49602642201</v>
      </c>
      <c r="J48" s="32">
        <v>188059.0443053284</v>
      </c>
      <c r="K48" s="33">
        <v>163610.16787117429</v>
      </c>
      <c r="L48" s="33">
        <v>151132.44421843963</v>
      </c>
      <c r="M48" s="33">
        <v>162193.35524771339</v>
      </c>
      <c r="N48" s="33">
        <v>151171.99535484734</v>
      </c>
      <c r="O48" s="53">
        <v>264415.23647077201</v>
      </c>
      <c r="P48" s="34">
        <f t="shared" si="2"/>
        <v>2107170.7859136686</v>
      </c>
      <c r="Q48" s="6"/>
      <c r="R48" s="157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>
      <c r="A49" s="3"/>
      <c r="B49" s="3"/>
      <c r="C49" s="21" t="str">
        <f>IF(MasterSheet!$A$1=1,MasterSheet!C367,MasterSheet!B367)</f>
        <v>Ostali prihodi</v>
      </c>
      <c r="D49" s="31">
        <v>336018.23420682386</v>
      </c>
      <c r="E49" s="32">
        <v>987196.96372280282</v>
      </c>
      <c r="F49" s="32">
        <v>1151286.4752454229</v>
      </c>
      <c r="G49" s="32">
        <v>518417.99742558866</v>
      </c>
      <c r="H49" s="32">
        <v>951965.0778906456</v>
      </c>
      <c r="I49" s="33">
        <v>592163.28912062617</v>
      </c>
      <c r="J49" s="32">
        <v>703226.53359586268</v>
      </c>
      <c r="K49" s="33">
        <v>1047010.8706933472</v>
      </c>
      <c r="L49" s="33">
        <v>564817.35724486422</v>
      </c>
      <c r="M49" s="33">
        <v>982078.96470797341</v>
      </c>
      <c r="N49" s="33">
        <v>607477.99681908905</v>
      </c>
      <c r="O49" s="53">
        <v>1542668.0967029808</v>
      </c>
      <c r="P49" s="34">
        <f t="shared" si="2"/>
        <v>9984327.8573760279</v>
      </c>
      <c r="Q49" s="6"/>
      <c r="R49" s="157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26.25" thickBot="1">
      <c r="A50" s="3"/>
      <c r="B50" s="3"/>
      <c r="C50" s="45" t="str">
        <f>IF(MasterSheet!$A$1=1,MasterSheet!C368,MasterSheet!B368)</f>
        <v>Primici od otplate kredita i sredstva prenijeta iz prethodne godine</v>
      </c>
      <c r="D50" s="46">
        <v>559600.7769500342</v>
      </c>
      <c r="E50" s="48">
        <v>354476.86713533319</v>
      </c>
      <c r="F50" s="48">
        <v>385297.92814256047</v>
      </c>
      <c r="G50" s="48">
        <v>255274.24635764034</v>
      </c>
      <c r="H50" s="48">
        <v>249492.02995238511</v>
      </c>
      <c r="I50" s="48">
        <v>375486.02775821509</v>
      </c>
      <c r="J50" s="48">
        <v>535390.30249528366</v>
      </c>
      <c r="K50" s="47">
        <v>597926.67182852363</v>
      </c>
      <c r="L50" s="48">
        <v>377295.10829472088</v>
      </c>
      <c r="M50" s="48">
        <v>319944.5954149249</v>
      </c>
      <c r="N50" s="48">
        <v>559463.96219362307</v>
      </c>
      <c r="O50" s="54">
        <v>239411.49161934044</v>
      </c>
      <c r="P50" s="49">
        <f t="shared" si="2"/>
        <v>4809060.008142584</v>
      </c>
      <c r="Q50" s="6"/>
      <c r="R50" s="157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thickTop="1" thickBot="1">
      <c r="A51" s="3"/>
      <c r="B51" s="3"/>
      <c r="C51" s="35" t="str">
        <f>IF(MasterSheet!$A$1=1,MasterSheet!C369,MasterSheet!B369)</f>
        <v>Izdaci</v>
      </c>
      <c r="D51" s="62">
        <f>+D53+D68+D74+D80+D81+D82</f>
        <v>106332954.82000001</v>
      </c>
      <c r="E51" s="62">
        <f>+E53+E68+E74+E80+E81+E82</f>
        <v>104016717.01000001</v>
      </c>
      <c r="F51" s="62">
        <f>+F53+F68+F74+F80+F81+F82</f>
        <v>104000568.60000001</v>
      </c>
      <c r="G51" s="62">
        <f>+G53+G68+G74+G80+G81+G82+G83</f>
        <v>104086368.58000001</v>
      </c>
      <c r="H51" s="62">
        <f t="shared" ref="H51:O51" si="7">+H53+H68+H74+H80+H81+H82</f>
        <v>103988868.56</v>
      </c>
      <c r="I51" s="62">
        <f t="shared" si="7"/>
        <v>103941697.13000001</v>
      </c>
      <c r="J51" s="62">
        <f t="shared" si="7"/>
        <v>104752168.85000001</v>
      </c>
      <c r="K51" s="62">
        <f t="shared" si="7"/>
        <v>104995704.38</v>
      </c>
      <c r="L51" s="62">
        <f t="shared" si="7"/>
        <v>105000904.38000001</v>
      </c>
      <c r="M51" s="62">
        <f t="shared" si="7"/>
        <v>104997904.41000001</v>
      </c>
      <c r="N51" s="62">
        <f t="shared" si="7"/>
        <v>104997284.16000001</v>
      </c>
      <c r="O51" s="95">
        <f t="shared" si="7"/>
        <v>106005395.71000001</v>
      </c>
      <c r="P51" s="93">
        <f>+SUM(D51:O51)</f>
        <v>1257116536.5900002</v>
      </c>
      <c r="Q51" s="158"/>
      <c r="R51" s="98"/>
      <c r="S51" s="1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thickTop="1" thickBot="1">
      <c r="A52" s="3"/>
      <c r="B52" s="3"/>
      <c r="C52" s="35" t="str">
        <f>IF(MasterSheet!$A$1=1,MasterSheet!C370,MasterSheet!B370)</f>
        <v>Tekuća budžetska potrošnja</v>
      </c>
      <c r="D52" s="62">
        <f t="shared" ref="D52:O52" si="8">+D51-D80</f>
        <v>100863038.15000001</v>
      </c>
      <c r="E52" s="62">
        <f t="shared" si="8"/>
        <v>98546800.340000004</v>
      </c>
      <c r="F52" s="62">
        <f t="shared" si="8"/>
        <v>98530651.930000007</v>
      </c>
      <c r="G52" s="62">
        <f t="shared" si="8"/>
        <v>98616451.910000011</v>
      </c>
      <c r="H52" s="62">
        <f t="shared" si="8"/>
        <v>98518951.890000001</v>
      </c>
      <c r="I52" s="62">
        <f t="shared" si="8"/>
        <v>98471780.460000008</v>
      </c>
      <c r="J52" s="62">
        <f t="shared" si="8"/>
        <v>99282252.180000007</v>
      </c>
      <c r="K52" s="62">
        <f t="shared" si="8"/>
        <v>99525787.709999993</v>
      </c>
      <c r="L52" s="62">
        <f t="shared" si="8"/>
        <v>99530987.710000008</v>
      </c>
      <c r="M52" s="62">
        <f t="shared" si="8"/>
        <v>99527987.74000001</v>
      </c>
      <c r="N52" s="62">
        <f t="shared" si="8"/>
        <v>99527367.49000001</v>
      </c>
      <c r="O52" s="95">
        <f t="shared" si="8"/>
        <v>100535479.04000001</v>
      </c>
      <c r="P52" s="93">
        <f>+SUM(D52:O52)</f>
        <v>1191477536.5500002</v>
      </c>
      <c r="Q52" s="3"/>
      <c r="R52" s="98"/>
      <c r="S52" s="1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3.5" thickTop="1">
      <c r="A53" s="3"/>
      <c r="B53" s="3"/>
      <c r="C53" s="22" t="str">
        <f>IF(MasterSheet!$A$1=1,MasterSheet!C371,MasterSheet!B371)</f>
        <v>Tekući izdaci</v>
      </c>
      <c r="D53" s="63">
        <f>+D54+D60+D61+D62+D63+D64+D65+D66+D67</f>
        <v>50532803.109999999</v>
      </c>
      <c r="E53" s="63">
        <f t="shared" ref="E53:O53" si="9">+E54+E60+E61+E62+E63+E64+E65+E66+E67</f>
        <v>48683231.259999998</v>
      </c>
      <c r="F53" s="63">
        <f t="shared" si="9"/>
        <v>48667082.850000001</v>
      </c>
      <c r="G53" s="63">
        <f t="shared" si="9"/>
        <v>48752882.830000006</v>
      </c>
      <c r="H53" s="63">
        <f t="shared" si="9"/>
        <v>48655382.809999995</v>
      </c>
      <c r="I53" s="63">
        <f t="shared" si="9"/>
        <v>48608211.380000003</v>
      </c>
      <c r="J53" s="63">
        <f t="shared" si="9"/>
        <v>49418683.100000001</v>
      </c>
      <c r="K53" s="63">
        <f t="shared" si="9"/>
        <v>49662218.629999995</v>
      </c>
      <c r="L53" s="63">
        <f t="shared" si="9"/>
        <v>49667418.630000003</v>
      </c>
      <c r="M53" s="63">
        <f t="shared" si="9"/>
        <v>49664418.660000004</v>
      </c>
      <c r="N53" s="63">
        <f t="shared" si="9"/>
        <v>49663798.410000004</v>
      </c>
      <c r="O53" s="63">
        <f t="shared" si="9"/>
        <v>50671909.960000001</v>
      </c>
      <c r="P53" s="125">
        <f t="shared" si="2"/>
        <v>592648041.63000011</v>
      </c>
      <c r="Q53" s="3"/>
      <c r="R53" s="98"/>
      <c r="S53" s="1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3"/>
      <c r="B54" s="3"/>
      <c r="C54" s="22" t="str">
        <f>IF(MasterSheet!$A$1=1,MasterSheet!C372,MasterSheet!B372)</f>
        <v>Bruto zarade i doprinosi na teret poslodavca</v>
      </c>
      <c r="D54" s="63">
        <f>SUM(D55:D59)</f>
        <v>31004294.239999998</v>
      </c>
      <c r="E54" s="63">
        <f t="shared" ref="E54:O54" si="10">SUM(E55:E59)</f>
        <v>31017141.049999997</v>
      </c>
      <c r="F54" s="63">
        <f t="shared" si="10"/>
        <v>31010717.639999997</v>
      </c>
      <c r="G54" s="63">
        <f t="shared" si="10"/>
        <v>31010717.639999997</v>
      </c>
      <c r="H54" s="63">
        <f t="shared" si="10"/>
        <v>31010717.639999997</v>
      </c>
      <c r="I54" s="63">
        <f t="shared" si="10"/>
        <v>31010717.639999997</v>
      </c>
      <c r="J54" s="63">
        <f t="shared" si="10"/>
        <v>31010717.639999997</v>
      </c>
      <c r="K54" s="63">
        <f t="shared" si="10"/>
        <v>31010717.639999997</v>
      </c>
      <c r="L54" s="63">
        <f t="shared" si="10"/>
        <v>31010717.639999997</v>
      </c>
      <c r="M54" s="63">
        <f t="shared" si="10"/>
        <v>31010717.639999997</v>
      </c>
      <c r="N54" s="63">
        <f t="shared" si="10"/>
        <v>31010717.639999997</v>
      </c>
      <c r="O54" s="63">
        <f t="shared" si="10"/>
        <v>31010717.639999997</v>
      </c>
      <c r="P54" s="125">
        <f t="shared" si="2"/>
        <v>372128611.68999988</v>
      </c>
      <c r="Q54" s="67"/>
      <c r="R54" s="98"/>
      <c r="S54" s="1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>
      <c r="A55" s="3"/>
      <c r="B55" s="3"/>
      <c r="C55" s="58" t="str">
        <f>IF(MasterSheet!$A$1=1,MasterSheet!C373,MasterSheet!B373)</f>
        <v>Neto zarade</v>
      </c>
      <c r="D55" s="31">
        <v>18454351.399999999</v>
      </c>
      <c r="E55" s="33">
        <v>18462075.399999999</v>
      </c>
      <c r="F55" s="32">
        <v>18458213.399999999</v>
      </c>
      <c r="G55" s="32">
        <v>18458213.399999999</v>
      </c>
      <c r="H55" s="32">
        <v>18458213.399999999</v>
      </c>
      <c r="I55" s="33">
        <v>18458213.399999999</v>
      </c>
      <c r="J55" s="32">
        <v>18458213.399999999</v>
      </c>
      <c r="K55" s="33">
        <v>18458213.399999999</v>
      </c>
      <c r="L55" s="33">
        <v>18458213.399999999</v>
      </c>
      <c r="M55" s="33">
        <v>18458213.399999999</v>
      </c>
      <c r="N55" s="33">
        <v>18458213.399999999</v>
      </c>
      <c r="O55" s="53">
        <v>18458213.399999999</v>
      </c>
      <c r="P55" s="70">
        <f t="shared" si="2"/>
        <v>221498560.80000004</v>
      </c>
      <c r="Q55" s="67"/>
      <c r="R55" s="179"/>
      <c r="S55" s="132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>
      <c r="A56" s="3"/>
      <c r="B56" s="3"/>
      <c r="C56" s="58" t="str">
        <f>IF(MasterSheet!$A$1=1,MasterSheet!C374,MasterSheet!B374)</f>
        <v>Porez na zarade</v>
      </c>
      <c r="D56" s="31">
        <v>2493270.63</v>
      </c>
      <c r="E56" s="32">
        <v>2494305.87</v>
      </c>
      <c r="F56" s="32">
        <v>2493788.25</v>
      </c>
      <c r="G56" s="32">
        <v>2493788.25</v>
      </c>
      <c r="H56" s="32">
        <v>2493788.25</v>
      </c>
      <c r="I56" s="33">
        <v>2493788.25</v>
      </c>
      <c r="J56" s="32">
        <v>2493788.25</v>
      </c>
      <c r="K56" s="33">
        <v>2493788.25</v>
      </c>
      <c r="L56" s="33">
        <v>2493788.25</v>
      </c>
      <c r="M56" s="33">
        <v>2493788.25</v>
      </c>
      <c r="N56" s="33">
        <v>2493788.25</v>
      </c>
      <c r="O56" s="53">
        <v>2493788.25</v>
      </c>
      <c r="P56" s="70">
        <f t="shared" si="2"/>
        <v>29925459</v>
      </c>
      <c r="Q56" s="67"/>
      <c r="R56" s="98"/>
      <c r="S56" s="132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>
      <c r="A57" s="3"/>
      <c r="B57" s="3"/>
      <c r="C57" s="58" t="str">
        <f>IF(MasterSheet!$A$1=1,MasterSheet!C375,MasterSheet!B375)</f>
        <v>Doprinosi na teret zaposlenog</v>
      </c>
      <c r="D57" s="31">
        <v>6331968.1500000004</v>
      </c>
      <c r="E57" s="32">
        <v>6334730.6100000003</v>
      </c>
      <c r="F57" s="32">
        <v>6333349.3799999999</v>
      </c>
      <c r="G57" s="32">
        <v>6333349.3799999999</v>
      </c>
      <c r="H57" s="32">
        <v>6333349.3799999999</v>
      </c>
      <c r="I57" s="33">
        <v>6333349.3799999999</v>
      </c>
      <c r="J57" s="32">
        <v>6333349.3799999999</v>
      </c>
      <c r="K57" s="33">
        <v>6333349.3799999999</v>
      </c>
      <c r="L57" s="33">
        <v>6333349.3799999999</v>
      </c>
      <c r="M57" s="33">
        <v>6333349.3799999999</v>
      </c>
      <c r="N57" s="33">
        <v>6333349.3799999999</v>
      </c>
      <c r="O57" s="53">
        <v>6333349.3799999999</v>
      </c>
      <c r="P57" s="70">
        <f t="shared" si="2"/>
        <v>76000192.560000002</v>
      </c>
      <c r="Q57" s="67"/>
      <c r="R57" s="98"/>
      <c r="S57" s="132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>
      <c r="A58" s="3"/>
      <c r="B58" s="3"/>
      <c r="C58" s="58" t="str">
        <f>IF(MasterSheet!$A$1=1,MasterSheet!C376,MasterSheet!B376)</f>
        <v>Doprinosi na teret poslodavca</v>
      </c>
      <c r="D58" s="31">
        <v>3365889.54</v>
      </c>
      <c r="E58" s="32">
        <v>3367059.0900000003</v>
      </c>
      <c r="F58" s="32">
        <v>3366474.31</v>
      </c>
      <c r="G58" s="32">
        <v>3366474.31</v>
      </c>
      <c r="H58" s="32">
        <v>3366474.31</v>
      </c>
      <c r="I58" s="33">
        <v>3366474.31</v>
      </c>
      <c r="J58" s="32">
        <v>3366474.31</v>
      </c>
      <c r="K58" s="33">
        <v>3366474.31</v>
      </c>
      <c r="L58" s="33">
        <v>3366474.31</v>
      </c>
      <c r="M58" s="33">
        <v>3366474.31</v>
      </c>
      <c r="N58" s="33">
        <v>3366474.31</v>
      </c>
      <c r="O58" s="53">
        <v>3366474.31</v>
      </c>
      <c r="P58" s="70">
        <f t="shared" si="2"/>
        <v>40397691.730000004</v>
      </c>
      <c r="Q58" s="67"/>
      <c r="R58" s="98"/>
      <c r="S58" s="132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3"/>
      <c r="B59" s="3"/>
      <c r="C59" s="58" t="str">
        <f>IF(MasterSheet!$A$1=1,MasterSheet!C377,MasterSheet!B377)</f>
        <v>Prirez na porez na dohodak</v>
      </c>
      <c r="D59" s="31">
        <v>358814.51999999996</v>
      </c>
      <c r="E59" s="32">
        <v>358970.07999999996</v>
      </c>
      <c r="F59" s="32">
        <v>358892.3</v>
      </c>
      <c r="G59" s="32">
        <v>358892.3</v>
      </c>
      <c r="H59" s="32">
        <v>358892.3</v>
      </c>
      <c r="I59" s="33">
        <v>358892.3</v>
      </c>
      <c r="J59" s="32">
        <v>358892.3</v>
      </c>
      <c r="K59" s="33">
        <v>358892.3</v>
      </c>
      <c r="L59" s="33">
        <v>358892.3</v>
      </c>
      <c r="M59" s="33">
        <v>358892.3</v>
      </c>
      <c r="N59" s="33">
        <v>358892.3</v>
      </c>
      <c r="O59" s="53">
        <v>358892.3</v>
      </c>
      <c r="P59" s="70">
        <f t="shared" si="2"/>
        <v>4306707.5999999987</v>
      </c>
      <c r="Q59" s="67"/>
      <c r="R59" s="98"/>
      <c r="S59" s="132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>
      <c r="A60" s="3"/>
      <c r="B60" s="3"/>
      <c r="C60" s="22" t="str">
        <f>IF(MasterSheet!$A$1=1,MasterSheet!C378,MasterSheet!B378)</f>
        <v>Ostala lična primanja</v>
      </c>
      <c r="D60" s="63">
        <v>872858.53</v>
      </c>
      <c r="E60" s="66">
        <v>872858.53</v>
      </c>
      <c r="F60" s="66">
        <v>872858.53</v>
      </c>
      <c r="G60" s="67">
        <v>872858.53</v>
      </c>
      <c r="H60" s="67">
        <v>872858.53</v>
      </c>
      <c r="I60" s="67">
        <v>872858.53</v>
      </c>
      <c r="J60" s="67">
        <v>872858.53</v>
      </c>
      <c r="K60" s="67">
        <v>872858.53</v>
      </c>
      <c r="L60" s="67">
        <v>875858.53</v>
      </c>
      <c r="M60" s="66">
        <v>872858.53</v>
      </c>
      <c r="N60" s="65">
        <v>872858.53</v>
      </c>
      <c r="O60" s="64">
        <v>872858.53</v>
      </c>
      <c r="P60" s="70">
        <f t="shared" si="2"/>
        <v>10477302.359999999</v>
      </c>
      <c r="Q60" s="3"/>
      <c r="R60" s="98"/>
      <c r="S60" s="132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>
      <c r="A61" s="3"/>
      <c r="B61" s="3"/>
      <c r="C61" s="22" t="str">
        <f>IF(MasterSheet!$A$1=1,MasterSheet!C379,MasterSheet!B379)</f>
        <v>Rashodi za materijal i usluge</v>
      </c>
      <c r="D61" s="63">
        <v>8081859.9900000002</v>
      </c>
      <c r="E61" s="66">
        <v>6239778</v>
      </c>
      <c r="F61" s="66">
        <v>6230053</v>
      </c>
      <c r="G61" s="67">
        <v>6227853</v>
      </c>
      <c r="H61" s="67">
        <v>6165352.9900000002</v>
      </c>
      <c r="I61" s="67">
        <v>6171348.29</v>
      </c>
      <c r="J61" s="67">
        <v>6770742.0499999998</v>
      </c>
      <c r="K61" s="67">
        <v>7016277.6799999997</v>
      </c>
      <c r="L61" s="67">
        <v>7018477.7200000007</v>
      </c>
      <c r="M61" s="66">
        <v>7018477.7400000002</v>
      </c>
      <c r="N61" s="65">
        <v>7018024.1600000001</v>
      </c>
      <c r="O61" s="64">
        <v>8025802.4399999995</v>
      </c>
      <c r="P61" s="70">
        <f t="shared" si="2"/>
        <v>81984047.060000002</v>
      </c>
      <c r="Q61" s="3"/>
      <c r="R61" s="98"/>
      <c r="S61" s="132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3"/>
      <c r="B62" s="3"/>
      <c r="C62" s="22" t="str">
        <f>IF(MasterSheet!$A$1=1,MasterSheet!C380,MasterSheet!B380)</f>
        <v>Tekuće održavanje</v>
      </c>
      <c r="D62" s="63">
        <v>1705295.83</v>
      </c>
      <c r="E62" s="66">
        <v>1705125.83</v>
      </c>
      <c r="F62" s="66">
        <v>1705125.83</v>
      </c>
      <c r="G62" s="67">
        <v>1710125.83</v>
      </c>
      <c r="H62" s="67">
        <v>1705125.83</v>
      </c>
      <c r="I62" s="67">
        <v>1705125.83</v>
      </c>
      <c r="J62" s="67">
        <v>1705125.83</v>
      </c>
      <c r="K62" s="67">
        <v>1705125.83</v>
      </c>
      <c r="L62" s="67">
        <v>1705125.83</v>
      </c>
      <c r="M62" s="66">
        <v>1705125.83</v>
      </c>
      <c r="N62" s="65">
        <v>1705125.83</v>
      </c>
      <c r="O62" s="64">
        <v>1705125.83</v>
      </c>
      <c r="P62" s="70">
        <f t="shared" si="2"/>
        <v>20466679.960000001</v>
      </c>
      <c r="Q62" s="3"/>
      <c r="R62" s="98"/>
      <c r="S62" s="132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>
      <c r="A63" s="3"/>
      <c r="B63" s="3"/>
      <c r="C63" s="22" t="str">
        <f>IF(MasterSheet!$A$1=1,MasterSheet!C381,MasterSheet!B381)</f>
        <v>Kamate</v>
      </c>
      <c r="D63" s="63">
        <v>5866967.2800000003</v>
      </c>
      <c r="E63" s="66">
        <v>5866967.2800000003</v>
      </c>
      <c r="F63" s="66">
        <v>5866967.2800000003</v>
      </c>
      <c r="G63" s="67">
        <v>5866967.2800000003</v>
      </c>
      <c r="H63" s="67">
        <v>5866967.2800000003</v>
      </c>
      <c r="I63" s="67">
        <v>5866967.2800000003</v>
      </c>
      <c r="J63" s="67">
        <v>5866967.2800000003</v>
      </c>
      <c r="K63" s="67">
        <v>5866967.2800000003</v>
      </c>
      <c r="L63" s="67">
        <v>5866967.2800000003</v>
      </c>
      <c r="M63" s="66">
        <v>5866967.2800000003</v>
      </c>
      <c r="N63" s="65">
        <v>5866967.2800000003</v>
      </c>
      <c r="O63" s="64">
        <v>5866967.2800000003</v>
      </c>
      <c r="P63" s="70">
        <f t="shared" si="2"/>
        <v>70403607.359999999</v>
      </c>
      <c r="Q63" s="3"/>
      <c r="R63" s="98"/>
      <c r="S63" s="132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3"/>
      <c r="B64" s="3"/>
      <c r="C64" s="22" t="str">
        <f>IF(MasterSheet!$A$1=1,MasterSheet!C382,MasterSheet!B382)</f>
        <v>Renta</v>
      </c>
      <c r="D64" s="63">
        <v>651894.94999999995</v>
      </c>
      <c r="E64" s="66">
        <v>651894.94999999995</v>
      </c>
      <c r="F64" s="66">
        <v>651894.94999999995</v>
      </c>
      <c r="G64" s="67">
        <v>654894.94999999995</v>
      </c>
      <c r="H64" s="67">
        <v>651894.94999999995</v>
      </c>
      <c r="I64" s="67">
        <v>651894.94999999995</v>
      </c>
      <c r="J64" s="67">
        <v>661894.94999999995</v>
      </c>
      <c r="K64" s="67">
        <v>659894.94999999995</v>
      </c>
      <c r="L64" s="67">
        <v>659894.94999999995</v>
      </c>
      <c r="M64" s="66">
        <v>659894.94999999995</v>
      </c>
      <c r="N64" s="65">
        <v>659894.94999999995</v>
      </c>
      <c r="O64" s="64">
        <v>659894.94999999995</v>
      </c>
      <c r="P64" s="70">
        <f t="shared" si="2"/>
        <v>7875739.4000000013</v>
      </c>
      <c r="Q64" s="3"/>
      <c r="R64" s="98"/>
      <c r="S64" s="132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>
      <c r="A65" s="3"/>
      <c r="B65" s="3"/>
      <c r="C65" s="22" t="str">
        <f>IF(MasterSheet!$A$1=1,MasterSheet!C383,MasterSheet!B383)</f>
        <v>Subvencije</v>
      </c>
      <c r="D65" s="63">
        <v>1210000.01</v>
      </c>
      <c r="E65" s="66">
        <v>1210000.01</v>
      </c>
      <c r="F65" s="66">
        <v>1210000.01</v>
      </c>
      <c r="G65" s="67">
        <v>1210000.01</v>
      </c>
      <c r="H65" s="67">
        <v>1210000.01</v>
      </c>
      <c r="I65" s="67">
        <v>1209999.99</v>
      </c>
      <c r="J65" s="67">
        <v>1161666.69</v>
      </c>
      <c r="K65" s="67">
        <v>1161666.67</v>
      </c>
      <c r="L65" s="67">
        <v>1161666.67</v>
      </c>
      <c r="M65" s="66">
        <v>1161666.67</v>
      </c>
      <c r="N65" s="65">
        <v>1161666.67</v>
      </c>
      <c r="O65" s="64">
        <v>1161666.67</v>
      </c>
      <c r="P65" s="70">
        <f t="shared" si="2"/>
        <v>14230000.08</v>
      </c>
      <c r="Q65" s="3"/>
      <c r="R65" s="98"/>
      <c r="S65" s="132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>
      <c r="A66" s="3"/>
      <c r="B66" s="3"/>
      <c r="C66" s="22" t="str">
        <f>IF(MasterSheet!$A$1=1,MasterSheet!C384,MasterSheet!B384)</f>
        <v>Ostali izdaci</v>
      </c>
      <c r="D66" s="63">
        <v>480158.8200000003</v>
      </c>
      <c r="E66" s="66">
        <v>480158.82000000018</v>
      </c>
      <c r="F66" s="118">
        <v>480158.82000000018</v>
      </c>
      <c r="G66" s="67">
        <v>480158.82000000018</v>
      </c>
      <c r="H66" s="67">
        <v>480158.82000000018</v>
      </c>
      <c r="I66" s="67">
        <v>480158.82000000012</v>
      </c>
      <c r="J66" s="67">
        <v>480158.82000000012</v>
      </c>
      <c r="K66" s="67">
        <v>480158.81999999989</v>
      </c>
      <c r="L66" s="67">
        <v>480158.81999999989</v>
      </c>
      <c r="M66" s="66">
        <v>480158.81999999989</v>
      </c>
      <c r="N66" s="65">
        <v>480158.81999999989</v>
      </c>
      <c r="O66" s="64">
        <v>480158.81999999989</v>
      </c>
      <c r="P66" s="70">
        <f t="shared" si="2"/>
        <v>5761905.8400000026</v>
      </c>
      <c r="Q66" s="3"/>
      <c r="R66" s="98"/>
      <c r="S66" s="132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>
      <c r="A67" s="3"/>
      <c r="B67" s="3"/>
      <c r="C67" s="22" t="s">
        <v>130</v>
      </c>
      <c r="D67" s="63">
        <v>659473.45999999985</v>
      </c>
      <c r="E67" s="66">
        <v>639306.78999999992</v>
      </c>
      <c r="F67" s="65">
        <v>639306.78999999992</v>
      </c>
      <c r="G67" s="67">
        <v>719306.7699999999</v>
      </c>
      <c r="H67" s="67">
        <v>692306.76</v>
      </c>
      <c r="I67" s="67">
        <v>639140.04999999993</v>
      </c>
      <c r="J67" s="67">
        <v>888551.30999999994</v>
      </c>
      <c r="K67" s="67">
        <v>888551.23</v>
      </c>
      <c r="L67" s="67">
        <v>888551.19000000006</v>
      </c>
      <c r="M67" s="66">
        <v>888551.20000000007</v>
      </c>
      <c r="N67" s="65">
        <v>888384.52999999991</v>
      </c>
      <c r="O67" s="64">
        <v>888717.79999999993</v>
      </c>
      <c r="P67" s="70">
        <f t="shared" si="2"/>
        <v>9320147.879999999</v>
      </c>
      <c r="Q67" s="3"/>
      <c r="R67" s="98"/>
      <c r="S67" s="132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>
      <c r="A68" s="3"/>
      <c r="B68" s="3"/>
      <c r="C68" s="22" t="str">
        <f>IF(MasterSheet!$A$1=1,MasterSheet!C386,MasterSheet!B386)</f>
        <v>Transferi za socijalnu zaštitu</v>
      </c>
      <c r="D68" s="63">
        <f>+SUM(D69:D73)</f>
        <v>41489393.919999994</v>
      </c>
      <c r="E68" s="66">
        <f t="shared" ref="E68" si="11">+SUM(E69:E73)</f>
        <v>41489393.919999994</v>
      </c>
      <c r="F68" s="65">
        <f t="shared" ref="F68" si="12">+SUM(F69:F73)</f>
        <v>41489393.919999994</v>
      </c>
      <c r="G68" s="67">
        <f t="shared" ref="G68:O68" si="13">+SUM(G69:G73)</f>
        <v>41489393.919999994</v>
      </c>
      <c r="H68" s="67">
        <f t="shared" si="13"/>
        <v>41489393.919999994</v>
      </c>
      <c r="I68" s="67">
        <f t="shared" si="13"/>
        <v>41489393.919999994</v>
      </c>
      <c r="J68" s="67">
        <f t="shared" si="13"/>
        <v>41489393.919999994</v>
      </c>
      <c r="K68" s="67">
        <f t="shared" si="13"/>
        <v>41489393.919999994</v>
      </c>
      <c r="L68" s="67">
        <f t="shared" si="13"/>
        <v>41489393.919999994</v>
      </c>
      <c r="M68" s="66">
        <f t="shared" si="13"/>
        <v>41489393.919999994</v>
      </c>
      <c r="N68" s="65">
        <f t="shared" si="13"/>
        <v>41489393.919999994</v>
      </c>
      <c r="O68" s="64">
        <f t="shared" si="13"/>
        <v>41489393.919999994</v>
      </c>
      <c r="P68" s="125">
        <f t="shared" si="2"/>
        <v>497872727.04000002</v>
      </c>
      <c r="Q68" s="3"/>
      <c r="R68" s="98"/>
      <c r="S68" s="13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>
      <c r="A69" s="3"/>
      <c r="B69" s="3"/>
      <c r="C69" s="58" t="str">
        <f>IF(MasterSheet!$A$1=1,MasterSheet!C387,MasterSheet!B387)</f>
        <v>Prava iz oblasti socijalne zaštite</v>
      </c>
      <c r="D69" s="31">
        <v>5084083.33</v>
      </c>
      <c r="E69" s="32">
        <v>5084083.33</v>
      </c>
      <c r="F69" s="32">
        <v>5084083.33</v>
      </c>
      <c r="G69" s="32">
        <v>5084083.33</v>
      </c>
      <c r="H69" s="32">
        <v>5084083.33</v>
      </c>
      <c r="I69" s="33">
        <v>5084083.33</v>
      </c>
      <c r="J69" s="32">
        <v>5084083.33</v>
      </c>
      <c r="K69" s="33">
        <v>5084083.33</v>
      </c>
      <c r="L69" s="33">
        <v>5084083.33</v>
      </c>
      <c r="M69" s="33">
        <v>5084083.33</v>
      </c>
      <c r="N69" s="33">
        <v>5084083.33</v>
      </c>
      <c r="O69" s="53">
        <v>5084083.33</v>
      </c>
      <c r="P69" s="70">
        <f t="shared" si="2"/>
        <v>61008999.959999986</v>
      </c>
      <c r="Q69" s="3"/>
      <c r="R69" s="98"/>
      <c r="S69" s="132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>
      <c r="A70" s="3"/>
      <c r="B70" s="3"/>
      <c r="C70" s="58" t="str">
        <f>IF(MasterSheet!$A$1=1,MasterSheet!C388,MasterSheet!B388)</f>
        <v>Sredstva za tehnološke viškove</v>
      </c>
      <c r="D70" s="31">
        <v>1280004.17</v>
      </c>
      <c r="E70" s="33">
        <v>1280004.17</v>
      </c>
      <c r="F70" s="32">
        <v>1280004.17</v>
      </c>
      <c r="G70" s="32">
        <v>1280004.17</v>
      </c>
      <c r="H70" s="32">
        <v>1280004.17</v>
      </c>
      <c r="I70" s="33">
        <v>1280004.17</v>
      </c>
      <c r="J70" s="32">
        <v>1280004.17</v>
      </c>
      <c r="K70" s="33">
        <v>1280004.17</v>
      </c>
      <c r="L70" s="33">
        <v>1280004.17</v>
      </c>
      <c r="M70" s="33">
        <v>1280004.17</v>
      </c>
      <c r="N70" s="33">
        <v>1280004.17</v>
      </c>
      <c r="O70" s="53">
        <v>1280004.17</v>
      </c>
      <c r="P70" s="70">
        <f t="shared" si="2"/>
        <v>15360050.039999999</v>
      </c>
      <c r="Q70" s="3"/>
      <c r="R70" s="98"/>
      <c r="S70" s="132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>
      <c r="A71" s="3"/>
      <c r="B71" s="3"/>
      <c r="C71" s="58" t="str">
        <f>IF(MasterSheet!$A$1=1,MasterSheet!C389,MasterSheet!B389)</f>
        <v>Prava iz oblasti penzijskog i invalidskog osiguranja</v>
      </c>
      <c r="D71" s="31">
        <v>33408639.759999998</v>
      </c>
      <c r="E71" s="32">
        <v>33408639.759999998</v>
      </c>
      <c r="F71" s="32">
        <v>33408639.759999998</v>
      </c>
      <c r="G71" s="32">
        <v>33408639.759999998</v>
      </c>
      <c r="H71" s="32">
        <v>33408639.759999998</v>
      </c>
      <c r="I71" s="33">
        <v>33408639.759999998</v>
      </c>
      <c r="J71" s="32">
        <v>33408639.759999998</v>
      </c>
      <c r="K71" s="33">
        <v>33408639.759999998</v>
      </c>
      <c r="L71" s="33">
        <v>33408639.759999998</v>
      </c>
      <c r="M71" s="33">
        <v>33408639.759999998</v>
      </c>
      <c r="N71" s="33">
        <v>33408639.759999998</v>
      </c>
      <c r="O71" s="53">
        <v>33408639.759999998</v>
      </c>
      <c r="P71" s="70">
        <f t="shared" si="2"/>
        <v>400903677.11999995</v>
      </c>
      <c r="Q71" s="3"/>
      <c r="R71" s="98"/>
      <c r="S71" s="132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>
      <c r="A72" s="3"/>
      <c r="B72" s="3"/>
      <c r="C72" s="58" t="str">
        <f>IF(MasterSheet!$A$1=1,MasterSheet!C390,MasterSheet!B390)</f>
        <v>Ostala prava iz oblasti zdravstvene zaštite</v>
      </c>
      <c r="D72" s="31">
        <v>1133333.33</v>
      </c>
      <c r="E72" s="32">
        <v>1133333.33</v>
      </c>
      <c r="F72" s="32">
        <v>1133333.33</v>
      </c>
      <c r="G72" s="32">
        <v>1133333.33</v>
      </c>
      <c r="H72" s="32">
        <v>1133333.33</v>
      </c>
      <c r="I72" s="33">
        <v>1133333.33</v>
      </c>
      <c r="J72" s="32">
        <v>1133333.33</v>
      </c>
      <c r="K72" s="33">
        <v>1133333.33</v>
      </c>
      <c r="L72" s="33">
        <v>1133333.33</v>
      </c>
      <c r="M72" s="33">
        <v>1133333.33</v>
      </c>
      <c r="N72" s="33">
        <v>1133333.33</v>
      </c>
      <c r="O72" s="53">
        <v>1133333.33</v>
      </c>
      <c r="P72" s="70">
        <f t="shared" si="2"/>
        <v>13599999.960000001</v>
      </c>
      <c r="Q72" s="3"/>
      <c r="R72" s="98"/>
      <c r="S72" s="13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>
      <c r="A73" s="3"/>
      <c r="B73" s="3"/>
      <c r="C73" s="58" t="str">
        <f>IF(MasterSheet!$A$1=1,MasterSheet!C391,MasterSheet!B391)</f>
        <v>Ostala prava iz oblasti zdravstvenog osiguranja</v>
      </c>
      <c r="D73" s="31">
        <v>583333.33000000007</v>
      </c>
      <c r="E73" s="33">
        <v>583333.33000000007</v>
      </c>
      <c r="F73" s="32">
        <v>583333.33000000007</v>
      </c>
      <c r="G73" s="32">
        <v>583333.33000000007</v>
      </c>
      <c r="H73" s="32">
        <v>583333.33000000007</v>
      </c>
      <c r="I73" s="33">
        <v>583333.33000000007</v>
      </c>
      <c r="J73" s="32">
        <v>583333.33000000007</v>
      </c>
      <c r="K73" s="33">
        <v>583333.33000000007</v>
      </c>
      <c r="L73" s="33">
        <v>583333.33000000007</v>
      </c>
      <c r="M73" s="33">
        <v>583333.33000000007</v>
      </c>
      <c r="N73" s="33">
        <v>583333.33000000007</v>
      </c>
      <c r="O73" s="53">
        <v>583333.33000000007</v>
      </c>
      <c r="P73" s="70">
        <f t="shared" si="2"/>
        <v>6999999.9600000009</v>
      </c>
      <c r="Q73" s="3"/>
      <c r="R73" s="98"/>
      <c r="S73" s="13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25.5">
      <c r="A74" s="3"/>
      <c r="B74" s="3"/>
      <c r="C74" s="60" t="str">
        <f>IF(MasterSheet!$A$1=1,MasterSheet!C392,MasterSheet!B392)</f>
        <v>Transferi institucijama pojedinicima nevladinom i javnom sektoru</v>
      </c>
      <c r="D74" s="63">
        <f>+SUM(D75:D79)</f>
        <v>8084501.9900000002</v>
      </c>
      <c r="E74" s="66">
        <f t="shared" ref="E74" si="14">+SUM(E75:E79)</f>
        <v>7617836.0300000003</v>
      </c>
      <c r="F74" s="65">
        <f t="shared" ref="F74" si="15">+SUM(F75:F79)</f>
        <v>7617836.0300000003</v>
      </c>
      <c r="G74" s="67">
        <f t="shared" ref="G74:O74" si="16">+SUM(G75:G79)</f>
        <v>7617836.0300000003</v>
      </c>
      <c r="H74" s="67">
        <f t="shared" si="16"/>
        <v>7617836.0300000003</v>
      </c>
      <c r="I74" s="67">
        <f t="shared" si="16"/>
        <v>7617836.0300000003</v>
      </c>
      <c r="J74" s="67">
        <f t="shared" si="16"/>
        <v>7617836.0300000003</v>
      </c>
      <c r="K74" s="67">
        <f t="shared" si="16"/>
        <v>7617836.0300000003</v>
      </c>
      <c r="L74" s="67">
        <f t="shared" si="16"/>
        <v>7617836.0300000003</v>
      </c>
      <c r="M74" s="66">
        <f t="shared" si="16"/>
        <v>7617836.0300000003</v>
      </c>
      <c r="N74" s="65">
        <f t="shared" si="16"/>
        <v>7617836.0300000003</v>
      </c>
      <c r="O74" s="64">
        <f t="shared" si="16"/>
        <v>7617836.0300000003</v>
      </c>
      <c r="P74" s="125">
        <f t="shared" si="2"/>
        <v>91880698.320000008</v>
      </c>
      <c r="Q74" s="57"/>
      <c r="R74" s="98"/>
      <c r="S74" s="13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>
      <c r="A75" s="3"/>
      <c r="B75" s="3"/>
      <c r="C75" s="58" t="str">
        <f>IF(MasterSheet!$A$1=1,MasterSheet!C393,MasterSheet!B393)</f>
        <v>Transferi javnim institucijama</v>
      </c>
      <c r="D75" s="31">
        <v>6317483.1400000006</v>
      </c>
      <c r="E75" s="33">
        <v>5850817.1800000006</v>
      </c>
      <c r="F75" s="32">
        <v>5850817.1800000006</v>
      </c>
      <c r="G75" s="32">
        <v>5850817.1800000006</v>
      </c>
      <c r="H75" s="32">
        <v>5850817.1800000006</v>
      </c>
      <c r="I75" s="33">
        <v>5850817.1800000006</v>
      </c>
      <c r="J75" s="32">
        <v>5850817.1800000006</v>
      </c>
      <c r="K75" s="33">
        <v>5850817.1800000006</v>
      </c>
      <c r="L75" s="33">
        <v>5850817.1800000006</v>
      </c>
      <c r="M75" s="33">
        <v>5850817.1800000006</v>
      </c>
      <c r="N75" s="33">
        <v>5850817.1800000006</v>
      </c>
      <c r="O75" s="53">
        <v>5850817.1800000006</v>
      </c>
      <c r="P75" s="70">
        <f t="shared" si="2"/>
        <v>70676472.120000005</v>
      </c>
      <c r="Q75" s="3"/>
      <c r="R75" s="98"/>
      <c r="S75" s="132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>
      <c r="A76" s="3"/>
      <c r="B76" s="3"/>
      <c r="C76" s="58" t="str">
        <f>IF(MasterSheet!$A$1=1,MasterSheet!C394,MasterSheet!B394)</f>
        <v>Transferi nevladinim organizacijama</v>
      </c>
      <c r="D76" s="31">
        <v>211218.85</v>
      </c>
      <c r="E76" s="32">
        <v>211218.85</v>
      </c>
      <c r="F76" s="32">
        <v>211218.85</v>
      </c>
      <c r="G76" s="32">
        <v>211218.85</v>
      </c>
      <c r="H76" s="32">
        <v>211218.85</v>
      </c>
      <c r="I76" s="33">
        <v>211218.85</v>
      </c>
      <c r="J76" s="32">
        <v>211218.85</v>
      </c>
      <c r="K76" s="33">
        <v>211218.85</v>
      </c>
      <c r="L76" s="33">
        <v>211218.85</v>
      </c>
      <c r="M76" s="33">
        <v>211218.85</v>
      </c>
      <c r="N76" s="33">
        <v>211218.85</v>
      </c>
      <c r="O76" s="53">
        <v>211218.85</v>
      </c>
      <c r="P76" s="70">
        <f t="shared" si="2"/>
        <v>2534626.2000000007</v>
      </c>
      <c r="Q76" s="3"/>
      <c r="R76" s="98"/>
      <c r="S76" s="132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>
      <c r="A77" s="3"/>
      <c r="B77" s="3"/>
      <c r="C77" s="58" t="str">
        <f>IF(MasterSheet!$A$1=1,MasterSheet!C395,MasterSheet!B395)</f>
        <v>Transferi pojedincima</v>
      </c>
      <c r="D77" s="31">
        <v>1534966.67</v>
      </c>
      <c r="E77" s="32">
        <v>1534966.67</v>
      </c>
      <c r="F77" s="32">
        <v>1534966.67</v>
      </c>
      <c r="G77" s="32">
        <v>1534966.67</v>
      </c>
      <c r="H77" s="32">
        <v>1534966.67</v>
      </c>
      <c r="I77" s="33">
        <v>1534966.67</v>
      </c>
      <c r="J77" s="32">
        <v>1534966.67</v>
      </c>
      <c r="K77" s="33">
        <v>1534966.67</v>
      </c>
      <c r="L77" s="33">
        <v>1534966.67</v>
      </c>
      <c r="M77" s="33">
        <v>1534966.67</v>
      </c>
      <c r="N77" s="33">
        <v>1534966.67</v>
      </c>
      <c r="O77" s="53">
        <v>1534966.67</v>
      </c>
      <c r="P77" s="70">
        <f t="shared" si="2"/>
        <v>18419600.039999999</v>
      </c>
      <c r="Q77" s="3"/>
      <c r="R77" s="98"/>
      <c r="S77" s="132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>
      <c r="A78" s="3"/>
      <c r="B78" s="3"/>
      <c r="C78" s="58" t="str">
        <f>IF(MasterSheet!$A$1=1,MasterSheet!C396,MasterSheet!B396)</f>
        <v>Transferi opštinama</v>
      </c>
      <c r="D78" s="31">
        <v>20833.330000000002</v>
      </c>
      <c r="E78" s="32">
        <v>20833.330000000002</v>
      </c>
      <c r="F78" s="32">
        <v>20833.330000000002</v>
      </c>
      <c r="G78" s="32">
        <v>20833.330000000002</v>
      </c>
      <c r="H78" s="32">
        <v>20833.330000000002</v>
      </c>
      <c r="I78" s="33">
        <v>20833.330000000002</v>
      </c>
      <c r="J78" s="32">
        <v>20833.330000000002</v>
      </c>
      <c r="K78" s="33">
        <v>20833.330000000002</v>
      </c>
      <c r="L78" s="33">
        <v>20833.330000000002</v>
      </c>
      <c r="M78" s="33">
        <v>20833.330000000002</v>
      </c>
      <c r="N78" s="33">
        <v>20833.330000000002</v>
      </c>
      <c r="O78" s="53">
        <v>20833.330000000002</v>
      </c>
      <c r="P78" s="70">
        <f t="shared" si="2"/>
        <v>249999.96000000008</v>
      </c>
      <c r="Q78" s="3"/>
      <c r="R78" s="98"/>
      <c r="S78" s="132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3.5" thickBot="1">
      <c r="A79" s="3"/>
      <c r="B79" s="3"/>
      <c r="C79" s="59" t="str">
        <f>IF(MasterSheet!$A$1=1,MasterSheet!C397,MasterSheet!B397)</f>
        <v>Transferi javnim preduzećima</v>
      </c>
      <c r="D79" s="71">
        <v>0</v>
      </c>
      <c r="E79" s="72">
        <v>0</v>
      </c>
      <c r="F79" s="72">
        <v>0</v>
      </c>
      <c r="G79" s="72">
        <v>0</v>
      </c>
      <c r="H79" s="72">
        <v>0</v>
      </c>
      <c r="I79" s="73">
        <v>0</v>
      </c>
      <c r="J79" s="72">
        <v>0</v>
      </c>
      <c r="K79" s="73">
        <v>0</v>
      </c>
      <c r="L79" s="73">
        <v>0</v>
      </c>
      <c r="M79" s="73">
        <v>0</v>
      </c>
      <c r="N79" s="73">
        <v>0</v>
      </c>
      <c r="O79" s="129">
        <v>0</v>
      </c>
      <c r="P79" s="126">
        <f t="shared" si="2"/>
        <v>0</v>
      </c>
      <c r="Q79" s="3"/>
      <c r="R79" s="98"/>
      <c r="S79" s="132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thickTop="1" thickBot="1">
      <c r="A80" s="3"/>
      <c r="B80" s="3"/>
      <c r="C80" s="35" t="str">
        <f>IF(MasterSheet!$A$1=1,MasterSheet!C398,MasterSheet!B398)</f>
        <v>Kapitalni budžet</v>
      </c>
      <c r="D80" s="74">
        <v>5469916.6699999999</v>
      </c>
      <c r="E80" s="74">
        <v>5469916.6699999999</v>
      </c>
      <c r="F80" s="74">
        <v>5469916.6699999999</v>
      </c>
      <c r="G80" s="77">
        <v>5469916.6699999999</v>
      </c>
      <c r="H80" s="77">
        <v>5469916.6699999999</v>
      </c>
      <c r="I80" s="77">
        <v>5469916.6699999999</v>
      </c>
      <c r="J80" s="77">
        <v>5469916.6699999999</v>
      </c>
      <c r="K80" s="77">
        <v>5469916.6699999999</v>
      </c>
      <c r="L80" s="77">
        <v>5469916.6699999999</v>
      </c>
      <c r="M80" s="75">
        <v>5469916.6699999999</v>
      </c>
      <c r="N80" s="76">
        <v>5469916.6699999999</v>
      </c>
      <c r="O80" s="130">
        <v>5469916.6699999999</v>
      </c>
      <c r="P80" s="127">
        <f t="shared" si="2"/>
        <v>65639000.040000014</v>
      </c>
      <c r="Q80" s="3"/>
      <c r="R80" s="98"/>
      <c r="S80" s="132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3.5" thickTop="1">
      <c r="A81" s="3"/>
      <c r="B81" s="3"/>
      <c r="C81" s="58" t="str">
        <f>IF(MasterSheet!$A$1=1,MasterSheet!C399,MasterSheet!B399)</f>
        <v>Pozajmice i krediti</v>
      </c>
      <c r="D81" s="31">
        <v>143333.34</v>
      </c>
      <c r="E81" s="32">
        <v>143333.34</v>
      </c>
      <c r="F81" s="32">
        <v>143333.34</v>
      </c>
      <c r="G81" s="32">
        <v>143333.34</v>
      </c>
      <c r="H81" s="32">
        <v>143333.34</v>
      </c>
      <c r="I81" s="33">
        <v>143333.34</v>
      </c>
      <c r="J81" s="32">
        <v>143333.34</v>
      </c>
      <c r="K81" s="33">
        <v>143333.34</v>
      </c>
      <c r="L81" s="33">
        <v>143333.34</v>
      </c>
      <c r="M81" s="33">
        <v>143333.34</v>
      </c>
      <c r="N81" s="33">
        <v>143333.34</v>
      </c>
      <c r="O81" s="53">
        <v>143333.34</v>
      </c>
      <c r="P81" s="128">
        <f t="shared" si="2"/>
        <v>1720000.0800000003</v>
      </c>
      <c r="Q81" s="3"/>
      <c r="R81" s="98"/>
      <c r="S81" s="132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3.5" thickBot="1">
      <c r="A82" s="3"/>
      <c r="B82" s="3"/>
      <c r="C82" s="59" t="str">
        <f>IF(MasterSheet!$A$1=1,MasterSheet!C400,MasterSheet!B400)</f>
        <v>Rezerve</v>
      </c>
      <c r="D82" s="71">
        <v>613005.78999999992</v>
      </c>
      <c r="E82" s="72">
        <v>613005.78999999992</v>
      </c>
      <c r="F82" s="72">
        <v>613005.78999999992</v>
      </c>
      <c r="G82" s="72">
        <v>613005.78999999992</v>
      </c>
      <c r="H82" s="72">
        <v>613005.78999999992</v>
      </c>
      <c r="I82" s="73">
        <v>613005.78999999992</v>
      </c>
      <c r="J82" s="72">
        <v>613005.78999999992</v>
      </c>
      <c r="K82" s="73">
        <v>613005.78999999992</v>
      </c>
      <c r="L82" s="73">
        <v>613005.78999999992</v>
      </c>
      <c r="M82" s="73">
        <v>613005.78999999992</v>
      </c>
      <c r="N82" s="73">
        <v>613005.78999999992</v>
      </c>
      <c r="O82" s="129">
        <v>613005.78999999992</v>
      </c>
      <c r="P82" s="126">
        <f t="shared" si="2"/>
        <v>7356069.4799999995</v>
      </c>
      <c r="Q82" s="3"/>
      <c r="R82" s="98"/>
      <c r="S82" s="132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thickTop="1" thickBot="1">
      <c r="A83" s="3"/>
      <c r="B83" s="3"/>
      <c r="C83" s="59" t="str">
        <f>IF(MasterSheet!$A$1=1,MasterSheet!C408,MasterSheet!B408)</f>
        <v>Otplata garancija</v>
      </c>
      <c r="D83" s="31">
        <v>0</v>
      </c>
      <c r="E83" s="32">
        <v>0</v>
      </c>
      <c r="F83" s="32">
        <v>0</v>
      </c>
      <c r="G83" s="32">
        <v>0</v>
      </c>
      <c r="H83" s="32">
        <v>0</v>
      </c>
      <c r="I83" s="33">
        <v>0</v>
      </c>
      <c r="J83" s="32">
        <v>0</v>
      </c>
      <c r="K83" s="33">
        <v>0</v>
      </c>
      <c r="L83" s="33">
        <v>0</v>
      </c>
      <c r="M83" s="33">
        <v>0</v>
      </c>
      <c r="N83" s="33">
        <v>0</v>
      </c>
      <c r="O83" s="53">
        <v>0</v>
      </c>
      <c r="P83" s="34">
        <f>+SUM(D83:O83)</f>
        <v>0</v>
      </c>
      <c r="Q83" s="3"/>
      <c r="R83" s="96"/>
      <c r="S83" s="132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thickTop="1" thickBot="1">
      <c r="A84" s="3"/>
      <c r="B84" s="3"/>
      <c r="C84" s="35" t="str">
        <f>IF(MasterSheet!$A$1=1,MasterSheet!C402,MasterSheet!B402)</f>
        <v>Suficit/ Deficit</v>
      </c>
      <c r="D84" s="62">
        <f>+D19-D51</f>
        <v>-49927704.465120845</v>
      </c>
      <c r="E84" s="62">
        <f t="shared" ref="E84:O84" si="17">+E19-E51</f>
        <v>-31948566.261149943</v>
      </c>
      <c r="F84" s="62">
        <f t="shared" si="17"/>
        <v>-21057261.755039066</v>
      </c>
      <c r="G84" s="62">
        <f t="shared" si="17"/>
        <v>-4130170.1161308736</v>
      </c>
      <c r="H84" s="62">
        <f>+H19-H51</f>
        <v>-7522810.4527620673</v>
      </c>
      <c r="I84" s="62">
        <f t="shared" si="17"/>
        <v>-2990063.33810471</v>
      </c>
      <c r="J84" s="62">
        <f t="shared" si="17"/>
        <v>10839130.907912046</v>
      </c>
      <c r="K84" s="62">
        <f t="shared" si="17"/>
        <v>9901521.3693697006</v>
      </c>
      <c r="L84" s="62">
        <f t="shared" si="17"/>
        <v>-5811127.0522280186</v>
      </c>
      <c r="M84" s="62">
        <f t="shared" si="17"/>
        <v>-125911.82476308942</v>
      </c>
      <c r="N84" s="62">
        <f t="shared" si="17"/>
        <v>-8069828.0101713091</v>
      </c>
      <c r="O84" s="95">
        <f t="shared" si="17"/>
        <v>15527075.409421757</v>
      </c>
      <c r="P84" s="93">
        <f t="shared" ref="P84:P95" si="18">+SUM(D84:O84)</f>
        <v>-95315715.588766426</v>
      </c>
      <c r="Q84" s="3"/>
      <c r="R84" s="98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thickTop="1" thickBot="1">
      <c r="A85" s="3"/>
      <c r="B85" s="3"/>
      <c r="C85" s="35" t="str">
        <f>IF(MasterSheet!$A$1=1,MasterSheet!C403,MasterSheet!B403)</f>
        <v>Primarni deficit</v>
      </c>
      <c r="D85" s="62">
        <f t="shared" ref="D85:O85" si="19">+D84+D63</f>
        <v>-44060737.185120843</v>
      </c>
      <c r="E85" s="62">
        <f t="shared" si="19"/>
        <v>-26081598.981149942</v>
      </c>
      <c r="F85" s="62">
        <f t="shared" si="19"/>
        <v>-15190294.475039065</v>
      </c>
      <c r="G85" s="62">
        <f t="shared" si="19"/>
        <v>1736797.1638691267</v>
      </c>
      <c r="H85" s="62">
        <f t="shared" si="19"/>
        <v>-1655843.1727620671</v>
      </c>
      <c r="I85" s="62">
        <f t="shared" si="19"/>
        <v>2876903.9418952903</v>
      </c>
      <c r="J85" s="62">
        <f t="shared" si="19"/>
        <v>16706098.187912047</v>
      </c>
      <c r="K85" s="62">
        <f t="shared" si="19"/>
        <v>15768488.649369702</v>
      </c>
      <c r="L85" s="62">
        <f t="shared" si="19"/>
        <v>55840.227771981619</v>
      </c>
      <c r="M85" s="62">
        <f t="shared" si="19"/>
        <v>5741055.4552369108</v>
      </c>
      <c r="N85" s="62">
        <f t="shared" si="19"/>
        <v>-2202860.7301713089</v>
      </c>
      <c r="O85" s="95">
        <f t="shared" si="19"/>
        <v>21394042.689421758</v>
      </c>
      <c r="P85" s="93">
        <f t="shared" si="18"/>
        <v>-24912108.228766412</v>
      </c>
      <c r="Q85" s="3"/>
      <c r="R85" s="98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thickTop="1" thickBot="1">
      <c r="A86" s="3"/>
      <c r="B86" s="3"/>
      <c r="C86" s="35" t="str">
        <f>IF(MasterSheet!$A$1=1,MasterSheet!C404,MasterSheet!B404)</f>
        <v>Otplata duga</v>
      </c>
      <c r="D86" s="62">
        <f>+SUM(D87:D89)</f>
        <v>7686663.25</v>
      </c>
      <c r="E86" s="62">
        <f t="shared" ref="E86:O86" si="20">+SUM(E87:E89)</f>
        <v>2819104.9000000004</v>
      </c>
      <c r="F86" s="62">
        <f t="shared" si="20"/>
        <v>5381362.9800000004</v>
      </c>
      <c r="G86" s="62">
        <f t="shared" si="20"/>
        <v>8038869.4399999995</v>
      </c>
      <c r="H86" s="62">
        <f t="shared" si="20"/>
        <v>5392617.04</v>
      </c>
      <c r="I86" s="62">
        <f t="shared" si="20"/>
        <v>16826545.850000001</v>
      </c>
      <c r="J86" s="62">
        <f t="shared" si="20"/>
        <v>24366255.719999999</v>
      </c>
      <c r="K86" s="62">
        <f t="shared" si="20"/>
        <v>5641447.3200000003</v>
      </c>
      <c r="L86" s="62">
        <f t="shared" si="20"/>
        <v>12730233.93</v>
      </c>
      <c r="M86" s="62">
        <f t="shared" si="20"/>
        <v>7099982.6499999994</v>
      </c>
      <c r="N86" s="62">
        <f t="shared" si="20"/>
        <v>5537490.71</v>
      </c>
      <c r="O86" s="95">
        <f t="shared" si="20"/>
        <v>17156558.210000023</v>
      </c>
      <c r="P86" s="93">
        <f>+SUM(D86:O86)</f>
        <v>118677132.00000003</v>
      </c>
      <c r="Q86" s="9"/>
      <c r="R86" s="176"/>
      <c r="S86" s="6"/>
      <c r="T86" s="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3.5" thickTop="1">
      <c r="A87" s="3"/>
      <c r="B87" s="3"/>
      <c r="C87" s="58" t="str">
        <f>IF(MasterSheet!$A$1=1,MasterSheet!C405,MasterSheet!B405)</f>
        <v>Otplata duga rezidentima</v>
      </c>
      <c r="D87" s="31">
        <v>3512979.93</v>
      </c>
      <c r="E87" s="32">
        <v>872996.16</v>
      </c>
      <c r="F87" s="32">
        <v>264968.06</v>
      </c>
      <c r="G87" s="32">
        <v>3710246.3</v>
      </c>
      <c r="H87" s="32">
        <v>1114528.77</v>
      </c>
      <c r="I87" s="33">
        <v>265498.44</v>
      </c>
      <c r="J87" s="32">
        <v>5175131.93</v>
      </c>
      <c r="K87" s="33">
        <v>912847.91</v>
      </c>
      <c r="L87" s="33">
        <v>3220262.59</v>
      </c>
      <c r="M87" s="33">
        <v>592277.14</v>
      </c>
      <c r="N87" s="33">
        <v>930069.44</v>
      </c>
      <c r="O87" s="53">
        <v>3228193.3300000019</v>
      </c>
      <c r="P87" s="34">
        <f t="shared" si="18"/>
        <v>23800000</v>
      </c>
      <c r="Q87" s="3"/>
      <c r="R87" s="176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>
      <c r="A88" s="3"/>
      <c r="B88" s="3"/>
      <c r="C88" s="58" t="str">
        <f>IF(MasterSheet!$A$1=1,MasterSheet!C406,MasterSheet!B406)</f>
        <v>Otplata duga nerezidentima</v>
      </c>
      <c r="D88" s="31">
        <v>2705588.99</v>
      </c>
      <c r="E88" s="32">
        <v>528059.41</v>
      </c>
      <c r="F88" s="32">
        <v>3648300.59</v>
      </c>
      <c r="G88" s="32">
        <v>2810528.81</v>
      </c>
      <c r="H88" s="32">
        <v>2759993.94</v>
      </c>
      <c r="I88" s="33">
        <v>11975685.74</v>
      </c>
      <c r="J88" s="32">
        <v>10543029.460000001</v>
      </c>
      <c r="K88" s="33">
        <v>780505.08</v>
      </c>
      <c r="L88" s="33">
        <v>7411877.0099999998</v>
      </c>
      <c r="M88" s="33">
        <v>4609611.18</v>
      </c>
      <c r="N88" s="33">
        <v>2759326.94</v>
      </c>
      <c r="O88" s="53">
        <v>12167492.850000011</v>
      </c>
      <c r="P88" s="70">
        <f t="shared" si="18"/>
        <v>62700000</v>
      </c>
      <c r="Q88" s="3"/>
      <c r="R88" s="176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3.5" thickBot="1">
      <c r="A89" s="3"/>
      <c r="B89" s="3"/>
      <c r="C89" s="58" t="str">
        <f>IF(MasterSheet!$A$1=1,MasterSheet!C407,MasterSheet!B407)</f>
        <v>Otplata obaveza iz prethodnog perioda</v>
      </c>
      <c r="D89" s="31">
        <v>1468094.33</v>
      </c>
      <c r="E89" s="32">
        <v>1418049.33</v>
      </c>
      <c r="F89" s="32">
        <v>1468094.33</v>
      </c>
      <c r="G89" s="32">
        <v>1518094.33</v>
      </c>
      <c r="H89" s="32">
        <v>1518094.33</v>
      </c>
      <c r="I89" s="33">
        <v>4585361.67</v>
      </c>
      <c r="J89" s="32">
        <v>8648094.3300000001</v>
      </c>
      <c r="K89" s="33">
        <v>3948094.33</v>
      </c>
      <c r="L89" s="33">
        <v>2098094.33</v>
      </c>
      <c r="M89" s="33">
        <v>1898094.33</v>
      </c>
      <c r="N89" s="33">
        <v>1848094.33</v>
      </c>
      <c r="O89" s="53">
        <v>1760872.0300000105</v>
      </c>
      <c r="P89" s="34">
        <f t="shared" si="18"/>
        <v>32177132</v>
      </c>
      <c r="Q89" s="3"/>
      <c r="R89" s="176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thickTop="1" thickBot="1">
      <c r="A90" s="3"/>
      <c r="B90" s="3"/>
      <c r="C90" s="35" t="str">
        <f>IF(MasterSheet!$A$1=1,MasterSheet!C409,MasterSheet!B409)</f>
        <v>Nedostajuća sredstva</v>
      </c>
      <c r="D90" s="62">
        <f>+D84-D86</f>
        <v>-57614367.715120845</v>
      </c>
      <c r="E90" s="62">
        <f t="shared" ref="E90:O90" si="21">+E84-E86</f>
        <v>-34767671.161149941</v>
      </c>
      <c r="F90" s="62">
        <f t="shared" si="21"/>
        <v>-26438624.735039067</v>
      </c>
      <c r="G90" s="62">
        <f t="shared" si="21"/>
        <v>-12169039.556130873</v>
      </c>
      <c r="H90" s="62">
        <f t="shared" si="21"/>
        <v>-12915427.492762066</v>
      </c>
      <c r="I90" s="62">
        <f t="shared" si="21"/>
        <v>-19816609.188104711</v>
      </c>
      <c r="J90" s="62">
        <f t="shared" si="21"/>
        <v>-13527124.812087953</v>
      </c>
      <c r="K90" s="62">
        <f t="shared" si="21"/>
        <v>4260074.0493697003</v>
      </c>
      <c r="L90" s="62">
        <f t="shared" si="21"/>
        <v>-18541360.982228018</v>
      </c>
      <c r="M90" s="62">
        <f t="shared" si="21"/>
        <v>-7225894.4747630889</v>
      </c>
      <c r="N90" s="62">
        <f t="shared" si="21"/>
        <v>-13607318.72017131</v>
      </c>
      <c r="O90" s="95">
        <f t="shared" si="21"/>
        <v>-1629482.8005782664</v>
      </c>
      <c r="P90" s="93">
        <f t="shared" si="18"/>
        <v>-213992847.58876646</v>
      </c>
      <c r="Q90" s="3"/>
      <c r="R90" s="98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thickTop="1" thickBot="1">
      <c r="A91" s="3"/>
      <c r="B91" s="3"/>
      <c r="C91" s="35" t="str">
        <f>IF(MasterSheet!$A$1=1,MasterSheet!C410,MasterSheet!B410)</f>
        <v>Finansiranje</v>
      </c>
      <c r="D91" s="62">
        <f>+SUM(D92:D96)</f>
        <v>57614367.715120845</v>
      </c>
      <c r="E91" s="62">
        <f t="shared" ref="E91:O91" si="22">+SUM(E92:E96)</f>
        <v>34767671.161149941</v>
      </c>
      <c r="F91" s="62">
        <f t="shared" si="22"/>
        <v>26438624.735039067</v>
      </c>
      <c r="G91" s="62">
        <f t="shared" si="22"/>
        <v>12169039.556130886</v>
      </c>
      <c r="H91" s="62">
        <f t="shared" si="22"/>
        <v>12915427.492762066</v>
      </c>
      <c r="I91" s="62">
        <f t="shared" si="22"/>
        <v>19816609.188104711</v>
      </c>
      <c r="J91" s="62">
        <f t="shared" si="22"/>
        <v>13527124.812087953</v>
      </c>
      <c r="K91" s="62">
        <f t="shared" si="22"/>
        <v>-4260074.0493697003</v>
      </c>
      <c r="L91" s="62">
        <f t="shared" si="22"/>
        <v>18541360.982228018</v>
      </c>
      <c r="M91" s="62">
        <f t="shared" si="22"/>
        <v>7225894.4747630879</v>
      </c>
      <c r="N91" s="62">
        <f t="shared" si="22"/>
        <v>13607318.72017131</v>
      </c>
      <c r="O91" s="95">
        <f t="shared" si="22"/>
        <v>1629482.8005782664</v>
      </c>
      <c r="P91" s="93">
        <f t="shared" si="18"/>
        <v>213992847.58876646</v>
      </c>
      <c r="Q91" s="3"/>
      <c r="R91" s="98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3.5" thickTop="1">
      <c r="A92" s="3"/>
      <c r="B92" s="3"/>
      <c r="C92" s="58" t="str">
        <f>IF(MasterSheet!$A$1=1,MasterSheet!C411,MasterSheet!B411)</f>
        <v>Pozajmice i krediti iz domaćih izvora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4">
        <f t="shared" si="18"/>
        <v>0</v>
      </c>
      <c r="Q92" s="3"/>
      <c r="R92" s="96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3"/>
      <c r="B93" s="3"/>
      <c r="C93" s="58" t="str">
        <f>IF(MasterSheet!$A$1=1,MasterSheet!C412,MasterSheet!B412)</f>
        <v>Pozajmice i krediti iz inostranih izvora</v>
      </c>
      <c r="D93" s="31">
        <v>0</v>
      </c>
      <c r="E93" s="31">
        <v>0</v>
      </c>
      <c r="F93" s="31">
        <v>0</v>
      </c>
      <c r="G93" s="26">
        <v>200000000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177">
        <v>50000000</v>
      </c>
      <c r="N93" s="33">
        <v>0</v>
      </c>
      <c r="O93" s="53">
        <v>0</v>
      </c>
      <c r="P93" s="34">
        <f t="shared" si="18"/>
        <v>250000000</v>
      </c>
      <c r="Q93" s="3"/>
      <c r="R93" s="96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3"/>
      <c r="B94" s="3"/>
      <c r="C94" s="58" t="str">
        <f>IF(MasterSheet!$A$1=1,MasterSheet!C413,MasterSheet!B413)</f>
        <v>Donacije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4">
        <f t="shared" si="18"/>
        <v>0</v>
      </c>
      <c r="Q94" s="3"/>
      <c r="R94" s="96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>
      <c r="A95" s="3"/>
      <c r="B95" s="3"/>
      <c r="C95" s="58" t="str">
        <f>IF(MasterSheet!$A$1=1,MasterSheet!C414,MasterSheet!B414)</f>
        <v>Prihodi od privatizacije</v>
      </c>
      <c r="D95" s="31">
        <v>0</v>
      </c>
      <c r="E95" s="31">
        <v>0</v>
      </c>
      <c r="F95" s="31">
        <v>0</v>
      </c>
      <c r="G95" s="32">
        <v>8000000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4">
        <f t="shared" si="18"/>
        <v>8000000</v>
      </c>
      <c r="Q95" s="3"/>
      <c r="R95" s="96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3.5" thickBot="1">
      <c r="A96" s="3"/>
      <c r="B96" s="3"/>
      <c r="C96" s="61" t="str">
        <f>IF(MasterSheet!$A$1=1,MasterSheet!C415,MasterSheet!B415)</f>
        <v>Povećanje/smanjenje depozita</v>
      </c>
      <c r="D96" s="46">
        <f>-D90-SUM(D92:D95)</f>
        <v>57614367.715120845</v>
      </c>
      <c r="E96" s="48">
        <f>-E90-SUM(E92:E95)</f>
        <v>34767671.161149941</v>
      </c>
      <c r="F96" s="48">
        <f>-F90-SUM(F92:F95)</f>
        <v>26438624.735039067</v>
      </c>
      <c r="G96" s="69">
        <f t="shared" ref="G96:O96" si="23">-G90-SUM(G92:G95)</f>
        <v>-195830960.44386911</v>
      </c>
      <c r="H96" s="69">
        <f t="shared" si="23"/>
        <v>12915427.492762066</v>
      </c>
      <c r="I96" s="69">
        <f t="shared" si="23"/>
        <v>19816609.188104711</v>
      </c>
      <c r="J96" s="69">
        <f t="shared" si="23"/>
        <v>13527124.812087953</v>
      </c>
      <c r="K96" s="69">
        <f t="shared" si="23"/>
        <v>-4260074.0493697003</v>
      </c>
      <c r="L96" s="69">
        <f t="shared" si="23"/>
        <v>18541360.982228018</v>
      </c>
      <c r="M96" s="69">
        <f t="shared" si="23"/>
        <v>-42774105.525236912</v>
      </c>
      <c r="N96" s="69">
        <f t="shared" si="23"/>
        <v>13607318.72017131</v>
      </c>
      <c r="O96" s="54">
        <f t="shared" si="23"/>
        <v>1629482.8005782664</v>
      </c>
      <c r="P96" s="92">
        <f>+SUM(D96:O96)</f>
        <v>-44007152.411233544</v>
      </c>
      <c r="Q96" s="57"/>
      <c r="R96" s="65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3.5" thickTop="1">
      <c r="A97" s="3"/>
      <c r="B97" s="3"/>
      <c r="C97" s="56" t="str">
        <f>IF(MasterSheet!$A$1=1,MasterSheet!C416,MasterSheet!B416)</f>
        <v>Izvor: Ministarstvo finansija Crne Gore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3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3"/>
      <c r="B99" s="3"/>
      <c r="C99" s="3"/>
      <c r="D99" s="3"/>
      <c r="E99" s="3"/>
      <c r="F99" s="3"/>
      <c r="G99" s="3"/>
      <c r="H99" s="157"/>
      <c r="I99" s="3"/>
      <c r="J99" s="3"/>
      <c r="K99" s="3"/>
      <c r="L99" s="3"/>
      <c r="M99" s="3"/>
      <c r="N99" s="17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/>
      <c r="B100" s="3"/>
      <c r="C100" s="3"/>
      <c r="D100" s="3"/>
      <c r="E100" s="3"/>
      <c r="F100" s="3"/>
      <c r="G100" s="13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3"/>
      <c r="B101" s="3"/>
      <c r="C101" s="3"/>
      <c r="D101" s="3"/>
      <c r="E101" s="3"/>
      <c r="F101" s="3"/>
      <c r="G101" s="13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32">
      <c r="D155" s="3"/>
      <c r="E155" s="3"/>
      <c r="F155" s="3"/>
      <c r="G155" s="3"/>
      <c r="H155" s="3"/>
      <c r="I155" s="3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topLeftCell="A55" zoomScale="85" zoomScaleNormal="85" workbookViewId="0">
      <selection activeCell="C84" sqref="C84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3" customWidth="1"/>
    <col min="18" max="18" width="15.28515625" style="3" bestFit="1" customWidth="1"/>
    <col min="19" max="32" width="9.140625" style="3"/>
  </cols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2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2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2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2" ht="15">
      <c r="A8" s="3"/>
      <c r="B8" s="3"/>
      <c r="C8" s="4"/>
      <c r="D8" s="585" t="s">
        <v>200</v>
      </c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V8" s="4"/>
    </row>
    <row r="9" spans="1:22" ht="15">
      <c r="A9" s="3"/>
      <c r="B9" s="3"/>
      <c r="C9" s="3"/>
      <c r="D9" s="585" t="s">
        <v>201</v>
      </c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V9" s="4"/>
    </row>
    <row r="10" spans="1:22">
      <c r="A10" s="3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V10" s="4"/>
    </row>
    <row r="11" spans="1:22">
      <c r="A11" s="3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V11" s="4"/>
    </row>
    <row r="12" spans="1:22">
      <c r="A12" s="3"/>
      <c r="B12" s="3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2" ht="13.5" thickBot="1">
      <c r="A13" s="3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/>
      <c r="R13" s="4"/>
    </row>
    <row r="14" spans="1:22" ht="17.25" thickTop="1" thickBot="1">
      <c r="A14" s="3"/>
      <c r="B14" s="3"/>
      <c r="C14" s="174" t="s">
        <v>384</v>
      </c>
      <c r="D14" s="588">
        <v>3149000000</v>
      </c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90"/>
      <c r="R14" s="82"/>
    </row>
    <row r="15" spans="1:22" ht="15.75" thickTop="1">
      <c r="A15" s="175"/>
      <c r="B15" s="17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79"/>
      <c r="N15" s="79"/>
      <c r="O15" s="80"/>
      <c r="P15" s="80"/>
      <c r="Q15" s="80"/>
      <c r="R15" s="80"/>
    </row>
    <row r="16" spans="1:22" ht="17.25" customHeight="1" thickBot="1">
      <c r="A16" s="3"/>
      <c r="B16" s="3"/>
      <c r="C16" s="6"/>
      <c r="D16" s="6"/>
      <c r="E16" s="6"/>
      <c r="F16" s="6"/>
      <c r="G16" s="158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8" ht="17.25" customHeight="1" thickTop="1">
      <c r="A17" s="3"/>
      <c r="B17" s="3"/>
      <c r="C17" s="586" t="s">
        <v>328</v>
      </c>
      <c r="D17" s="591">
        <v>2012</v>
      </c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3"/>
    </row>
    <row r="18" spans="1:18" ht="15" customHeight="1" thickBot="1">
      <c r="A18" s="3"/>
      <c r="B18" s="3"/>
      <c r="C18" s="587"/>
      <c r="D18" s="242" t="s">
        <v>294</v>
      </c>
      <c r="E18" s="243" t="s">
        <v>295</v>
      </c>
      <c r="F18" s="243" t="s">
        <v>296</v>
      </c>
      <c r="G18" s="243" t="s">
        <v>297</v>
      </c>
      <c r="H18" s="243" t="s">
        <v>298</v>
      </c>
      <c r="I18" s="243" t="s">
        <v>299</v>
      </c>
      <c r="J18" s="243" t="s">
        <v>300</v>
      </c>
      <c r="K18" s="244" t="s">
        <v>301</v>
      </c>
      <c r="L18" s="244" t="s">
        <v>302</v>
      </c>
      <c r="M18" s="244" t="s">
        <v>303</v>
      </c>
      <c r="N18" s="244" t="s">
        <v>304</v>
      </c>
      <c r="O18" s="245" t="s">
        <v>305</v>
      </c>
      <c r="P18" s="246" t="s">
        <v>400</v>
      </c>
      <c r="Q18" s="247" t="s">
        <v>150</v>
      </c>
    </row>
    <row r="19" spans="1:18" ht="15" customHeight="1" thickTop="1" thickBot="1">
      <c r="A19" s="3"/>
      <c r="B19" s="3"/>
      <c r="C19" s="248" t="s">
        <v>128</v>
      </c>
      <c r="D19" s="249">
        <f>+D20+D28+D33+D38+D45+D50</f>
        <v>48722352.899999999</v>
      </c>
      <c r="E19" s="249">
        <f t="shared" ref="E19:O19" si="0">+E20+E28+E33+E38+E45+E50</f>
        <v>67761749.069999993</v>
      </c>
      <c r="F19" s="249">
        <f t="shared" si="0"/>
        <v>76276638</v>
      </c>
      <c r="G19" s="249">
        <f t="shared" si="0"/>
        <v>98761847.500000015</v>
      </c>
      <c r="H19" s="249">
        <f t="shared" si="0"/>
        <v>86817319.960000023</v>
      </c>
      <c r="I19" s="249">
        <f t="shared" si="0"/>
        <v>95935650.340000004</v>
      </c>
      <c r="J19" s="249">
        <f t="shared" si="0"/>
        <v>130902628.23</v>
      </c>
      <c r="K19" s="249">
        <f t="shared" si="0"/>
        <v>108520677.06999999</v>
      </c>
      <c r="L19" s="249">
        <f t="shared" si="0"/>
        <v>95844316.429999992</v>
      </c>
      <c r="M19" s="249">
        <f t="shared" si="0"/>
        <v>99225995.839999989</v>
      </c>
      <c r="N19" s="249">
        <f t="shared" si="0"/>
        <v>85312822.620000005</v>
      </c>
      <c r="O19" s="249">
        <f t="shared" si="0"/>
        <v>126936131.61999999</v>
      </c>
      <c r="P19" s="250">
        <f>SUM(D19:O19)</f>
        <v>1121018129.5800002</v>
      </c>
      <c r="Q19" s="251">
        <f>+P19/$D$14*100</f>
        <v>35.599178456017789</v>
      </c>
    </row>
    <row r="20" spans="1:18" ht="15" customHeight="1" thickTop="1">
      <c r="A20" s="3"/>
      <c r="B20" s="3"/>
      <c r="C20" s="252" t="s">
        <v>2</v>
      </c>
      <c r="D20" s="253">
        <f>+SUM(D21:D27)</f>
        <v>35884139.43</v>
      </c>
      <c r="E20" s="254">
        <f t="shared" ref="E20:O20" si="1">+SUM(E21:E27)</f>
        <v>38790866.019999996</v>
      </c>
      <c r="F20" s="254">
        <f t="shared" si="1"/>
        <v>44749384.840000004</v>
      </c>
      <c r="G20" s="255">
        <f t="shared" si="1"/>
        <v>62284624.009999998</v>
      </c>
      <c r="H20" s="255">
        <f t="shared" si="1"/>
        <v>54289863.810000002</v>
      </c>
      <c r="I20" s="255">
        <f t="shared" si="1"/>
        <v>64751336.399999991</v>
      </c>
      <c r="J20" s="255">
        <f t="shared" si="1"/>
        <v>89796994.480000004</v>
      </c>
      <c r="K20" s="255">
        <f t="shared" si="1"/>
        <v>63715815.289999999</v>
      </c>
      <c r="L20" s="255">
        <f t="shared" si="1"/>
        <v>65062594.769999996</v>
      </c>
      <c r="M20" s="256">
        <f t="shared" si="1"/>
        <v>58701404.069999993</v>
      </c>
      <c r="N20" s="256">
        <f t="shared" si="1"/>
        <v>50869538.609999999</v>
      </c>
      <c r="O20" s="257">
        <f t="shared" si="1"/>
        <v>58547572.959999993</v>
      </c>
      <c r="P20" s="258">
        <f t="shared" ref="P20:P82" si="2">SUM(D20:O20)</f>
        <v>687444134.69000006</v>
      </c>
      <c r="Q20" s="259">
        <f t="shared" ref="Q20:Q83" si="3">+P20/$D$14*100</f>
        <v>21.830553657986666</v>
      </c>
    </row>
    <row r="21" spans="1:18" ht="15" customHeight="1">
      <c r="A21" s="3"/>
      <c r="B21" s="3"/>
      <c r="C21" s="260" t="s">
        <v>3</v>
      </c>
      <c r="D21" s="261">
        <v>2584361.34</v>
      </c>
      <c r="E21" s="262">
        <v>5333687.79</v>
      </c>
      <c r="F21" s="262">
        <v>6340026.6100000003</v>
      </c>
      <c r="G21" s="262">
        <v>7246542.3899999997</v>
      </c>
      <c r="H21" s="262">
        <v>6418173.7599999998</v>
      </c>
      <c r="I21" s="262">
        <v>5650455.4299999997</v>
      </c>
      <c r="J21" s="262">
        <v>7808337.6900000004</v>
      </c>
      <c r="K21" s="262">
        <v>8855262.9100000001</v>
      </c>
      <c r="L21" s="262">
        <v>6244778.2599999998</v>
      </c>
      <c r="M21" s="262">
        <v>8678831.0399999991</v>
      </c>
      <c r="N21" s="262">
        <v>6356523.71</v>
      </c>
      <c r="O21" s="263">
        <v>10744852.35</v>
      </c>
      <c r="P21" s="264">
        <f t="shared" si="2"/>
        <v>82261833.279999986</v>
      </c>
      <c r="Q21" s="265">
        <f t="shared" si="3"/>
        <v>2.6123160774849152</v>
      </c>
      <c r="R21" s="132"/>
    </row>
    <row r="22" spans="1:18" ht="15" customHeight="1">
      <c r="A22" s="3"/>
      <c r="B22" s="3"/>
      <c r="C22" s="260" t="s">
        <v>5</v>
      </c>
      <c r="D22" s="261">
        <v>405891.15</v>
      </c>
      <c r="E22" s="262">
        <v>434576.57</v>
      </c>
      <c r="F22" s="262">
        <v>4545996.0599999996</v>
      </c>
      <c r="G22" s="262">
        <v>13487997.380000001</v>
      </c>
      <c r="H22" s="262">
        <v>3054260.76</v>
      </c>
      <c r="I22" s="262">
        <v>3802498.05</v>
      </c>
      <c r="J22" s="262">
        <v>28544287.550000001</v>
      </c>
      <c r="K22" s="262">
        <v>2310250.2200000002</v>
      </c>
      <c r="L22" s="262">
        <v>3273538.66</v>
      </c>
      <c r="M22" s="262">
        <v>1542406.34</v>
      </c>
      <c r="N22" s="262">
        <v>791755.04</v>
      </c>
      <c r="O22" s="263">
        <v>1823099.74</v>
      </c>
      <c r="P22" s="264">
        <f t="shared" si="2"/>
        <v>64016557.520000011</v>
      </c>
      <c r="Q22" s="265">
        <f t="shared" si="3"/>
        <v>2.0329170377897747</v>
      </c>
    </row>
    <row r="23" spans="1:18" ht="15" customHeight="1">
      <c r="A23" s="3"/>
      <c r="B23" s="3"/>
      <c r="C23" s="260" t="s">
        <v>306</v>
      </c>
      <c r="D23" s="261">
        <v>77264.789999999994</v>
      </c>
      <c r="E23" s="262">
        <v>98564.160000000003</v>
      </c>
      <c r="F23" s="262">
        <v>177064.83</v>
      </c>
      <c r="G23" s="262">
        <v>98294.96</v>
      </c>
      <c r="H23" s="262">
        <v>95197.53</v>
      </c>
      <c r="I23" s="262">
        <v>127299.77</v>
      </c>
      <c r="J23" s="262">
        <v>116273.1</v>
      </c>
      <c r="K23" s="262">
        <v>91295.65</v>
      </c>
      <c r="L23" s="262">
        <v>161882.07999999999</v>
      </c>
      <c r="M23" s="262">
        <v>129365.45</v>
      </c>
      <c r="N23" s="262">
        <v>134880.91</v>
      </c>
      <c r="O23" s="263">
        <v>134066.17000000001</v>
      </c>
      <c r="P23" s="264">
        <f t="shared" si="2"/>
        <v>1441449.4</v>
      </c>
      <c r="Q23" s="265">
        <f t="shared" si="3"/>
        <v>4.5774830104795168E-2</v>
      </c>
    </row>
    <row r="24" spans="1:18" ht="15" customHeight="1">
      <c r="A24" s="3"/>
      <c r="B24" s="3"/>
      <c r="C24" s="260" t="s">
        <v>9</v>
      </c>
      <c r="D24" s="261">
        <v>21196163.460000001</v>
      </c>
      <c r="E24" s="262">
        <v>21324767.77</v>
      </c>
      <c r="F24" s="262">
        <v>23762618.34</v>
      </c>
      <c r="G24" s="262">
        <v>27714374.960000001</v>
      </c>
      <c r="H24" s="262">
        <v>30992938.18</v>
      </c>
      <c r="I24" s="262">
        <v>37819988.479999997</v>
      </c>
      <c r="J24" s="262">
        <v>37346236.600000001</v>
      </c>
      <c r="K24" s="262">
        <v>32213362.77</v>
      </c>
      <c r="L24" s="262">
        <v>33594293.979999997</v>
      </c>
      <c r="M24" s="262">
        <v>33884900.049999997</v>
      </c>
      <c r="N24" s="262">
        <v>29084760.469999999</v>
      </c>
      <c r="O24" s="263">
        <v>25779626.289999999</v>
      </c>
      <c r="P24" s="264">
        <f t="shared" si="2"/>
        <v>354714031.34999996</v>
      </c>
      <c r="Q24" s="265">
        <f t="shared" si="3"/>
        <v>11.264338880597013</v>
      </c>
    </row>
    <row r="25" spans="1:18" ht="15" customHeight="1">
      <c r="A25" s="3"/>
      <c r="B25" s="3"/>
      <c r="C25" s="260" t="s">
        <v>307</v>
      </c>
      <c r="D25" s="261">
        <v>9267303.6799999997</v>
      </c>
      <c r="E25" s="262">
        <v>9083966.1199999992</v>
      </c>
      <c r="F25" s="262">
        <v>6379102.2800000003</v>
      </c>
      <c r="G25" s="262">
        <v>9978716.9000000004</v>
      </c>
      <c r="H25" s="262">
        <v>10087834.560000001</v>
      </c>
      <c r="I25" s="262">
        <v>14771461.699999999</v>
      </c>
      <c r="J25" s="262">
        <v>13185513.26</v>
      </c>
      <c r="K25" s="262">
        <v>17419420.949999999</v>
      </c>
      <c r="L25" s="262">
        <v>19430036.780000001</v>
      </c>
      <c r="M25" s="262">
        <v>11829688.08</v>
      </c>
      <c r="N25" s="262">
        <v>12445142.43</v>
      </c>
      <c r="O25" s="263">
        <v>17887911.02</v>
      </c>
      <c r="P25" s="264">
        <f t="shared" si="2"/>
        <v>151766097.76000002</v>
      </c>
      <c r="Q25" s="265">
        <f t="shared" si="3"/>
        <v>4.8195013578913946</v>
      </c>
    </row>
    <row r="26" spans="1:18" ht="15" customHeight="1">
      <c r="A26" s="3"/>
      <c r="B26" s="3"/>
      <c r="C26" s="260" t="s">
        <v>308</v>
      </c>
      <c r="D26" s="261">
        <v>2099688</v>
      </c>
      <c r="E26" s="262">
        <v>2267285.1800000002</v>
      </c>
      <c r="F26" s="262">
        <v>3241532.58</v>
      </c>
      <c r="G26" s="262">
        <v>3383475.63</v>
      </c>
      <c r="H26" s="262">
        <v>3249031</v>
      </c>
      <c r="I26" s="262">
        <v>2148285.92</v>
      </c>
      <c r="J26" s="262">
        <v>2356613.06</v>
      </c>
      <c r="K26" s="262">
        <v>2414822.0699999998</v>
      </c>
      <c r="L26" s="262">
        <v>1990647.26</v>
      </c>
      <c r="M26" s="262">
        <v>2265475.5499999998</v>
      </c>
      <c r="N26" s="262">
        <v>1692216.71</v>
      </c>
      <c r="O26" s="263">
        <v>1855952.37</v>
      </c>
      <c r="P26" s="264">
        <f t="shared" si="2"/>
        <v>28965025.330000006</v>
      </c>
      <c r="Q26" s="265">
        <f t="shared" si="3"/>
        <v>0.91981661892664346</v>
      </c>
    </row>
    <row r="27" spans="1:18" ht="15" customHeight="1">
      <c r="A27" s="3"/>
      <c r="B27" s="3"/>
      <c r="C27" s="260" t="s">
        <v>16</v>
      </c>
      <c r="D27" s="261">
        <v>253467.01</v>
      </c>
      <c r="E27" s="262">
        <v>248018.43</v>
      </c>
      <c r="F27" s="262">
        <v>303044.14</v>
      </c>
      <c r="G27" s="262">
        <v>375221.79</v>
      </c>
      <c r="H27" s="262">
        <v>392428.02</v>
      </c>
      <c r="I27" s="262">
        <v>431347.05</v>
      </c>
      <c r="J27" s="262">
        <v>439733.22</v>
      </c>
      <c r="K27" s="262">
        <v>411400.72</v>
      </c>
      <c r="L27" s="262">
        <v>367417.75</v>
      </c>
      <c r="M27" s="262">
        <v>370737.56</v>
      </c>
      <c r="N27" s="262">
        <v>364259.34</v>
      </c>
      <c r="O27" s="263">
        <v>322065.02</v>
      </c>
      <c r="P27" s="264">
        <f t="shared" si="2"/>
        <v>4279140.05</v>
      </c>
      <c r="Q27" s="265">
        <f t="shared" si="3"/>
        <v>0.13588885519212449</v>
      </c>
    </row>
    <row r="28" spans="1:18" ht="15" customHeight="1">
      <c r="A28" s="3"/>
      <c r="B28" s="3"/>
      <c r="C28" s="266" t="s">
        <v>19</v>
      </c>
      <c r="D28" s="267">
        <f>+SUM(D29:D32)</f>
        <v>9731156.040000001</v>
      </c>
      <c r="E28" s="268">
        <f t="shared" ref="E28:O28" si="4">+SUM(E29:E32)</f>
        <v>25137844.68</v>
      </c>
      <c r="F28" s="268">
        <f t="shared" si="4"/>
        <v>26888282.780000001</v>
      </c>
      <c r="G28" s="269">
        <f t="shared" si="4"/>
        <v>32058383.460000001</v>
      </c>
      <c r="H28" s="269">
        <f t="shared" si="4"/>
        <v>28410887.77</v>
      </c>
      <c r="I28" s="269">
        <f t="shared" si="4"/>
        <v>26977256.400000002</v>
      </c>
      <c r="J28" s="269">
        <f t="shared" si="4"/>
        <v>33964107.439999998</v>
      </c>
      <c r="K28" s="269">
        <f t="shared" si="4"/>
        <v>39513387.179999992</v>
      </c>
      <c r="L28" s="269">
        <f t="shared" si="4"/>
        <v>26633440.359999999</v>
      </c>
      <c r="M28" s="269">
        <f t="shared" si="4"/>
        <v>34145980.059999995</v>
      </c>
      <c r="N28" s="269">
        <f t="shared" si="4"/>
        <v>29139013.82</v>
      </c>
      <c r="O28" s="270">
        <f t="shared" si="4"/>
        <v>49650669.609999999</v>
      </c>
      <c r="P28" s="271">
        <f t="shared" si="2"/>
        <v>362250409.60000002</v>
      </c>
      <c r="Q28" s="272">
        <f t="shared" si="3"/>
        <v>11.503664960304858</v>
      </c>
    </row>
    <row r="29" spans="1:18" ht="15" customHeight="1">
      <c r="A29" s="3"/>
      <c r="B29" s="3"/>
      <c r="C29" s="260" t="s">
        <v>309</v>
      </c>
      <c r="D29" s="261">
        <v>5695801.6600000001</v>
      </c>
      <c r="E29" s="262">
        <v>15441279.77</v>
      </c>
      <c r="F29" s="262">
        <v>15437035.58</v>
      </c>
      <c r="G29" s="262">
        <v>19415928.859999999</v>
      </c>
      <c r="H29" s="262">
        <v>17293835.780000001</v>
      </c>
      <c r="I29" s="262">
        <v>15127835.310000001</v>
      </c>
      <c r="J29" s="262">
        <v>20262459.149999999</v>
      </c>
      <c r="K29" s="262">
        <v>23332023.34</v>
      </c>
      <c r="L29" s="262">
        <v>15879377.689999999</v>
      </c>
      <c r="M29" s="262">
        <v>20348896.699999999</v>
      </c>
      <c r="N29" s="262">
        <v>17841683.07</v>
      </c>
      <c r="O29" s="263">
        <v>30425518.359999999</v>
      </c>
      <c r="P29" s="264">
        <f>SUM(D29:O29)</f>
        <v>216501675.26999998</v>
      </c>
      <c r="Q29" s="265">
        <f t="shared" si="3"/>
        <v>6.8752516757700848</v>
      </c>
    </row>
    <row r="30" spans="1:18" ht="15" customHeight="1">
      <c r="A30" s="3"/>
      <c r="B30" s="3"/>
      <c r="C30" s="260" t="s">
        <v>310</v>
      </c>
      <c r="D30" s="261">
        <v>3347397.46</v>
      </c>
      <c r="E30" s="262">
        <v>8394380.3000000007</v>
      </c>
      <c r="F30" s="262">
        <v>9781009.6899999995</v>
      </c>
      <c r="G30" s="262">
        <v>11000368.380000001</v>
      </c>
      <c r="H30" s="262">
        <v>9619171.1899999995</v>
      </c>
      <c r="I30" s="262">
        <v>10066537.18</v>
      </c>
      <c r="J30" s="262">
        <v>11720166.57</v>
      </c>
      <c r="K30" s="262">
        <v>13959252.779999999</v>
      </c>
      <c r="L30" s="262">
        <v>9392302.7699999996</v>
      </c>
      <c r="M30" s="262">
        <v>11926599.609999999</v>
      </c>
      <c r="N30" s="262">
        <v>9839543.2100000009</v>
      </c>
      <c r="O30" s="263">
        <v>16692125.859999999</v>
      </c>
      <c r="P30" s="264">
        <f t="shared" si="2"/>
        <v>125738854.99999999</v>
      </c>
      <c r="Q30" s="265">
        <f t="shared" si="3"/>
        <v>3.992977294379167</v>
      </c>
    </row>
    <row r="31" spans="1:18" ht="15" customHeight="1">
      <c r="A31" s="3"/>
      <c r="B31" s="3"/>
      <c r="C31" s="260" t="s">
        <v>311</v>
      </c>
      <c r="D31" s="261">
        <v>261820.11</v>
      </c>
      <c r="E31" s="262">
        <v>670649.61</v>
      </c>
      <c r="F31" s="262">
        <v>810598.01</v>
      </c>
      <c r="G31" s="262">
        <v>865002.57</v>
      </c>
      <c r="H31" s="262">
        <v>766364.84</v>
      </c>
      <c r="I31" s="262">
        <v>786359.24</v>
      </c>
      <c r="J31" s="262">
        <v>940708.12</v>
      </c>
      <c r="K31" s="262">
        <v>1110722.05</v>
      </c>
      <c r="L31" s="262">
        <v>742103.54</v>
      </c>
      <c r="M31" s="262">
        <v>994442.27</v>
      </c>
      <c r="N31" s="262">
        <v>735907.3</v>
      </c>
      <c r="O31" s="263">
        <v>1302914.6000000001</v>
      </c>
      <c r="P31" s="264">
        <f>SUM(D31:O31)</f>
        <v>9987592.2599999998</v>
      </c>
      <c r="Q31" s="265">
        <f t="shared" si="3"/>
        <v>0.31716710892346772</v>
      </c>
    </row>
    <row r="32" spans="1:18" ht="15" customHeight="1">
      <c r="A32" s="3"/>
      <c r="B32" s="3"/>
      <c r="C32" s="260" t="s">
        <v>27</v>
      </c>
      <c r="D32" s="261">
        <v>426136.81</v>
      </c>
      <c r="E32" s="262">
        <v>631535</v>
      </c>
      <c r="F32" s="262">
        <v>859639.5</v>
      </c>
      <c r="G32" s="262">
        <v>777083.65</v>
      </c>
      <c r="H32" s="262">
        <v>731515.96</v>
      </c>
      <c r="I32" s="262">
        <v>996524.67</v>
      </c>
      <c r="J32" s="262">
        <v>1040773.6</v>
      </c>
      <c r="K32" s="262">
        <v>1111389.01</v>
      </c>
      <c r="L32" s="262">
        <v>619656.36</v>
      </c>
      <c r="M32" s="262">
        <v>876041.48</v>
      </c>
      <c r="N32" s="262">
        <v>721880.24</v>
      </c>
      <c r="O32" s="263">
        <v>1230110.79</v>
      </c>
      <c r="P32" s="264">
        <f t="shared" si="2"/>
        <v>10022287.07</v>
      </c>
      <c r="Q32" s="265">
        <f t="shared" si="3"/>
        <v>0.3182688812321372</v>
      </c>
    </row>
    <row r="33" spans="1:17" ht="15" customHeight="1">
      <c r="A33" s="3"/>
      <c r="B33" s="3"/>
      <c r="C33" s="266" t="s">
        <v>29</v>
      </c>
      <c r="D33" s="267">
        <f>+SUM(D34:D37)</f>
        <v>803062.28</v>
      </c>
      <c r="E33" s="268">
        <f t="shared" ref="E33:O33" si="5">+SUM(E34:E37)</f>
        <v>835376.39</v>
      </c>
      <c r="F33" s="268">
        <f t="shared" si="5"/>
        <v>1072659.4200000002</v>
      </c>
      <c r="G33" s="269">
        <f t="shared" si="5"/>
        <v>1109363.0499999998</v>
      </c>
      <c r="H33" s="269">
        <f t="shared" si="5"/>
        <v>1099270.6500000001</v>
      </c>
      <c r="I33" s="269">
        <f t="shared" si="5"/>
        <v>1253551.57</v>
      </c>
      <c r="J33" s="269">
        <f t="shared" si="5"/>
        <v>1289824.8500000001</v>
      </c>
      <c r="K33" s="269">
        <f t="shared" si="5"/>
        <v>1278055.56</v>
      </c>
      <c r="L33" s="269">
        <f t="shared" si="5"/>
        <v>1133050.1499999999</v>
      </c>
      <c r="M33" s="269">
        <f t="shared" si="5"/>
        <v>2484009.87</v>
      </c>
      <c r="N33" s="269">
        <f t="shared" si="5"/>
        <v>1819882.3900000001</v>
      </c>
      <c r="O33" s="270">
        <f t="shared" si="5"/>
        <v>3820100.11</v>
      </c>
      <c r="P33" s="271">
        <f t="shared" si="2"/>
        <v>17998206.290000003</v>
      </c>
      <c r="Q33" s="272">
        <f t="shared" si="3"/>
        <v>0.5715530736741824</v>
      </c>
    </row>
    <row r="34" spans="1:17" ht="15" customHeight="1">
      <c r="A34" s="3"/>
      <c r="B34" s="3"/>
      <c r="C34" s="260" t="s">
        <v>31</v>
      </c>
      <c r="D34" s="261">
        <v>519954.63</v>
      </c>
      <c r="E34" s="262">
        <v>547311.54</v>
      </c>
      <c r="F34" s="262">
        <v>728275.64</v>
      </c>
      <c r="G34" s="262">
        <v>742069.25</v>
      </c>
      <c r="H34" s="262">
        <v>789988.97</v>
      </c>
      <c r="I34" s="262">
        <v>831253.16</v>
      </c>
      <c r="J34" s="262">
        <v>788624.18</v>
      </c>
      <c r="K34" s="262">
        <v>788905.59</v>
      </c>
      <c r="L34" s="262">
        <v>626373.48</v>
      </c>
      <c r="M34" s="262">
        <v>904066.73</v>
      </c>
      <c r="N34" s="262">
        <v>612584.25</v>
      </c>
      <c r="O34" s="263">
        <v>665074.38</v>
      </c>
      <c r="P34" s="264">
        <f t="shared" si="2"/>
        <v>8544481.8000000007</v>
      </c>
      <c r="Q34" s="265">
        <f t="shared" si="3"/>
        <v>0.27133953000952682</v>
      </c>
    </row>
    <row r="35" spans="1:17" ht="15" customHeight="1">
      <c r="A35" s="3"/>
      <c r="B35" s="3"/>
      <c r="C35" s="260" t="s">
        <v>32</v>
      </c>
      <c r="D35" s="261">
        <v>247589.66</v>
      </c>
      <c r="E35" s="262">
        <v>252773.36</v>
      </c>
      <c r="F35" s="262">
        <v>319795.43</v>
      </c>
      <c r="G35" s="262">
        <v>339127.23</v>
      </c>
      <c r="H35" s="262">
        <v>263103.05</v>
      </c>
      <c r="I35" s="262">
        <v>325661.40000000002</v>
      </c>
      <c r="J35" s="262">
        <v>282799</v>
      </c>
      <c r="K35" s="262">
        <v>199526.56</v>
      </c>
      <c r="L35" s="262">
        <v>280321.98</v>
      </c>
      <c r="M35" s="262">
        <v>289811.44</v>
      </c>
      <c r="N35" s="262">
        <v>325677.03999999998</v>
      </c>
      <c r="O35" s="263">
        <v>348890.61</v>
      </c>
      <c r="P35" s="264">
        <f t="shared" si="2"/>
        <v>3475076.76</v>
      </c>
      <c r="Q35" s="265">
        <f t="shared" si="3"/>
        <v>0.11035493045411242</v>
      </c>
    </row>
    <row r="36" spans="1:17" ht="15" customHeight="1">
      <c r="A36" s="3"/>
      <c r="B36" s="3"/>
      <c r="C36" s="260" t="s">
        <v>34</v>
      </c>
      <c r="D36" s="261">
        <v>14861.66</v>
      </c>
      <c r="E36" s="262">
        <v>5374.77</v>
      </c>
      <c r="F36" s="262">
        <v>5399.35</v>
      </c>
      <c r="G36" s="262">
        <v>9826.15</v>
      </c>
      <c r="H36" s="262">
        <v>13154.85</v>
      </c>
      <c r="I36" s="262">
        <v>34509.61</v>
      </c>
      <c r="J36" s="262">
        <v>113075.53</v>
      </c>
      <c r="K36" s="262">
        <v>144390.32999999999</v>
      </c>
      <c r="L36" s="262">
        <v>75874.92</v>
      </c>
      <c r="M36" s="262">
        <v>51819.16</v>
      </c>
      <c r="N36" s="262">
        <v>14792.63</v>
      </c>
      <c r="O36" s="263">
        <v>8896.99</v>
      </c>
      <c r="P36" s="264">
        <f t="shared" si="2"/>
        <v>491975.94999999995</v>
      </c>
      <c r="Q36" s="265">
        <f t="shared" si="3"/>
        <v>1.5623243886948236E-2</v>
      </c>
    </row>
    <row r="37" spans="1:17" ht="15" customHeight="1">
      <c r="A37" s="3"/>
      <c r="B37" s="3"/>
      <c r="C37" s="260" t="s">
        <v>37</v>
      </c>
      <c r="D37" s="261">
        <v>20656.330000000002</v>
      </c>
      <c r="E37" s="262">
        <v>29916.720000000001</v>
      </c>
      <c r="F37" s="262">
        <v>19189</v>
      </c>
      <c r="G37" s="262">
        <v>18340.419999999998</v>
      </c>
      <c r="H37" s="262">
        <v>33023.78</v>
      </c>
      <c r="I37" s="262">
        <v>62127.4</v>
      </c>
      <c r="J37" s="262">
        <v>105326.14</v>
      </c>
      <c r="K37" s="262">
        <v>145233.07999999999</v>
      </c>
      <c r="L37" s="262">
        <v>150479.76999999999</v>
      </c>
      <c r="M37" s="262">
        <v>1238312.54</v>
      </c>
      <c r="N37" s="262">
        <v>866828.47</v>
      </c>
      <c r="O37" s="263">
        <v>2797238.13</v>
      </c>
      <c r="P37" s="264">
        <f t="shared" si="2"/>
        <v>5486671.7800000003</v>
      </c>
      <c r="Q37" s="265">
        <f t="shared" si="3"/>
        <v>0.17423536932359479</v>
      </c>
    </row>
    <row r="38" spans="1:17" ht="15" customHeight="1">
      <c r="A38" s="3"/>
      <c r="B38" s="3"/>
      <c r="C38" s="266" t="s">
        <v>39</v>
      </c>
      <c r="D38" s="267">
        <f>+SUM(D39:D44)</f>
        <v>839122.82</v>
      </c>
      <c r="E38" s="268">
        <f t="shared" ref="E38:O38" si="6">+SUM(E39:E44)</f>
        <v>792117.05</v>
      </c>
      <c r="F38" s="268">
        <f t="shared" si="6"/>
        <v>742715.4</v>
      </c>
      <c r="G38" s="269">
        <f t="shared" si="6"/>
        <v>1304057.26</v>
      </c>
      <c r="H38" s="269">
        <f t="shared" si="6"/>
        <v>850650.9</v>
      </c>
      <c r="I38" s="269">
        <f t="shared" si="6"/>
        <v>1029014.73</v>
      </c>
      <c r="J38" s="269">
        <f t="shared" si="6"/>
        <v>1709413.33</v>
      </c>
      <c r="K38" s="269">
        <f t="shared" si="6"/>
        <v>992598.97</v>
      </c>
      <c r="L38" s="269">
        <f t="shared" si="6"/>
        <v>1163836.81</v>
      </c>
      <c r="M38" s="269">
        <f t="shared" si="6"/>
        <v>982068.49</v>
      </c>
      <c r="N38" s="269">
        <f t="shared" si="6"/>
        <v>787100.62999999989</v>
      </c>
      <c r="O38" s="270">
        <f t="shared" si="6"/>
        <v>1513418.92</v>
      </c>
      <c r="P38" s="271">
        <f t="shared" si="2"/>
        <v>12706115.310000001</v>
      </c>
      <c r="Q38" s="272">
        <f t="shared" si="3"/>
        <v>0.40349683423308985</v>
      </c>
    </row>
    <row r="39" spans="1:17" ht="15" customHeight="1">
      <c r="A39" s="3"/>
      <c r="B39" s="3"/>
      <c r="C39" s="260" t="s">
        <v>329</v>
      </c>
      <c r="D39" s="261">
        <v>55049.09</v>
      </c>
      <c r="E39" s="262">
        <v>17306.62</v>
      </c>
      <c r="F39" s="262">
        <v>16879.599999999999</v>
      </c>
      <c r="G39" s="262">
        <v>20157.53</v>
      </c>
      <c r="H39" s="262">
        <v>22455.27</v>
      </c>
      <c r="I39" s="262">
        <v>21824.22</v>
      </c>
      <c r="J39" s="262">
        <v>43122.11</v>
      </c>
      <c r="K39" s="262">
        <v>66384.289999999994</v>
      </c>
      <c r="L39" s="262">
        <v>81765.37</v>
      </c>
      <c r="M39" s="262">
        <v>88908.68</v>
      </c>
      <c r="N39" s="262">
        <v>55540.52</v>
      </c>
      <c r="O39" s="263">
        <v>73978.039999999994</v>
      </c>
      <c r="P39" s="264">
        <f t="shared" si="2"/>
        <v>563371.34</v>
      </c>
      <c r="Q39" s="265">
        <f t="shared" si="3"/>
        <v>1.7890483963162909E-2</v>
      </c>
    </row>
    <row r="40" spans="1:17" ht="15" customHeight="1">
      <c r="A40" s="3"/>
      <c r="B40" s="3"/>
      <c r="C40" s="260" t="s">
        <v>312</v>
      </c>
      <c r="D40" s="261">
        <v>45159</v>
      </c>
      <c r="E40" s="262">
        <v>65694.95</v>
      </c>
      <c r="F40" s="262">
        <v>71910.320000000007</v>
      </c>
      <c r="G40" s="262">
        <v>97300.91</v>
      </c>
      <c r="H40" s="262">
        <v>117038.96</v>
      </c>
      <c r="I40" s="262">
        <v>127415.44</v>
      </c>
      <c r="J40" s="262">
        <v>133240.70000000001</v>
      </c>
      <c r="K40" s="262">
        <v>161946.03</v>
      </c>
      <c r="L40" s="262">
        <v>129649.1</v>
      </c>
      <c r="M40" s="262">
        <v>165061.20000000001</v>
      </c>
      <c r="N40" s="262">
        <v>108683.76</v>
      </c>
      <c r="O40" s="263">
        <v>153822.89000000001</v>
      </c>
      <c r="P40" s="264">
        <f t="shared" si="2"/>
        <v>1376923.2600000002</v>
      </c>
      <c r="Q40" s="265">
        <f t="shared" si="3"/>
        <v>4.3725730708161326E-2</v>
      </c>
    </row>
    <row r="41" spans="1:17" ht="15" customHeight="1">
      <c r="A41" s="3"/>
      <c r="B41" s="3"/>
      <c r="C41" s="260" t="s">
        <v>45</v>
      </c>
      <c r="D41" s="261">
        <v>178437.34</v>
      </c>
      <c r="E41" s="262">
        <v>1601.92</v>
      </c>
      <c r="F41" s="262">
        <v>9698.7999999999993</v>
      </c>
      <c r="G41" s="262">
        <v>51841.13</v>
      </c>
      <c r="H41" s="262">
        <v>7885.79</v>
      </c>
      <c r="I41" s="262">
        <v>169044.61</v>
      </c>
      <c r="J41" s="262">
        <v>34712.1</v>
      </c>
      <c r="K41" s="262">
        <v>31526.95</v>
      </c>
      <c r="L41" s="262">
        <v>61175.45</v>
      </c>
      <c r="M41" s="262">
        <v>64653.66</v>
      </c>
      <c r="N41" s="262">
        <v>338.73</v>
      </c>
      <c r="O41" s="263">
        <v>43379.7</v>
      </c>
      <c r="P41" s="264">
        <f t="shared" si="2"/>
        <v>654296.17999999993</v>
      </c>
      <c r="Q41" s="265">
        <f t="shared" si="3"/>
        <v>2.0777903461416322E-2</v>
      </c>
    </row>
    <row r="42" spans="1:17" ht="15" customHeight="1">
      <c r="A42" s="3"/>
      <c r="B42" s="3"/>
      <c r="C42" s="260" t="s">
        <v>313</v>
      </c>
      <c r="D42" s="261">
        <v>206077.15</v>
      </c>
      <c r="E42" s="262">
        <v>279371.71000000002</v>
      </c>
      <c r="F42" s="262">
        <v>313567.45</v>
      </c>
      <c r="G42" s="262">
        <v>254149.11</v>
      </c>
      <c r="H42" s="262">
        <v>238988.77</v>
      </c>
      <c r="I42" s="262">
        <v>229639.52</v>
      </c>
      <c r="J42" s="262">
        <v>321629.11</v>
      </c>
      <c r="K42" s="262">
        <v>297617.15999999997</v>
      </c>
      <c r="L42" s="262">
        <v>187845.2</v>
      </c>
      <c r="M42" s="262">
        <v>263708.39</v>
      </c>
      <c r="N42" s="262">
        <v>308276.75</v>
      </c>
      <c r="O42" s="263">
        <v>418222.51</v>
      </c>
      <c r="P42" s="264">
        <f t="shared" si="2"/>
        <v>3319092.83</v>
      </c>
      <c r="Q42" s="265">
        <f t="shared" si="3"/>
        <v>0.10540148713877422</v>
      </c>
    </row>
    <row r="43" spans="1:17" ht="15" customHeight="1">
      <c r="A43" s="3"/>
      <c r="B43" s="3"/>
      <c r="C43" s="260" t="s">
        <v>314</v>
      </c>
      <c r="D43" s="261">
        <v>245088</v>
      </c>
      <c r="E43" s="262">
        <v>217809.7</v>
      </c>
      <c r="F43" s="262">
        <v>213761.85</v>
      </c>
      <c r="G43" s="262">
        <v>208650.17</v>
      </c>
      <c r="H43" s="262">
        <v>325701.71999999997</v>
      </c>
      <c r="I43" s="262">
        <v>353440.47</v>
      </c>
      <c r="J43" s="262">
        <v>347586.8</v>
      </c>
      <c r="K43" s="262">
        <v>320443.98</v>
      </c>
      <c r="L43" s="262">
        <v>544299.9</v>
      </c>
      <c r="M43" s="262">
        <v>171140.58</v>
      </c>
      <c r="N43" s="262">
        <v>201875.69</v>
      </c>
      <c r="O43" s="263">
        <v>177610.82</v>
      </c>
      <c r="P43" s="264">
        <f t="shared" si="2"/>
        <v>3327409.6799999997</v>
      </c>
      <c r="Q43" s="265">
        <f t="shared" si="3"/>
        <v>0.10566559796760876</v>
      </c>
    </row>
    <row r="44" spans="1:17" ht="15" customHeight="1">
      <c r="A44" s="3"/>
      <c r="B44" s="3"/>
      <c r="C44" s="260" t="s">
        <v>51</v>
      </c>
      <c r="D44" s="261">
        <v>109312.24</v>
      </c>
      <c r="E44" s="262">
        <v>210332.15</v>
      </c>
      <c r="F44" s="262">
        <v>116897.38</v>
      </c>
      <c r="G44" s="262">
        <v>671958.41</v>
      </c>
      <c r="H44" s="262">
        <v>138580.39000000001</v>
      </c>
      <c r="I44" s="262">
        <v>127650.47</v>
      </c>
      <c r="J44" s="262">
        <v>829122.51</v>
      </c>
      <c r="K44" s="262">
        <v>114680.56</v>
      </c>
      <c r="L44" s="262">
        <v>159101.79</v>
      </c>
      <c r="M44" s="262">
        <v>228595.98</v>
      </c>
      <c r="N44" s="262">
        <v>112385.18</v>
      </c>
      <c r="O44" s="263">
        <v>646404.96</v>
      </c>
      <c r="P44" s="264">
        <f t="shared" si="2"/>
        <v>3465022.0200000005</v>
      </c>
      <c r="Q44" s="265">
        <f t="shared" si="3"/>
        <v>0.11003563099396636</v>
      </c>
    </row>
    <row r="45" spans="1:17" ht="15" customHeight="1">
      <c r="A45" s="3"/>
      <c r="B45" s="3"/>
      <c r="C45" s="266" t="s">
        <v>53</v>
      </c>
      <c r="D45" s="267">
        <f>+SUM(D46:D49)</f>
        <v>977196.86</v>
      </c>
      <c r="E45" s="268">
        <f t="shared" ref="E45:O45" si="7">+SUM(E46:E49)</f>
        <v>1896628.8599999999</v>
      </c>
      <c r="F45" s="268">
        <f t="shared" si="7"/>
        <v>2487819.8499999996</v>
      </c>
      <c r="G45" s="269">
        <f t="shared" si="7"/>
        <v>1782955.79</v>
      </c>
      <c r="H45" s="269">
        <f t="shared" si="7"/>
        <v>1949221.93</v>
      </c>
      <c r="I45" s="269">
        <f t="shared" si="7"/>
        <v>1597266.31</v>
      </c>
      <c r="J45" s="269">
        <f t="shared" si="7"/>
        <v>3675711.37</v>
      </c>
      <c r="K45" s="269">
        <f t="shared" si="7"/>
        <v>2499744.7200000002</v>
      </c>
      <c r="L45" s="269">
        <f t="shared" si="7"/>
        <v>1522592.85</v>
      </c>
      <c r="M45" s="269">
        <f t="shared" si="7"/>
        <v>2633711.13</v>
      </c>
      <c r="N45" s="269">
        <f t="shared" si="7"/>
        <v>2223741.7000000002</v>
      </c>
      <c r="O45" s="273">
        <f t="shared" si="7"/>
        <v>11873869.82</v>
      </c>
      <c r="P45" s="271">
        <f t="shared" si="2"/>
        <v>35120461.189999998</v>
      </c>
      <c r="Q45" s="272">
        <f t="shared" si="3"/>
        <v>1.1152893359796761</v>
      </c>
    </row>
    <row r="46" spans="1:17" ht="15" customHeight="1">
      <c r="A46" s="3"/>
      <c r="B46" s="3"/>
      <c r="C46" s="260" t="s">
        <v>55</v>
      </c>
      <c r="D46" s="261">
        <v>141489.54</v>
      </c>
      <c r="E46" s="262">
        <v>285221.32</v>
      </c>
      <c r="F46" s="262">
        <v>419392.41</v>
      </c>
      <c r="G46" s="262">
        <v>408464.22</v>
      </c>
      <c r="H46" s="262">
        <v>93664.4</v>
      </c>
      <c r="I46" s="262">
        <v>126926.84</v>
      </c>
      <c r="J46" s="262">
        <v>1776283.64</v>
      </c>
      <c r="K46" s="262">
        <v>126438.83</v>
      </c>
      <c r="L46" s="262">
        <v>55918.96</v>
      </c>
      <c r="M46" s="262">
        <v>39667.89</v>
      </c>
      <c r="N46" s="262">
        <v>769292.95</v>
      </c>
      <c r="O46" s="274">
        <v>8537550.9100000001</v>
      </c>
      <c r="P46" s="264">
        <f t="shared" si="2"/>
        <v>12780311.91</v>
      </c>
      <c r="Q46" s="265">
        <f t="shared" si="3"/>
        <v>0.40585302985074628</v>
      </c>
    </row>
    <row r="47" spans="1:17" ht="15" customHeight="1">
      <c r="A47" s="3"/>
      <c r="B47" s="3"/>
      <c r="C47" s="260" t="s">
        <v>57</v>
      </c>
      <c r="D47" s="261">
        <v>394898.64</v>
      </c>
      <c r="E47" s="262">
        <v>492027.45</v>
      </c>
      <c r="F47" s="262">
        <v>704590.7</v>
      </c>
      <c r="G47" s="262">
        <v>637820</v>
      </c>
      <c r="H47" s="262">
        <v>695594.63</v>
      </c>
      <c r="I47" s="262">
        <v>670451.38</v>
      </c>
      <c r="J47" s="262">
        <v>991510.75</v>
      </c>
      <c r="K47" s="262">
        <v>1145293.46</v>
      </c>
      <c r="L47" s="262">
        <v>744189.43</v>
      </c>
      <c r="M47" s="262">
        <v>738665.21</v>
      </c>
      <c r="N47" s="262">
        <v>706328.8</v>
      </c>
      <c r="O47" s="274">
        <v>826891.66</v>
      </c>
      <c r="P47" s="264">
        <f t="shared" si="2"/>
        <v>8748262.1099999994</v>
      </c>
      <c r="Q47" s="265">
        <f t="shared" si="3"/>
        <v>0.27781080057161001</v>
      </c>
    </row>
    <row r="48" spans="1:17" ht="15" customHeight="1">
      <c r="A48" s="3"/>
      <c r="B48" s="3"/>
      <c r="C48" s="260" t="s">
        <v>315</v>
      </c>
      <c r="D48" s="261">
        <v>100875.57</v>
      </c>
      <c r="E48" s="262">
        <v>108799.21</v>
      </c>
      <c r="F48" s="262">
        <v>185279.53</v>
      </c>
      <c r="G48" s="262">
        <v>205973.71</v>
      </c>
      <c r="H48" s="262">
        <v>185448.45</v>
      </c>
      <c r="I48" s="262">
        <v>193721.37</v>
      </c>
      <c r="J48" s="262">
        <v>179542.49</v>
      </c>
      <c r="K48" s="262">
        <v>156200.82</v>
      </c>
      <c r="L48" s="262">
        <v>144288.17000000001</v>
      </c>
      <c r="M48" s="262">
        <v>154848.17000000001</v>
      </c>
      <c r="N48" s="262">
        <v>139736.65</v>
      </c>
      <c r="O48" s="274">
        <v>252440.77</v>
      </c>
      <c r="P48" s="264">
        <f t="shared" si="2"/>
        <v>2007154.91</v>
      </c>
      <c r="Q48" s="265">
        <f t="shared" si="3"/>
        <v>6.373943823436011E-2</v>
      </c>
    </row>
    <row r="49" spans="1:32">
      <c r="A49" s="3"/>
      <c r="B49" s="3"/>
      <c r="C49" s="260" t="s">
        <v>53</v>
      </c>
      <c r="D49" s="261">
        <v>339933.11</v>
      </c>
      <c r="E49" s="262">
        <v>1010580.88</v>
      </c>
      <c r="F49" s="262">
        <v>1178557.21</v>
      </c>
      <c r="G49" s="262">
        <v>530697.86</v>
      </c>
      <c r="H49" s="262">
        <v>974514.45</v>
      </c>
      <c r="I49" s="262">
        <v>606166.72</v>
      </c>
      <c r="J49" s="262">
        <v>728374.49</v>
      </c>
      <c r="K49" s="262">
        <v>1071811.6100000001</v>
      </c>
      <c r="L49" s="262">
        <v>578196.29</v>
      </c>
      <c r="M49" s="262">
        <v>1700529.86</v>
      </c>
      <c r="N49" s="262">
        <v>608383.30000000005</v>
      </c>
      <c r="O49" s="274">
        <v>2256986.48</v>
      </c>
      <c r="P49" s="264">
        <f t="shared" si="2"/>
        <v>11584732.260000002</v>
      </c>
      <c r="Q49" s="265">
        <f t="shared" si="3"/>
        <v>0.3678860673229597</v>
      </c>
    </row>
    <row r="50" spans="1:32" ht="17.25" customHeight="1" thickBot="1">
      <c r="A50" s="3"/>
      <c r="B50" s="3"/>
      <c r="C50" s="275" t="s">
        <v>256</v>
      </c>
      <c r="D50" s="276">
        <v>487675.47</v>
      </c>
      <c r="E50" s="277">
        <v>308916.07</v>
      </c>
      <c r="F50" s="277">
        <v>335775.71</v>
      </c>
      <c r="G50" s="278">
        <v>222463.93</v>
      </c>
      <c r="H50" s="278">
        <v>217424.9</v>
      </c>
      <c r="I50" s="278">
        <v>327224.93</v>
      </c>
      <c r="J50" s="278">
        <v>466576.76</v>
      </c>
      <c r="K50" s="278">
        <v>521075.35</v>
      </c>
      <c r="L50" s="278">
        <v>328801.49</v>
      </c>
      <c r="M50" s="279">
        <v>278822.21999999997</v>
      </c>
      <c r="N50" s="279">
        <v>473545.47</v>
      </c>
      <c r="O50" s="280">
        <v>1530500.2</v>
      </c>
      <c r="P50" s="281">
        <f>SUM(D50:O50)</f>
        <v>5498802.4999999991</v>
      </c>
      <c r="Q50" s="282">
        <f t="shared" si="3"/>
        <v>0.17462059383931403</v>
      </c>
      <c r="R50" s="4"/>
      <c r="S50" s="4"/>
      <c r="T50" s="4"/>
    </row>
    <row r="51" spans="1:32" ht="14.25" thickTop="1" thickBot="1">
      <c r="A51" s="3"/>
      <c r="B51" s="3"/>
      <c r="C51" s="248" t="s">
        <v>62</v>
      </c>
      <c r="D51" s="283">
        <f>D53+D68+D74+D80+D81+D82+D83+D84</f>
        <v>54790947.678333335</v>
      </c>
      <c r="E51" s="283">
        <f>E53+E68+E74+E80+E81+E82+E83+E84</f>
        <v>101044104.81833334</v>
      </c>
      <c r="F51" s="283">
        <f t="shared" ref="F51:O51" si="8">F53+F68+F74+F80+F81+F82+F83+F84</f>
        <v>82810008.258333325</v>
      </c>
      <c r="G51" s="283">
        <f t="shared" si="8"/>
        <v>167672420.09833333</v>
      </c>
      <c r="H51" s="283">
        <f t="shared" si="8"/>
        <v>99740320.848333329</v>
      </c>
      <c r="I51" s="283">
        <f t="shared" si="8"/>
        <v>102046738.66833334</v>
      </c>
      <c r="J51" s="283">
        <f t="shared" si="8"/>
        <v>110054040.65833333</v>
      </c>
      <c r="K51" s="283">
        <f t="shared" si="8"/>
        <v>103006114.50833333</v>
      </c>
      <c r="L51" s="283">
        <f t="shared" si="8"/>
        <v>108953386.84833331</v>
      </c>
      <c r="M51" s="283">
        <f t="shared" si="8"/>
        <v>105792718.43833335</v>
      </c>
      <c r="N51" s="283">
        <f t="shared" si="8"/>
        <v>110816200.94833334</v>
      </c>
      <c r="O51" s="283">
        <f t="shared" si="8"/>
        <v>187147965.17833331</v>
      </c>
      <c r="P51" s="250">
        <f>SUM(D51:O51)</f>
        <v>1333874966.95</v>
      </c>
      <c r="Q51" s="251">
        <f t="shared" si="3"/>
        <v>42.358684247380125</v>
      </c>
      <c r="R51" s="4"/>
      <c r="S51" s="4"/>
      <c r="T51" s="4"/>
    </row>
    <row r="52" spans="1:32" ht="14.25" thickTop="1" thickBot="1">
      <c r="A52" s="3"/>
      <c r="B52" s="3"/>
      <c r="C52" s="248" t="s">
        <v>126</v>
      </c>
      <c r="D52" s="283">
        <f t="shared" ref="D52:O52" si="9">D51-D80</f>
        <v>51143106.130000003</v>
      </c>
      <c r="E52" s="283">
        <f t="shared" si="9"/>
        <v>96391995.530000016</v>
      </c>
      <c r="F52" s="283">
        <f t="shared" si="9"/>
        <v>80169488.339999989</v>
      </c>
      <c r="G52" s="283">
        <f t="shared" si="9"/>
        <v>162882210.25999999</v>
      </c>
      <c r="H52" s="283">
        <f t="shared" si="9"/>
        <v>93252424.189999998</v>
      </c>
      <c r="I52" s="283">
        <f t="shared" si="9"/>
        <v>96429554.670000002</v>
      </c>
      <c r="J52" s="283">
        <f t="shared" si="9"/>
        <v>103062049.17</v>
      </c>
      <c r="K52" s="283">
        <f t="shared" si="9"/>
        <v>93837462.419999987</v>
      </c>
      <c r="L52" s="283">
        <f t="shared" si="9"/>
        <v>102904789.73999998</v>
      </c>
      <c r="M52" s="283">
        <f t="shared" si="9"/>
        <v>99413606.270000011</v>
      </c>
      <c r="N52" s="283">
        <f t="shared" si="9"/>
        <v>104402792.45</v>
      </c>
      <c r="O52" s="283">
        <f t="shared" si="9"/>
        <v>173942787.79999998</v>
      </c>
      <c r="P52" s="250">
        <f>SUM(D52:O52)</f>
        <v>1257832266.9699998</v>
      </c>
      <c r="Q52" s="251">
        <f t="shared" si="3"/>
        <v>39.943863670053979</v>
      </c>
      <c r="R52" s="4"/>
      <c r="S52" s="4"/>
      <c r="T52" s="4"/>
    </row>
    <row r="53" spans="1:32" ht="13.5" thickTop="1">
      <c r="A53" s="3"/>
      <c r="B53" s="3"/>
      <c r="C53" s="266" t="s">
        <v>63</v>
      </c>
      <c r="D53" s="284">
        <f>+D54+SUM(D60:D67)</f>
        <v>12595475.42</v>
      </c>
      <c r="E53" s="285">
        <f t="shared" ref="E53:O53" si="10">+E54+SUM(E60:E67)</f>
        <v>52056412.079999998</v>
      </c>
      <c r="F53" s="285">
        <f t="shared" si="10"/>
        <v>40691686.250000007</v>
      </c>
      <c r="G53" s="286">
        <f t="shared" si="10"/>
        <v>91155529.419999987</v>
      </c>
      <c r="H53" s="286">
        <f t="shared" si="10"/>
        <v>49651560.570000008</v>
      </c>
      <c r="I53" s="286">
        <f t="shared" si="10"/>
        <v>53492157.5</v>
      </c>
      <c r="J53" s="286">
        <f t="shared" si="10"/>
        <v>59241327.510000005</v>
      </c>
      <c r="K53" s="286">
        <f t="shared" si="10"/>
        <v>51445121.139999993</v>
      </c>
      <c r="L53" s="286">
        <f t="shared" si="10"/>
        <v>57526372.359999999</v>
      </c>
      <c r="M53" s="286">
        <f t="shared" si="10"/>
        <v>53189576.38000001</v>
      </c>
      <c r="N53" s="287">
        <f t="shared" si="10"/>
        <v>58530949.110000014</v>
      </c>
      <c r="O53" s="288">
        <f t="shared" si="10"/>
        <v>87426816.359999999</v>
      </c>
      <c r="P53" s="289">
        <f t="shared" si="2"/>
        <v>667002984.10000002</v>
      </c>
      <c r="Q53" s="290">
        <f t="shared" si="3"/>
        <v>21.181422168942522</v>
      </c>
      <c r="R53" s="4"/>
      <c r="S53" s="4"/>
      <c r="T53" s="4"/>
    </row>
    <row r="54" spans="1:32">
      <c r="A54" s="3"/>
      <c r="B54" s="3"/>
      <c r="C54" s="266" t="s">
        <v>64</v>
      </c>
      <c r="D54" s="291">
        <f>+SUM(D55:D59)</f>
        <v>4283.5</v>
      </c>
      <c r="E54" s="292">
        <f t="shared" ref="E54:O54" si="11">+SUM(E55:E59)</f>
        <v>31275360.899999995</v>
      </c>
      <c r="F54" s="292">
        <f t="shared" si="11"/>
        <v>27711888.080000009</v>
      </c>
      <c r="G54" s="286">
        <f t="shared" si="11"/>
        <v>47396528.219999991</v>
      </c>
      <c r="H54" s="286">
        <f t="shared" si="11"/>
        <v>26799661.280000005</v>
      </c>
      <c r="I54" s="286">
        <f t="shared" si="11"/>
        <v>32154932.089999996</v>
      </c>
      <c r="J54" s="286">
        <f t="shared" si="11"/>
        <v>35534328.460000016</v>
      </c>
      <c r="K54" s="286">
        <f t="shared" si="11"/>
        <v>35059305.25999999</v>
      </c>
      <c r="L54" s="286">
        <f t="shared" si="11"/>
        <v>21069030.100000005</v>
      </c>
      <c r="M54" s="286">
        <f t="shared" si="11"/>
        <v>31269261.440000009</v>
      </c>
      <c r="N54" s="286">
        <f t="shared" si="11"/>
        <v>40127527.99000001</v>
      </c>
      <c r="O54" s="288">
        <f t="shared" si="11"/>
        <v>46251200.310000002</v>
      </c>
      <c r="P54" s="289">
        <f t="shared" si="2"/>
        <v>374653307.63</v>
      </c>
      <c r="Q54" s="293">
        <f t="shared" si="3"/>
        <v>11.897532792315021</v>
      </c>
      <c r="R54" s="180"/>
      <c r="S54" s="4"/>
      <c r="T54" s="4"/>
    </row>
    <row r="55" spans="1:32">
      <c r="A55" s="3"/>
      <c r="B55" s="3"/>
      <c r="C55" s="260" t="s">
        <v>66</v>
      </c>
      <c r="D55" s="261">
        <v>2599.2600000000002</v>
      </c>
      <c r="E55" s="294">
        <v>20211919.549999993</v>
      </c>
      <c r="F55" s="294">
        <v>16943393.250000011</v>
      </c>
      <c r="G55" s="262">
        <v>32039859.959999982</v>
      </c>
      <c r="H55" s="262">
        <v>13787478.570000002</v>
      </c>
      <c r="I55" s="262">
        <v>19017121.489999998</v>
      </c>
      <c r="J55" s="262">
        <v>22124076.520000011</v>
      </c>
      <c r="K55" s="262">
        <v>19956577.359999999</v>
      </c>
      <c r="L55" s="262">
        <v>11218478.510000004</v>
      </c>
      <c r="M55" s="262">
        <v>18578252.529999997</v>
      </c>
      <c r="N55" s="294">
        <v>27550696.930000007</v>
      </c>
      <c r="O55" s="263">
        <v>21676411.999999993</v>
      </c>
      <c r="P55" s="295">
        <f t="shared" si="2"/>
        <v>223106865.92999998</v>
      </c>
      <c r="Q55" s="296">
        <f t="shared" si="3"/>
        <v>7.0850068570974907</v>
      </c>
      <c r="R55" s="180"/>
      <c r="S55" s="4"/>
      <c r="T55" s="4"/>
    </row>
    <row r="56" spans="1:32">
      <c r="A56" s="3"/>
      <c r="B56" s="3"/>
      <c r="C56" s="260" t="s">
        <v>68</v>
      </c>
      <c r="D56" s="261">
        <v>491.35</v>
      </c>
      <c r="E56" s="294">
        <v>2347250.9700000002</v>
      </c>
      <c r="F56" s="294">
        <v>1937857.879999999</v>
      </c>
      <c r="G56" s="262">
        <v>2940885.09</v>
      </c>
      <c r="H56" s="262">
        <v>2499706.9300000011</v>
      </c>
      <c r="I56" s="262">
        <v>2530637.1800000011</v>
      </c>
      <c r="J56" s="262">
        <v>2581751.27</v>
      </c>
      <c r="K56" s="262">
        <v>2885481.7499999991</v>
      </c>
      <c r="L56" s="262">
        <v>1987970.9600000007</v>
      </c>
      <c r="M56" s="262">
        <v>2458771.5499999998</v>
      </c>
      <c r="N56" s="294">
        <v>2453928.9400000009</v>
      </c>
      <c r="O56" s="263">
        <v>4773345.9300000025</v>
      </c>
      <c r="P56" s="295">
        <f t="shared" si="2"/>
        <v>29398079.800000008</v>
      </c>
      <c r="Q56" s="296">
        <f t="shared" si="3"/>
        <v>0.93356874563353465</v>
      </c>
      <c r="R56" s="180"/>
      <c r="S56" s="4"/>
      <c r="T56" s="4"/>
    </row>
    <row r="57" spans="1:32">
      <c r="A57" s="3"/>
      <c r="B57" s="3"/>
      <c r="C57" s="260" t="s">
        <v>70</v>
      </c>
      <c r="D57" s="261">
        <v>1119.19</v>
      </c>
      <c r="E57" s="294">
        <v>5216165.66</v>
      </c>
      <c r="F57" s="294">
        <v>5942266.790000001</v>
      </c>
      <c r="G57" s="262">
        <v>7728346.4700000035</v>
      </c>
      <c r="H57" s="262">
        <v>6647730.7200000007</v>
      </c>
      <c r="I57" s="262">
        <v>6688660.9299999997</v>
      </c>
      <c r="J57" s="262">
        <v>6770823.6500000013</v>
      </c>
      <c r="K57" s="262">
        <v>7481637.3799999999</v>
      </c>
      <c r="L57" s="262">
        <v>5178126.330000001</v>
      </c>
      <c r="M57" s="262">
        <v>6435139.7900000075</v>
      </c>
      <c r="N57" s="294">
        <v>6410443.3300000038</v>
      </c>
      <c r="O57" s="263">
        <v>12627525.43</v>
      </c>
      <c r="P57" s="295">
        <f t="shared" si="2"/>
        <v>77127985.670000017</v>
      </c>
      <c r="Q57" s="296">
        <f t="shared" si="3"/>
        <v>2.4492850323912361</v>
      </c>
      <c r="R57" s="180"/>
    </row>
    <row r="58" spans="1:32">
      <c r="A58" s="3"/>
      <c r="B58" s="3"/>
      <c r="C58" s="260" t="s">
        <v>72</v>
      </c>
      <c r="D58" s="261">
        <v>0</v>
      </c>
      <c r="E58" s="294">
        <v>3162904.910000002</v>
      </c>
      <c r="F58" s="294">
        <v>2865206.3099999991</v>
      </c>
      <c r="G58" s="262">
        <v>3997188.2799999984</v>
      </c>
      <c r="H58" s="262">
        <v>3536560.0999999987</v>
      </c>
      <c r="I58" s="262">
        <v>3622381.0299999984</v>
      </c>
      <c r="J58" s="262">
        <v>3633745.7499999991</v>
      </c>
      <c r="K58" s="262">
        <v>4403524.5499999961</v>
      </c>
      <c r="L58" s="262">
        <v>2335694.5800000005</v>
      </c>
      <c r="M58" s="262">
        <v>3432252.810000001</v>
      </c>
      <c r="N58" s="294">
        <v>3380796.5300000012</v>
      </c>
      <c r="O58" s="263">
        <v>6476158.1399999969</v>
      </c>
      <c r="P58" s="295">
        <f t="shared" si="2"/>
        <v>40846412.989999995</v>
      </c>
      <c r="Q58" s="296">
        <f t="shared" si="3"/>
        <v>1.2971233086694187</v>
      </c>
      <c r="R58" s="180"/>
    </row>
    <row r="59" spans="1:32">
      <c r="A59" s="3"/>
      <c r="B59" s="3"/>
      <c r="C59" s="260" t="s">
        <v>129</v>
      </c>
      <c r="D59" s="261">
        <v>73.7</v>
      </c>
      <c r="E59" s="294">
        <v>337119.80999999994</v>
      </c>
      <c r="F59" s="294">
        <v>23163.85</v>
      </c>
      <c r="G59" s="262">
        <v>690248.42000000039</v>
      </c>
      <c r="H59" s="262">
        <v>328184.96000000008</v>
      </c>
      <c r="I59" s="262">
        <v>296131.45999999996</v>
      </c>
      <c r="J59" s="262">
        <v>423931.27000000008</v>
      </c>
      <c r="K59" s="262">
        <v>332084.21999999997</v>
      </c>
      <c r="L59" s="262">
        <v>348759.72</v>
      </c>
      <c r="M59" s="262">
        <v>364844.76000000007</v>
      </c>
      <c r="N59" s="294">
        <v>331662.25999999995</v>
      </c>
      <c r="O59" s="263">
        <v>697758.80999999994</v>
      </c>
      <c r="P59" s="295">
        <f t="shared" si="2"/>
        <v>4173963.24</v>
      </c>
      <c r="Q59" s="296">
        <f t="shared" si="3"/>
        <v>0.13254884852334076</v>
      </c>
    </row>
    <row r="60" spans="1:32">
      <c r="A60" s="3"/>
      <c r="B60" s="3"/>
      <c r="C60" s="266" t="s">
        <v>75</v>
      </c>
      <c r="D60" s="284">
        <v>66647.16</v>
      </c>
      <c r="E60" s="285">
        <v>788157.97</v>
      </c>
      <c r="F60" s="285">
        <v>633801.75</v>
      </c>
      <c r="G60" s="286">
        <v>809278.41</v>
      </c>
      <c r="H60" s="286">
        <v>1013373</v>
      </c>
      <c r="I60" s="286">
        <v>1001254.5199999999</v>
      </c>
      <c r="J60" s="286">
        <v>858111.12</v>
      </c>
      <c r="K60" s="286">
        <v>816983.11</v>
      </c>
      <c r="L60" s="286">
        <v>949692.86</v>
      </c>
      <c r="M60" s="286">
        <v>879601.00999999989</v>
      </c>
      <c r="N60" s="285">
        <v>850889.92000000016</v>
      </c>
      <c r="O60" s="288">
        <v>1395838.9800000004</v>
      </c>
      <c r="P60" s="297">
        <f t="shared" si="2"/>
        <v>10063629.810000001</v>
      </c>
      <c r="Q60" s="298">
        <f t="shared" si="3"/>
        <v>0.31958176595744681</v>
      </c>
    </row>
    <row r="61" spans="1:32" s="2" customFormat="1">
      <c r="C61" s="299" t="s">
        <v>77</v>
      </c>
      <c r="D61" s="284">
        <v>2447085.2899999996</v>
      </c>
      <c r="E61" s="285">
        <v>12316061.990000002</v>
      </c>
      <c r="F61" s="285">
        <v>6447490.9200000009</v>
      </c>
      <c r="G61" s="286">
        <v>20731269.760000002</v>
      </c>
      <c r="H61" s="286">
        <v>14005575.880000003</v>
      </c>
      <c r="I61" s="286">
        <v>9936772.3299999982</v>
      </c>
      <c r="J61" s="286">
        <v>15905437.179999998</v>
      </c>
      <c r="K61" s="286">
        <v>10181392.100000003</v>
      </c>
      <c r="L61" s="286">
        <v>12815792.629999997</v>
      </c>
      <c r="M61" s="286">
        <v>12976547.299999997</v>
      </c>
      <c r="N61" s="285">
        <v>12157338.050000001</v>
      </c>
      <c r="O61" s="288">
        <v>20569842.799999997</v>
      </c>
      <c r="P61" s="297">
        <f t="shared" si="2"/>
        <v>150490606.23000002</v>
      </c>
      <c r="Q61" s="272">
        <f t="shared" si="3"/>
        <v>4.7789967046681499</v>
      </c>
      <c r="R61" s="13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3"/>
      <c r="B62" s="3"/>
      <c r="C62" s="266" t="s">
        <v>79</v>
      </c>
      <c r="D62" s="284">
        <v>23785.52</v>
      </c>
      <c r="E62" s="285">
        <v>418011.27</v>
      </c>
      <c r="F62" s="285">
        <v>1323223.27</v>
      </c>
      <c r="G62" s="286">
        <v>2902402</v>
      </c>
      <c r="H62" s="286">
        <v>2532098.79</v>
      </c>
      <c r="I62" s="286">
        <v>2724742.96</v>
      </c>
      <c r="J62" s="286">
        <v>1558173.97</v>
      </c>
      <c r="K62" s="286">
        <v>422105.83999999997</v>
      </c>
      <c r="L62" s="286">
        <v>2144478.7599999998</v>
      </c>
      <c r="M62" s="286">
        <v>4139379.72</v>
      </c>
      <c r="N62" s="285">
        <v>1284256.96</v>
      </c>
      <c r="O62" s="288">
        <v>3070853.92</v>
      </c>
      <c r="P62" s="297">
        <f t="shared" si="2"/>
        <v>22543512.980000004</v>
      </c>
      <c r="Q62" s="298">
        <f t="shared" si="3"/>
        <v>0.71589434677675468</v>
      </c>
      <c r="R62" s="158"/>
    </row>
    <row r="63" spans="1:32" s="2" customFormat="1">
      <c r="C63" s="299" t="s">
        <v>80</v>
      </c>
      <c r="D63" s="284">
        <v>3792025.5500000003</v>
      </c>
      <c r="E63" s="285">
        <v>1655265.05</v>
      </c>
      <c r="F63" s="285">
        <v>2651578.2199999997</v>
      </c>
      <c r="G63" s="286">
        <v>14134841.26</v>
      </c>
      <c r="H63" s="286">
        <v>2024043.4900000002</v>
      </c>
      <c r="I63" s="286">
        <v>4869387.8</v>
      </c>
      <c r="J63" s="286">
        <v>1340729.6100000001</v>
      </c>
      <c r="K63" s="286">
        <v>2600709.6799999997</v>
      </c>
      <c r="L63" s="286">
        <v>18177726.709999997</v>
      </c>
      <c r="M63" s="286">
        <v>791829.85</v>
      </c>
      <c r="N63" s="285">
        <v>800162.89999999991</v>
      </c>
      <c r="O63" s="288">
        <v>4021554.42</v>
      </c>
      <c r="P63" s="297">
        <f t="shared" si="2"/>
        <v>56859854.539999999</v>
      </c>
      <c r="Q63" s="272">
        <f t="shared" si="3"/>
        <v>1.805647968879009</v>
      </c>
      <c r="R63" s="4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3"/>
      <c r="B64" s="3"/>
      <c r="C64" s="266" t="s">
        <v>82</v>
      </c>
      <c r="D64" s="284">
        <v>85943.950000000012</v>
      </c>
      <c r="E64" s="285">
        <v>745704.3600000001</v>
      </c>
      <c r="F64" s="285">
        <v>326504.72999999992</v>
      </c>
      <c r="G64" s="286">
        <v>1093390.1000000003</v>
      </c>
      <c r="H64" s="286">
        <v>695307.59000000032</v>
      </c>
      <c r="I64" s="286">
        <v>531135.4099999998</v>
      </c>
      <c r="J64" s="286">
        <v>546641.87</v>
      </c>
      <c r="K64" s="286">
        <v>504210.03</v>
      </c>
      <c r="L64" s="286">
        <v>513677.69000000012</v>
      </c>
      <c r="M64" s="286">
        <v>395979.89999999991</v>
      </c>
      <c r="N64" s="285">
        <v>684569.8</v>
      </c>
      <c r="O64" s="288">
        <v>987182.15000000014</v>
      </c>
      <c r="P64" s="297">
        <f t="shared" si="2"/>
        <v>7110247.580000001</v>
      </c>
      <c r="Q64" s="298">
        <f t="shared" si="3"/>
        <v>0.22579382597650052</v>
      </c>
      <c r="R64" s="4"/>
    </row>
    <row r="65" spans="1:18">
      <c r="A65" s="3"/>
      <c r="B65" s="3"/>
      <c r="C65" s="266" t="s">
        <v>84</v>
      </c>
      <c r="D65" s="284">
        <v>6141587.4900000002</v>
      </c>
      <c r="E65" s="285">
        <v>3764809.78</v>
      </c>
      <c r="F65" s="285">
        <v>925768.61</v>
      </c>
      <c r="G65" s="286">
        <v>2150317.9900000002</v>
      </c>
      <c r="H65" s="286">
        <v>1550691.25</v>
      </c>
      <c r="I65" s="286">
        <v>1420818.93</v>
      </c>
      <c r="J65" s="286">
        <v>2033075.22</v>
      </c>
      <c r="K65" s="286">
        <v>644463.29</v>
      </c>
      <c r="L65" s="286">
        <v>860528.81</v>
      </c>
      <c r="M65" s="286">
        <v>870099.62</v>
      </c>
      <c r="N65" s="285">
        <v>753201.53</v>
      </c>
      <c r="O65" s="288">
        <v>4738055.78</v>
      </c>
      <c r="P65" s="297">
        <f t="shared" si="2"/>
        <v>25853418.300000001</v>
      </c>
      <c r="Q65" s="298">
        <f t="shared" si="3"/>
        <v>0.82100407430930455</v>
      </c>
      <c r="R65" s="4"/>
    </row>
    <row r="66" spans="1:18">
      <c r="A66" s="3"/>
      <c r="B66" s="3"/>
      <c r="C66" s="266" t="s">
        <v>130</v>
      </c>
      <c r="D66" s="284">
        <v>16247.87</v>
      </c>
      <c r="E66" s="285">
        <v>731931.54999999993</v>
      </c>
      <c r="F66" s="285">
        <v>369799.56</v>
      </c>
      <c r="G66" s="286">
        <v>659056.07000000007</v>
      </c>
      <c r="H66" s="286">
        <v>434464.89999999997</v>
      </c>
      <c r="I66" s="286">
        <v>427473.23</v>
      </c>
      <c r="J66" s="286">
        <v>545542.24</v>
      </c>
      <c r="K66" s="286">
        <v>716976.32999999973</v>
      </c>
      <c r="L66" s="286">
        <v>441913.8</v>
      </c>
      <c r="M66" s="286">
        <v>516815.02</v>
      </c>
      <c r="N66" s="285">
        <v>455379.84000000008</v>
      </c>
      <c r="O66" s="288">
        <v>730595.15000000014</v>
      </c>
      <c r="P66" s="297">
        <f t="shared" si="2"/>
        <v>6046195.5600000005</v>
      </c>
      <c r="Q66" s="298">
        <f t="shared" si="3"/>
        <v>0.19200366973642427</v>
      </c>
      <c r="R66" s="4"/>
    </row>
    <row r="67" spans="1:18" ht="12.75" customHeight="1">
      <c r="A67" s="3"/>
      <c r="B67" s="3"/>
      <c r="C67" s="266" t="s">
        <v>86</v>
      </c>
      <c r="D67" s="284">
        <v>17869.09</v>
      </c>
      <c r="E67" s="285">
        <v>361109.21</v>
      </c>
      <c r="F67" s="285">
        <v>301631.11</v>
      </c>
      <c r="G67" s="286">
        <v>1278445.6100000001</v>
      </c>
      <c r="H67" s="286">
        <v>596344.39</v>
      </c>
      <c r="I67" s="286">
        <v>425640.23</v>
      </c>
      <c r="J67" s="286">
        <v>919287.84000000008</v>
      </c>
      <c r="K67" s="286">
        <v>498975.50000000006</v>
      </c>
      <c r="L67" s="286">
        <v>553531</v>
      </c>
      <c r="M67" s="286">
        <v>1350062.52</v>
      </c>
      <c r="N67" s="285">
        <v>1417622.12</v>
      </c>
      <c r="O67" s="288">
        <v>5661692.8500000006</v>
      </c>
      <c r="P67" s="297">
        <f t="shared" si="2"/>
        <v>13382211.470000001</v>
      </c>
      <c r="Q67" s="298">
        <f t="shared" si="3"/>
        <v>0.42496702032391243</v>
      </c>
      <c r="R67" s="4"/>
    </row>
    <row r="68" spans="1:18">
      <c r="A68" s="3"/>
      <c r="B68" s="3"/>
      <c r="C68" s="266" t="s">
        <v>87</v>
      </c>
      <c r="D68" s="284">
        <f>+SUM(D69:D73)</f>
        <v>37234260.75</v>
      </c>
      <c r="E68" s="285">
        <f t="shared" ref="E68:O68" si="12">+SUM(E69:E73)</f>
        <v>40396294.500000007</v>
      </c>
      <c r="F68" s="285">
        <f t="shared" si="12"/>
        <v>35626046.939999998</v>
      </c>
      <c r="G68" s="286">
        <f t="shared" si="12"/>
        <v>43775263.219999991</v>
      </c>
      <c r="H68" s="286">
        <f t="shared" si="12"/>
        <v>40867515.959999993</v>
      </c>
      <c r="I68" s="286">
        <f t="shared" si="12"/>
        <v>39071905.920000002</v>
      </c>
      <c r="J68" s="286">
        <f t="shared" si="12"/>
        <v>40978773.030000001</v>
      </c>
      <c r="K68" s="286">
        <f t="shared" si="12"/>
        <v>39982532.369999997</v>
      </c>
      <c r="L68" s="286">
        <f t="shared" si="12"/>
        <v>40349549.839999996</v>
      </c>
      <c r="M68" s="286">
        <f t="shared" si="12"/>
        <v>40556328.559999995</v>
      </c>
      <c r="N68" s="285">
        <f t="shared" si="12"/>
        <v>40339878.769999996</v>
      </c>
      <c r="O68" s="288">
        <f t="shared" si="12"/>
        <v>42455256.619999997</v>
      </c>
      <c r="P68" s="289">
        <f t="shared" si="2"/>
        <v>481633606.48000002</v>
      </c>
      <c r="Q68" s="290">
        <f t="shared" si="3"/>
        <v>15.294811256906954</v>
      </c>
      <c r="R68" s="4"/>
    </row>
    <row r="69" spans="1:18">
      <c r="A69" s="3"/>
      <c r="B69" s="3"/>
      <c r="C69" s="260" t="s">
        <v>89</v>
      </c>
      <c r="D69" s="261">
        <v>4880739.1300000008</v>
      </c>
      <c r="E69" s="294">
        <v>5464431.5300000003</v>
      </c>
      <c r="F69" s="294">
        <v>5071540.8299999991</v>
      </c>
      <c r="G69" s="300">
        <v>5114262.4700000007</v>
      </c>
      <c r="H69" s="262">
        <v>5127234.6900000004</v>
      </c>
      <c r="I69" s="262">
        <v>5352636.95</v>
      </c>
      <c r="J69" s="262">
        <v>5472666.7700000005</v>
      </c>
      <c r="K69" s="262">
        <v>5393033.8800000008</v>
      </c>
      <c r="L69" s="262">
        <v>5945077.8899999997</v>
      </c>
      <c r="M69" s="262">
        <v>5754938.6399999987</v>
      </c>
      <c r="N69" s="294">
        <v>5713396.9199999999</v>
      </c>
      <c r="O69" s="263">
        <v>5898676.7699999996</v>
      </c>
      <c r="P69" s="295">
        <f t="shared" si="2"/>
        <v>65188636.470000014</v>
      </c>
      <c r="Q69" s="296">
        <f t="shared" si="3"/>
        <v>2.0701377094315658</v>
      </c>
      <c r="R69" s="4"/>
    </row>
    <row r="70" spans="1:18">
      <c r="A70" s="3"/>
      <c r="B70" s="3"/>
      <c r="C70" s="260" t="s">
        <v>91</v>
      </c>
      <c r="D70" s="261">
        <v>1736584.53</v>
      </c>
      <c r="E70" s="294">
        <v>1660250.14</v>
      </c>
      <c r="F70" s="294">
        <v>1473771.4300000002</v>
      </c>
      <c r="G70" s="262">
        <v>1382169.35</v>
      </c>
      <c r="H70" s="262">
        <v>1498835.8599999999</v>
      </c>
      <c r="I70" s="262">
        <v>1233240.1499999999</v>
      </c>
      <c r="J70" s="262">
        <v>1101163.56</v>
      </c>
      <c r="K70" s="262">
        <v>771327.97</v>
      </c>
      <c r="L70" s="262">
        <v>1170345.77</v>
      </c>
      <c r="M70" s="262">
        <v>982048.69</v>
      </c>
      <c r="N70" s="294">
        <v>981764.53</v>
      </c>
      <c r="O70" s="263">
        <v>2138916.16</v>
      </c>
      <c r="P70" s="295">
        <f t="shared" si="2"/>
        <v>16130418.139999999</v>
      </c>
      <c r="Q70" s="296">
        <f t="shared" si="3"/>
        <v>0.51223938202604002</v>
      </c>
    </row>
    <row r="71" spans="1:18">
      <c r="A71" s="3"/>
      <c r="B71" s="3"/>
      <c r="C71" s="260" t="s">
        <v>93</v>
      </c>
      <c r="D71" s="261">
        <v>30358548.720000003</v>
      </c>
      <c r="E71" s="294">
        <v>31864788.480000004</v>
      </c>
      <c r="F71" s="294">
        <v>28018969.609999999</v>
      </c>
      <c r="G71" s="262">
        <v>35356384.349999994</v>
      </c>
      <c r="H71" s="262">
        <v>31736646.849999994</v>
      </c>
      <c r="I71" s="262">
        <v>31408284.820000004</v>
      </c>
      <c r="J71" s="262">
        <v>31647148.099999998</v>
      </c>
      <c r="K71" s="262">
        <v>31679934.049999997</v>
      </c>
      <c r="L71" s="262">
        <v>31593887.719999995</v>
      </c>
      <c r="M71" s="262">
        <v>31763390.189999998</v>
      </c>
      <c r="N71" s="262">
        <v>31604023.609999999</v>
      </c>
      <c r="O71" s="263">
        <v>31930090.09</v>
      </c>
      <c r="P71" s="295">
        <f t="shared" si="2"/>
        <v>378962096.58999991</v>
      </c>
      <c r="Q71" s="296">
        <f t="shared" si="3"/>
        <v>12.034363181644963</v>
      </c>
    </row>
    <row r="72" spans="1:18">
      <c r="A72" s="3"/>
      <c r="B72" s="3"/>
      <c r="C72" s="260" t="s">
        <v>95</v>
      </c>
      <c r="D72" s="261">
        <v>168399.48</v>
      </c>
      <c r="E72" s="294">
        <v>814363.46</v>
      </c>
      <c r="F72" s="294">
        <v>741766.67</v>
      </c>
      <c r="G72" s="262">
        <v>1080265.98</v>
      </c>
      <c r="H72" s="262">
        <v>1810921.59</v>
      </c>
      <c r="I72" s="262">
        <v>658447.02</v>
      </c>
      <c r="J72" s="262">
        <v>2020707.95</v>
      </c>
      <c r="K72" s="262">
        <v>1077249.07</v>
      </c>
      <c r="L72" s="262">
        <v>1120011.27</v>
      </c>
      <c r="M72" s="262">
        <v>1238335.1599999999</v>
      </c>
      <c r="N72" s="262">
        <v>1417252.98</v>
      </c>
      <c r="O72" s="263">
        <v>1349685.24</v>
      </c>
      <c r="P72" s="295">
        <f t="shared" si="2"/>
        <v>13497405.870000001</v>
      </c>
      <c r="Q72" s="296">
        <f t="shared" si="3"/>
        <v>0.42862514671324237</v>
      </c>
    </row>
    <row r="73" spans="1:18">
      <c r="A73" s="3"/>
      <c r="B73" s="3"/>
      <c r="C73" s="260" t="s">
        <v>97</v>
      </c>
      <c r="D73" s="261">
        <v>89988.89</v>
      </c>
      <c r="E73" s="294">
        <v>592460.8899999999</v>
      </c>
      <c r="F73" s="294">
        <v>319998.40000000002</v>
      </c>
      <c r="G73" s="262">
        <v>842181.07000000007</v>
      </c>
      <c r="H73" s="262">
        <v>693876.97</v>
      </c>
      <c r="I73" s="262">
        <v>419296.98000000004</v>
      </c>
      <c r="J73" s="262">
        <v>737086.65</v>
      </c>
      <c r="K73" s="262">
        <v>1060987.3999999999</v>
      </c>
      <c r="L73" s="262">
        <v>520227.19</v>
      </c>
      <c r="M73" s="262">
        <v>817615.87999999989</v>
      </c>
      <c r="N73" s="262">
        <v>623440.73</v>
      </c>
      <c r="O73" s="263">
        <v>1137888.3599999999</v>
      </c>
      <c r="P73" s="295">
        <f t="shared" si="2"/>
        <v>7855049.4100000001</v>
      </c>
      <c r="Q73" s="296">
        <f t="shared" si="3"/>
        <v>0.24944583709114004</v>
      </c>
    </row>
    <row r="74" spans="1:18" ht="15.75" customHeight="1">
      <c r="A74" s="3"/>
      <c r="B74" s="3"/>
      <c r="C74" s="301" t="s">
        <v>100</v>
      </c>
      <c r="D74" s="284">
        <f>+SUM(D75:D79)</f>
        <v>442338.09</v>
      </c>
      <c r="E74" s="285">
        <f t="shared" ref="E74:O74" si="13">+SUM(E75:E79)</f>
        <v>2805739.4299999997</v>
      </c>
      <c r="F74" s="285">
        <f t="shared" si="13"/>
        <v>992842.58</v>
      </c>
      <c r="G74" s="286">
        <f t="shared" si="13"/>
        <v>4069831.04</v>
      </c>
      <c r="H74" s="286">
        <f t="shared" si="13"/>
        <v>2468513.6399999997</v>
      </c>
      <c r="I74" s="286">
        <f t="shared" si="13"/>
        <v>2427947.75</v>
      </c>
      <c r="J74" s="286">
        <f t="shared" si="13"/>
        <v>2319910.83</v>
      </c>
      <c r="K74" s="286">
        <f t="shared" si="13"/>
        <v>2060764.41</v>
      </c>
      <c r="L74" s="286">
        <f t="shared" si="13"/>
        <v>2677803.0700000003</v>
      </c>
      <c r="M74" s="286">
        <f t="shared" si="13"/>
        <v>2974174.89</v>
      </c>
      <c r="N74" s="286">
        <f t="shared" si="13"/>
        <v>2032800.4700000002</v>
      </c>
      <c r="O74" s="288">
        <f t="shared" si="13"/>
        <v>6239525.4100000001</v>
      </c>
      <c r="P74" s="289">
        <f t="shared" si="2"/>
        <v>31512191.609999999</v>
      </c>
      <c r="Q74" s="290">
        <f t="shared" si="3"/>
        <v>1.0007047192759606</v>
      </c>
    </row>
    <row r="75" spans="1:18">
      <c r="A75" s="3"/>
      <c r="B75" s="3"/>
      <c r="C75" s="260" t="s">
        <v>102</v>
      </c>
      <c r="D75" s="261">
        <v>180794.57</v>
      </c>
      <c r="E75" s="294">
        <v>973625.26</v>
      </c>
      <c r="F75" s="294">
        <v>286908.56999999995</v>
      </c>
      <c r="G75" s="262">
        <v>1612546.99</v>
      </c>
      <c r="H75" s="262">
        <v>1303321.6299999999</v>
      </c>
      <c r="I75" s="262">
        <v>886080.96</v>
      </c>
      <c r="J75" s="262">
        <v>1106414.21</v>
      </c>
      <c r="K75" s="262">
        <v>436602.5</v>
      </c>
      <c r="L75" s="262">
        <v>1185849.8700000001</v>
      </c>
      <c r="M75" s="262">
        <v>1032204.8999999999</v>
      </c>
      <c r="N75" s="262">
        <v>681492.05</v>
      </c>
      <c r="O75" s="263">
        <v>3781227.46</v>
      </c>
      <c r="P75" s="295">
        <f t="shared" si="2"/>
        <v>13467068.969999999</v>
      </c>
      <c r="Q75" s="296">
        <f t="shared" si="3"/>
        <v>0.42766176468720229</v>
      </c>
    </row>
    <row r="76" spans="1:18">
      <c r="A76" s="3"/>
      <c r="B76" s="3"/>
      <c r="C76" s="260" t="s">
        <v>104</v>
      </c>
      <c r="D76" s="261">
        <v>253000</v>
      </c>
      <c r="E76" s="294">
        <v>532747.41999999993</v>
      </c>
      <c r="F76" s="294">
        <v>293479.06</v>
      </c>
      <c r="G76" s="262">
        <v>834504.14</v>
      </c>
      <c r="H76" s="262">
        <v>293789.06</v>
      </c>
      <c r="I76" s="262">
        <v>273109.06</v>
      </c>
      <c r="J76" s="262">
        <v>321292.39</v>
      </c>
      <c r="K76" s="262">
        <v>264742.39</v>
      </c>
      <c r="L76" s="262">
        <v>434992.39</v>
      </c>
      <c r="M76" s="262">
        <v>278192.39</v>
      </c>
      <c r="N76" s="262">
        <v>205427.01</v>
      </c>
      <c r="O76" s="263">
        <v>604477.73</v>
      </c>
      <c r="P76" s="295">
        <f t="shared" si="2"/>
        <v>4589753.040000001</v>
      </c>
      <c r="Q76" s="296">
        <f t="shared" si="3"/>
        <v>0.14575271641791046</v>
      </c>
    </row>
    <row r="77" spans="1:18">
      <c r="A77" s="3"/>
      <c r="B77" s="3"/>
      <c r="C77" s="260" t="s">
        <v>106</v>
      </c>
      <c r="D77" s="261">
        <v>8543.52</v>
      </c>
      <c r="E77" s="294">
        <v>1289866.75</v>
      </c>
      <c r="F77" s="294">
        <v>408004.95000000007</v>
      </c>
      <c r="G77" s="262">
        <v>1609014.91</v>
      </c>
      <c r="H77" s="262">
        <v>864201.95</v>
      </c>
      <c r="I77" s="262">
        <v>971963.56</v>
      </c>
      <c r="J77" s="262">
        <v>875604.23</v>
      </c>
      <c r="K77" s="262">
        <v>887463.7</v>
      </c>
      <c r="L77" s="262">
        <v>1047260.81</v>
      </c>
      <c r="M77" s="262">
        <v>1654802.6</v>
      </c>
      <c r="N77" s="262">
        <v>1143581.4100000001</v>
      </c>
      <c r="O77" s="263">
        <v>1848040.2200000002</v>
      </c>
      <c r="P77" s="295">
        <f t="shared" si="2"/>
        <v>12608348.610000001</v>
      </c>
      <c r="Q77" s="296">
        <f t="shared" si="3"/>
        <v>0.40039214385519217</v>
      </c>
    </row>
    <row r="78" spans="1:18">
      <c r="A78" s="3"/>
      <c r="B78" s="3"/>
      <c r="C78" s="260" t="s">
        <v>108</v>
      </c>
      <c r="D78" s="261">
        <v>0</v>
      </c>
      <c r="E78" s="294">
        <v>9500</v>
      </c>
      <c r="F78" s="294">
        <v>4450</v>
      </c>
      <c r="G78" s="262">
        <v>13765</v>
      </c>
      <c r="H78" s="262">
        <v>7201</v>
      </c>
      <c r="I78" s="262">
        <v>296794.17</v>
      </c>
      <c r="J78" s="262">
        <v>16600</v>
      </c>
      <c r="K78" s="262">
        <v>471955.82</v>
      </c>
      <c r="L78" s="262">
        <v>9700</v>
      </c>
      <c r="M78" s="262">
        <v>8975</v>
      </c>
      <c r="N78" s="262">
        <v>2300</v>
      </c>
      <c r="O78" s="263">
        <v>5780</v>
      </c>
      <c r="P78" s="295">
        <f t="shared" si="2"/>
        <v>847020.99</v>
      </c>
      <c r="Q78" s="296">
        <f t="shared" si="3"/>
        <v>2.6898094315655763E-2</v>
      </c>
    </row>
    <row r="79" spans="1:18" ht="13.5" thickBot="1">
      <c r="A79" s="3"/>
      <c r="B79" s="3"/>
      <c r="C79" s="302" t="s">
        <v>109</v>
      </c>
      <c r="D79" s="303">
        <v>0</v>
      </c>
      <c r="E79" s="304">
        <v>0</v>
      </c>
      <c r="F79" s="304">
        <v>0</v>
      </c>
      <c r="G79" s="305">
        <v>0</v>
      </c>
      <c r="H79" s="305">
        <v>0</v>
      </c>
      <c r="I79" s="305">
        <v>0</v>
      </c>
      <c r="J79" s="305">
        <v>0</v>
      </c>
      <c r="K79" s="305">
        <v>0</v>
      </c>
      <c r="L79" s="305">
        <v>0</v>
      </c>
      <c r="M79" s="305">
        <v>0</v>
      </c>
      <c r="N79" s="305">
        <v>0</v>
      </c>
      <c r="O79" s="306">
        <v>0</v>
      </c>
      <c r="P79" s="307">
        <f t="shared" si="2"/>
        <v>0</v>
      </c>
      <c r="Q79" s="308">
        <f t="shared" si="3"/>
        <v>0</v>
      </c>
    </row>
    <row r="80" spans="1:18" ht="14.25" thickTop="1" thickBot="1">
      <c r="A80" s="3"/>
      <c r="B80" s="3"/>
      <c r="C80" s="248" t="s">
        <v>131</v>
      </c>
      <c r="D80" s="309">
        <v>3647841.5483333301</v>
      </c>
      <c r="E80" s="310">
        <v>4652109.2883333303</v>
      </c>
      <c r="F80" s="310">
        <v>2640519.9183333302</v>
      </c>
      <c r="G80" s="311">
        <v>4790209.8383333301</v>
      </c>
      <c r="H80" s="311">
        <v>6487896.6583333295</v>
      </c>
      <c r="I80" s="311">
        <v>5617183.9983333303</v>
      </c>
      <c r="J80" s="311">
        <v>6991991.4883333305</v>
      </c>
      <c r="K80" s="312">
        <v>9168652.088333331</v>
      </c>
      <c r="L80" s="312">
        <v>6048597.1083333297</v>
      </c>
      <c r="M80" s="312">
        <v>6379112.1683333293</v>
      </c>
      <c r="N80" s="313">
        <v>6413408.4983333303</v>
      </c>
      <c r="O80" s="314">
        <v>13205177.37833333</v>
      </c>
      <c r="P80" s="315">
        <f t="shared" si="2"/>
        <v>76042699.979999959</v>
      </c>
      <c r="Q80" s="316">
        <f t="shared" si="3"/>
        <v>2.4148205773261338</v>
      </c>
    </row>
    <row r="81" spans="1:18" ht="13.5" thickTop="1">
      <c r="A81" s="3"/>
      <c r="B81" s="3"/>
      <c r="C81" s="260" t="s">
        <v>111</v>
      </c>
      <c r="D81" s="261">
        <v>0</v>
      </c>
      <c r="E81" s="294">
        <v>327340.79999999999</v>
      </c>
      <c r="F81" s="294">
        <v>125713</v>
      </c>
      <c r="G81" s="262">
        <v>160911</v>
      </c>
      <c r="H81" s="262">
        <v>139637</v>
      </c>
      <c r="I81" s="262">
        <v>154669</v>
      </c>
      <c r="J81" s="262">
        <v>30000</v>
      </c>
      <c r="K81" s="262">
        <v>50000</v>
      </c>
      <c r="L81" s="262">
        <v>214389</v>
      </c>
      <c r="M81" s="262">
        <v>139389</v>
      </c>
      <c r="N81" s="262">
        <v>45000</v>
      </c>
      <c r="O81" s="263">
        <v>388584.89</v>
      </c>
      <c r="P81" s="317">
        <f t="shared" si="2"/>
        <v>1775633.69</v>
      </c>
      <c r="Q81" s="318">
        <f t="shared" si="3"/>
        <v>5.6387224198158142E-2</v>
      </c>
    </row>
    <row r="82" spans="1:18" ht="13.5" thickBot="1">
      <c r="A82" s="3"/>
      <c r="B82" s="3"/>
      <c r="C82" s="302" t="s">
        <v>118</v>
      </c>
      <c r="D82" s="303">
        <v>871031.87</v>
      </c>
      <c r="E82" s="304">
        <v>806208.72</v>
      </c>
      <c r="F82" s="304">
        <v>2733199.57</v>
      </c>
      <c r="G82" s="305">
        <v>292935.40000000002</v>
      </c>
      <c r="H82" s="305">
        <v>125197.02</v>
      </c>
      <c r="I82" s="305">
        <v>1282874.5</v>
      </c>
      <c r="J82" s="305">
        <v>492037.8</v>
      </c>
      <c r="K82" s="305">
        <v>299044.5</v>
      </c>
      <c r="L82" s="305">
        <v>2136675.4700000002</v>
      </c>
      <c r="M82" s="305">
        <v>2009396.54</v>
      </c>
      <c r="N82" s="305">
        <v>3454164.1</v>
      </c>
      <c r="O82" s="306">
        <v>3575252.97</v>
      </c>
      <c r="P82" s="307">
        <f t="shared" si="2"/>
        <v>18078018.460000001</v>
      </c>
      <c r="Q82" s="308">
        <f t="shared" si="3"/>
        <v>0.57408759796760878</v>
      </c>
    </row>
    <row r="83" spans="1:18" ht="14.25" thickTop="1" thickBot="1">
      <c r="A83" s="3"/>
      <c r="B83" s="3"/>
      <c r="C83" s="302" t="s">
        <v>113</v>
      </c>
      <c r="D83" s="319">
        <v>0</v>
      </c>
      <c r="E83" s="320">
        <v>0</v>
      </c>
      <c r="F83" s="320">
        <v>0</v>
      </c>
      <c r="G83" s="320">
        <v>23427740.18</v>
      </c>
      <c r="H83" s="321">
        <v>0</v>
      </c>
      <c r="I83" s="321">
        <v>0</v>
      </c>
      <c r="J83" s="321">
        <v>0</v>
      </c>
      <c r="K83" s="321">
        <v>0</v>
      </c>
      <c r="L83" s="321">
        <v>0</v>
      </c>
      <c r="M83" s="321">
        <v>544740.9</v>
      </c>
      <c r="N83" s="321">
        <v>0</v>
      </c>
      <c r="O83" s="322">
        <v>747351.55</v>
      </c>
      <c r="P83" s="323">
        <f>SUM(D83:O83)</f>
        <v>24719832.629999999</v>
      </c>
      <c r="Q83" s="296">
        <f t="shared" si="3"/>
        <v>0.78500579961892658</v>
      </c>
    </row>
    <row r="84" spans="1:18" ht="14.25" thickTop="1" thickBot="1">
      <c r="A84" s="3"/>
      <c r="B84" s="3"/>
      <c r="C84" s="302" t="str">
        <f>IF(MasterSheet!$A$1=1,MasterSheet!C134,MasterSheet!B136)</f>
        <v>Neto povećanje obaveza</v>
      </c>
      <c r="D84" s="261">
        <v>0</v>
      </c>
      <c r="E84" s="294">
        <v>0</v>
      </c>
      <c r="F84" s="294">
        <v>0</v>
      </c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324">
        <v>0</v>
      </c>
      <c r="O84" s="325">
        <v>33110000</v>
      </c>
      <c r="P84" s="295">
        <v>33114247.129999999</v>
      </c>
      <c r="Q84" s="326">
        <f t="shared" ref="Q84:Q97" si="14">+P84/$D$14*100</f>
        <v>1.0515797754842806</v>
      </c>
    </row>
    <row r="85" spans="1:18" ht="14.25" thickTop="1" thickBot="1">
      <c r="A85" s="3"/>
      <c r="B85" s="3"/>
      <c r="C85" s="248" t="s">
        <v>132</v>
      </c>
      <c r="D85" s="283">
        <f t="shared" ref="D85:O85" si="15">D19-D51</f>
        <v>-6068594.7783333361</v>
      </c>
      <c r="E85" s="283">
        <f t="shared" si="15"/>
        <v>-33282355.74833335</v>
      </c>
      <c r="F85" s="283">
        <f t="shared" si="15"/>
        <v>-6533370.2583333254</v>
      </c>
      <c r="G85" s="283">
        <f t="shared" si="15"/>
        <v>-68910572.598333314</v>
      </c>
      <c r="H85" s="283">
        <f t="shared" si="15"/>
        <v>-12923000.888333306</v>
      </c>
      <c r="I85" s="283">
        <f t="shared" si="15"/>
        <v>-6111088.3283333331</v>
      </c>
      <c r="J85" s="283">
        <f t="shared" si="15"/>
        <v>20848587.571666673</v>
      </c>
      <c r="K85" s="283">
        <f t="shared" si="15"/>
        <v>5514562.5616666675</v>
      </c>
      <c r="L85" s="283">
        <f t="shared" si="15"/>
        <v>-13109070.418333322</v>
      </c>
      <c r="M85" s="283">
        <f t="shared" si="15"/>
        <v>-6566722.5983333588</v>
      </c>
      <c r="N85" s="283">
        <f t="shared" si="15"/>
        <v>-25503378.328333333</v>
      </c>
      <c r="O85" s="283">
        <f t="shared" si="15"/>
        <v>-60211833.558333322</v>
      </c>
      <c r="P85" s="250">
        <f>SUM(D85:O85)</f>
        <v>-212856837.36999995</v>
      </c>
      <c r="Q85" s="251">
        <f t="shared" si="14"/>
        <v>-6.7595057913623355</v>
      </c>
    </row>
    <row r="86" spans="1:18" ht="14.25" thickTop="1" thickBot="1">
      <c r="A86" s="3"/>
      <c r="B86" s="3"/>
      <c r="C86" s="248" t="s">
        <v>133</v>
      </c>
      <c r="D86" s="283">
        <f t="shared" ref="D86:O86" si="16">D85+D63</f>
        <v>-2276569.2283333358</v>
      </c>
      <c r="E86" s="283">
        <f t="shared" si="16"/>
        <v>-31627090.698333349</v>
      </c>
      <c r="F86" s="283">
        <f t="shared" si="16"/>
        <v>-3881792.0383333256</v>
      </c>
      <c r="G86" s="283">
        <f t="shared" si="16"/>
        <v>-54775731.338333316</v>
      </c>
      <c r="H86" s="283">
        <f t="shared" si="16"/>
        <v>-10898957.398333305</v>
      </c>
      <c r="I86" s="283">
        <f t="shared" si="16"/>
        <v>-1241700.5283333333</v>
      </c>
      <c r="J86" s="283">
        <f t="shared" si="16"/>
        <v>22189317.181666672</v>
      </c>
      <c r="K86" s="283">
        <f t="shared" si="16"/>
        <v>8115272.2416666672</v>
      </c>
      <c r="L86" s="283">
        <f t="shared" si="16"/>
        <v>5068656.2916666754</v>
      </c>
      <c r="M86" s="283">
        <f t="shared" si="16"/>
        <v>-5774892.7483333591</v>
      </c>
      <c r="N86" s="283">
        <f t="shared" si="16"/>
        <v>-24703215.428333335</v>
      </c>
      <c r="O86" s="283">
        <f t="shared" si="16"/>
        <v>-56190279.138333321</v>
      </c>
      <c r="P86" s="250">
        <f t="shared" ref="P86:P97" si="17">SUM(D86:O86)</f>
        <v>-155996982.82999998</v>
      </c>
      <c r="Q86" s="251">
        <f t="shared" si="14"/>
        <v>-4.9538578224833278</v>
      </c>
    </row>
    <row r="87" spans="1:18" ht="14.25" thickTop="1" thickBot="1">
      <c r="A87" s="3"/>
      <c r="B87" s="3"/>
      <c r="C87" s="248" t="s">
        <v>0</v>
      </c>
      <c r="D87" s="283">
        <f>SUM(D88:D90)</f>
        <v>13393778.481666669</v>
      </c>
      <c r="E87" s="283">
        <f t="shared" ref="E87:O87" si="18">SUM(E88:E90)</f>
        <v>7931376.3816666696</v>
      </c>
      <c r="F87" s="283">
        <f t="shared" si="18"/>
        <v>5479049.1716666697</v>
      </c>
      <c r="G87" s="283">
        <f t="shared" si="18"/>
        <v>9481547.571666671</v>
      </c>
      <c r="H87" s="283">
        <f t="shared" si="18"/>
        <v>9087396.4316666704</v>
      </c>
      <c r="I87" s="283">
        <f>SUM(I88:I90)</f>
        <v>16855930.841666669</v>
      </c>
      <c r="J87" s="283">
        <f t="shared" si="18"/>
        <v>11096833.961666636</v>
      </c>
      <c r="K87" s="283">
        <f t="shared" si="18"/>
        <v>16052010.385000011</v>
      </c>
      <c r="L87" s="283">
        <f t="shared" si="18"/>
        <v>10336425.921666671</v>
      </c>
      <c r="M87" s="283">
        <f t="shared" si="18"/>
        <v>2490252.3516666703</v>
      </c>
      <c r="N87" s="283">
        <f t="shared" si="18"/>
        <v>3405411.31</v>
      </c>
      <c r="O87" s="283">
        <f t="shared" si="18"/>
        <v>12528992.050000001</v>
      </c>
      <c r="P87" s="250">
        <f t="shared" si="17"/>
        <v>118139004.86</v>
      </c>
      <c r="Q87" s="251">
        <f t="shared" si="14"/>
        <v>3.7516355941568755</v>
      </c>
    </row>
    <row r="88" spans="1:18" ht="13.5" thickTop="1">
      <c r="A88" s="3"/>
      <c r="B88" s="3"/>
      <c r="C88" s="260" t="s">
        <v>135</v>
      </c>
      <c r="D88" s="327">
        <v>2925169.8816666706</v>
      </c>
      <c r="E88" s="328">
        <v>3793803.74166667</v>
      </c>
      <c r="F88" s="328">
        <v>2696344.3316666698</v>
      </c>
      <c r="G88" s="328">
        <v>7364641.0916666705</v>
      </c>
      <c r="H88" s="328">
        <v>7256897.4416666701</v>
      </c>
      <c r="I88" s="328">
        <v>5683355.8416666705</v>
      </c>
      <c r="J88" s="328">
        <v>5470687.9416666701</v>
      </c>
      <c r="K88" s="328">
        <v>15481062.16500001</v>
      </c>
      <c r="L88" s="328">
        <v>6689890.78166667</v>
      </c>
      <c r="M88" s="328">
        <v>1199915.75166667</v>
      </c>
      <c r="N88" s="328">
        <v>870919.5</v>
      </c>
      <c r="O88" s="329">
        <v>1203417.48</v>
      </c>
      <c r="P88" s="295">
        <f t="shared" si="17"/>
        <v>60636105.950000033</v>
      </c>
      <c r="Q88" s="296">
        <f t="shared" si="14"/>
        <v>1.9255670355668477</v>
      </c>
    </row>
    <row r="89" spans="1:18">
      <c r="A89" s="3"/>
      <c r="B89" s="3"/>
      <c r="C89" s="260" t="s">
        <v>137</v>
      </c>
      <c r="D89" s="261">
        <v>10468608.6</v>
      </c>
      <c r="E89" s="294">
        <v>4137572.64</v>
      </c>
      <c r="F89" s="294">
        <v>2782704.84</v>
      </c>
      <c r="G89" s="294">
        <v>2116906.48</v>
      </c>
      <c r="H89" s="294">
        <v>1830498.99</v>
      </c>
      <c r="I89" s="294">
        <v>11172575</v>
      </c>
      <c r="J89" s="294">
        <v>2998058.5</v>
      </c>
      <c r="K89" s="294">
        <v>570948.22</v>
      </c>
      <c r="L89" s="294">
        <v>3646535.14</v>
      </c>
      <c r="M89" s="294">
        <v>1290336.6000000001</v>
      </c>
      <c r="N89" s="294">
        <v>2534491.81</v>
      </c>
      <c r="O89" s="330">
        <v>11325574.57</v>
      </c>
      <c r="P89" s="295">
        <f t="shared" si="17"/>
        <v>54874811.390000001</v>
      </c>
      <c r="Q89" s="296">
        <f t="shared" si="14"/>
        <v>1.7426107141949827</v>
      </c>
    </row>
    <row r="90" spans="1:18" ht="13.5" thickBot="1">
      <c r="A90" s="3"/>
      <c r="B90" s="3"/>
      <c r="C90" s="260" t="s">
        <v>116</v>
      </c>
      <c r="D90" s="303">
        <v>0</v>
      </c>
      <c r="E90" s="304">
        <v>0</v>
      </c>
      <c r="F90" s="304">
        <v>0</v>
      </c>
      <c r="G90" s="304">
        <v>0</v>
      </c>
      <c r="H90" s="304">
        <v>0</v>
      </c>
      <c r="I90" s="304">
        <v>0</v>
      </c>
      <c r="J90" s="304">
        <v>2628087.5199999656</v>
      </c>
      <c r="K90" s="304">
        <v>0</v>
      </c>
      <c r="L90" s="304">
        <v>0</v>
      </c>
      <c r="M90" s="304">
        <v>0</v>
      </c>
      <c r="N90" s="304">
        <v>0</v>
      </c>
      <c r="O90" s="331">
        <v>0</v>
      </c>
      <c r="P90" s="295">
        <f t="shared" si="17"/>
        <v>2628087.5199999656</v>
      </c>
      <c r="Q90" s="296">
        <f t="shared" si="14"/>
        <v>8.3457844395044958E-2</v>
      </c>
    </row>
    <row r="91" spans="1:18" ht="14.25" thickTop="1" thickBot="1">
      <c r="A91" s="3"/>
      <c r="B91" s="3"/>
      <c r="C91" s="248" t="s">
        <v>141</v>
      </c>
      <c r="D91" s="283">
        <f t="shared" ref="D91:O91" si="19">D85-D87</f>
        <v>-19462373.260000005</v>
      </c>
      <c r="E91" s="283">
        <f t="shared" si="19"/>
        <v>-41213732.130000018</v>
      </c>
      <c r="F91" s="283">
        <f t="shared" si="19"/>
        <v>-12012419.429999996</v>
      </c>
      <c r="G91" s="283">
        <f t="shared" si="19"/>
        <v>-78392120.169999987</v>
      </c>
      <c r="H91" s="283">
        <f t="shared" si="19"/>
        <v>-22010397.319999978</v>
      </c>
      <c r="I91" s="283">
        <f t="shared" si="19"/>
        <v>-22967019.170000002</v>
      </c>
      <c r="J91" s="283">
        <f t="shared" si="19"/>
        <v>9751753.6100000367</v>
      </c>
      <c r="K91" s="283">
        <f t="shared" si="19"/>
        <v>-10537447.823333343</v>
      </c>
      <c r="L91" s="283">
        <f t="shared" si="19"/>
        <v>-23445496.339999992</v>
      </c>
      <c r="M91" s="283">
        <f t="shared" si="19"/>
        <v>-9056974.9500000291</v>
      </c>
      <c r="N91" s="283">
        <f t="shared" si="19"/>
        <v>-28908789.638333332</v>
      </c>
      <c r="O91" s="283">
        <f t="shared" si="19"/>
        <v>-72740825.608333319</v>
      </c>
      <c r="P91" s="250">
        <f>SUM(D91:O91)</f>
        <v>-330995842.23000002</v>
      </c>
      <c r="Q91" s="251">
        <f t="shared" si="14"/>
        <v>-10.511141385519213</v>
      </c>
    </row>
    <row r="92" spans="1:18" ht="14.25" thickTop="1" thickBot="1">
      <c r="A92" s="3"/>
      <c r="B92" s="3"/>
      <c r="C92" s="248" t="s">
        <v>121</v>
      </c>
      <c r="D92" s="283">
        <f t="shared" ref="D92" si="20">SUM(D93:D97)</f>
        <v>19462373.260000005</v>
      </c>
      <c r="E92" s="283">
        <f t="shared" ref="E92:O92" si="21">SUM(E93:E97)</f>
        <v>41213732.130000018</v>
      </c>
      <c r="F92" s="283">
        <f t="shared" si="21"/>
        <v>12012419.429999996</v>
      </c>
      <c r="G92" s="283">
        <f t="shared" si="21"/>
        <v>78392120.169999987</v>
      </c>
      <c r="H92" s="283">
        <f t="shared" si="21"/>
        <v>22010397.319999978</v>
      </c>
      <c r="I92" s="283">
        <f t="shared" si="21"/>
        <v>22967019.170000002</v>
      </c>
      <c r="J92" s="283">
        <f t="shared" si="21"/>
        <v>-9751753.6100000292</v>
      </c>
      <c r="K92" s="283">
        <f t="shared" si="21"/>
        <v>10537447.823333343</v>
      </c>
      <c r="L92" s="283">
        <f t="shared" si="21"/>
        <v>23445496.339999992</v>
      </c>
      <c r="M92" s="283">
        <f t="shared" si="21"/>
        <v>9056974.9500000291</v>
      </c>
      <c r="N92" s="283">
        <f t="shared" si="21"/>
        <v>28908789.638333332</v>
      </c>
      <c r="O92" s="283">
        <f t="shared" si="21"/>
        <v>72740825.608333319</v>
      </c>
      <c r="P92" s="250">
        <f t="shared" si="17"/>
        <v>330995842.23000002</v>
      </c>
      <c r="Q92" s="251">
        <f t="shared" si="14"/>
        <v>10.511141385519213</v>
      </c>
    </row>
    <row r="93" spans="1:18" ht="13.5" thickTop="1">
      <c r="A93" s="3"/>
      <c r="B93" s="3"/>
      <c r="C93" s="260" t="s">
        <v>144</v>
      </c>
      <c r="D93" s="261">
        <v>10091646</v>
      </c>
      <c r="E93" s="294">
        <v>1500000</v>
      </c>
      <c r="F93" s="294">
        <v>5000000</v>
      </c>
      <c r="G93" s="332">
        <v>13979930</v>
      </c>
      <c r="H93" s="262">
        <v>0</v>
      </c>
      <c r="I93" s="262">
        <v>3689700</v>
      </c>
      <c r="J93" s="262">
        <v>8374900</v>
      </c>
      <c r="K93" s="262">
        <v>0</v>
      </c>
      <c r="L93" s="262">
        <v>0</v>
      </c>
      <c r="M93" s="262">
        <v>1308000</v>
      </c>
      <c r="N93" s="262">
        <v>0</v>
      </c>
      <c r="O93" s="330">
        <v>19510199.850000001</v>
      </c>
      <c r="P93" s="295">
        <f t="shared" si="17"/>
        <v>63454375.850000001</v>
      </c>
      <c r="Q93" s="296">
        <f t="shared" si="14"/>
        <v>2.015064333121626</v>
      </c>
      <c r="R93" s="7"/>
    </row>
    <row r="94" spans="1:18">
      <c r="A94" s="3"/>
      <c r="B94" s="3"/>
      <c r="C94" s="260" t="s">
        <v>122</v>
      </c>
      <c r="D94" s="261">
        <v>17753.55</v>
      </c>
      <c r="E94" s="294">
        <v>59500471.32</v>
      </c>
      <c r="F94" s="294">
        <v>308302.08000000002</v>
      </c>
      <c r="G94" s="262">
        <v>94423805.219999999</v>
      </c>
      <c r="H94" s="262">
        <v>185718.5</v>
      </c>
      <c r="I94" s="262">
        <v>257737.36</v>
      </c>
      <c r="J94" s="262">
        <v>97281898.599999994</v>
      </c>
      <c r="K94" s="262">
        <v>547054.86</v>
      </c>
      <c r="L94" s="262">
        <v>703927.59</v>
      </c>
      <c r="M94" s="262">
        <v>1587510.4</v>
      </c>
      <c r="N94" s="262">
        <v>1242648.76</v>
      </c>
      <c r="O94" s="330">
        <v>2072547.73</v>
      </c>
      <c r="P94" s="295">
        <f>SUM(D94:O94)</f>
        <v>258129375.97</v>
      </c>
      <c r="Q94" s="296">
        <f t="shared" si="14"/>
        <v>8.1971856452842182</v>
      </c>
    </row>
    <row r="95" spans="1:18">
      <c r="A95" s="3"/>
      <c r="B95" s="3"/>
      <c r="C95" s="260" t="s">
        <v>123</v>
      </c>
      <c r="D95" s="261">
        <v>120840.82</v>
      </c>
      <c r="E95" s="294">
        <v>462333.48</v>
      </c>
      <c r="F95" s="294">
        <v>397599.66</v>
      </c>
      <c r="G95" s="262">
        <v>664302.91</v>
      </c>
      <c r="H95" s="262">
        <v>198856.38</v>
      </c>
      <c r="I95" s="262">
        <v>265058.73</v>
      </c>
      <c r="J95" s="262">
        <v>1010975.94</v>
      </c>
      <c r="K95" s="262">
        <v>111156.37</v>
      </c>
      <c r="L95" s="262">
        <v>301806.81</v>
      </c>
      <c r="M95" s="262">
        <v>567941.03</v>
      </c>
      <c r="N95" s="262">
        <v>522929.08</v>
      </c>
      <c r="O95" s="330">
        <v>412637.7</v>
      </c>
      <c r="P95" s="295">
        <f t="shared" si="17"/>
        <v>5036438.91</v>
      </c>
      <c r="Q95" s="296">
        <f t="shared" si="14"/>
        <v>0.15993772340425533</v>
      </c>
    </row>
    <row r="96" spans="1:18">
      <c r="A96" s="3"/>
      <c r="B96" s="3"/>
      <c r="C96" s="260" t="s">
        <v>330</v>
      </c>
      <c r="D96" s="261">
        <v>103661.6</v>
      </c>
      <c r="E96" s="294">
        <v>231003.75</v>
      </c>
      <c r="F96" s="294">
        <v>52105.86</v>
      </c>
      <c r="G96" s="262">
        <v>555000.79</v>
      </c>
      <c r="H96" s="262">
        <v>299888.71999999997</v>
      </c>
      <c r="I96" s="262">
        <v>122462.67</v>
      </c>
      <c r="J96" s="262">
        <v>27365.52</v>
      </c>
      <c r="K96" s="262">
        <v>3199.35</v>
      </c>
      <c r="L96" s="262">
        <v>47613.4</v>
      </c>
      <c r="M96" s="262">
        <v>1116739.67</v>
      </c>
      <c r="N96" s="262">
        <v>216183.91</v>
      </c>
      <c r="O96" s="330">
        <v>699285.45</v>
      </c>
      <c r="P96" s="295">
        <f t="shared" si="17"/>
        <v>3474510.6900000004</v>
      </c>
      <c r="Q96" s="296">
        <f t="shared" si="14"/>
        <v>0.11033695427119722</v>
      </c>
    </row>
    <row r="97" spans="1:17" ht="13.5" thickBot="1">
      <c r="A97" s="3"/>
      <c r="B97" s="3"/>
      <c r="C97" s="333" t="s">
        <v>125</v>
      </c>
      <c r="D97" s="334">
        <f t="shared" ref="D97:O97" si="22">-D91-SUM(D93:D96)</f>
        <v>9128471.2900000047</v>
      </c>
      <c r="E97" s="335">
        <f t="shared" si="22"/>
        <v>-20480076.419999979</v>
      </c>
      <c r="F97" s="335">
        <f t="shared" si="22"/>
        <v>6254411.8299999954</v>
      </c>
      <c r="G97" s="336">
        <f t="shared" si="22"/>
        <v>-31230918.750000015</v>
      </c>
      <c r="H97" s="336">
        <f t="shared" si="22"/>
        <v>21325933.719999976</v>
      </c>
      <c r="I97" s="336">
        <f t="shared" si="22"/>
        <v>18632060.410000004</v>
      </c>
      <c r="J97" s="336">
        <f t="shared" si="22"/>
        <v>-116446893.67000002</v>
      </c>
      <c r="K97" s="336">
        <f t="shared" si="22"/>
        <v>9876037.2433333434</v>
      </c>
      <c r="L97" s="336">
        <f t="shared" si="22"/>
        <v>22392148.539999992</v>
      </c>
      <c r="M97" s="336">
        <f t="shared" si="22"/>
        <v>4476783.8500000294</v>
      </c>
      <c r="N97" s="336">
        <f t="shared" si="22"/>
        <v>26927027.888333332</v>
      </c>
      <c r="O97" s="337">
        <f t="shared" si="22"/>
        <v>50046154.878333315</v>
      </c>
      <c r="P97" s="338">
        <f t="shared" si="17"/>
        <v>901140.80999997258</v>
      </c>
      <c r="Q97" s="339">
        <f t="shared" si="14"/>
        <v>2.8616729437915926E-2</v>
      </c>
    </row>
    <row r="98" spans="1:17" ht="13.5" thickTop="1">
      <c r="A98" s="3"/>
      <c r="B98" s="3"/>
      <c r="C98" s="340" t="s">
        <v>267</v>
      </c>
      <c r="D98" s="341"/>
      <c r="E98" s="342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</row>
    <row r="99" spans="1:1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">
      <c r="A8" s="3"/>
      <c r="B8" s="3"/>
      <c r="C8" s="4"/>
      <c r="D8" s="3"/>
      <c r="E8" s="3"/>
      <c r="F8" s="3"/>
      <c r="G8" s="585" t="str">
        <f>IF(MasterSheet!$A$1=1, MasterSheet!C5,MasterSheet!B5)</f>
        <v>CRNA GORA</v>
      </c>
      <c r="H8" s="585"/>
      <c r="I8" s="58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>
      <c r="A9" s="3"/>
      <c r="B9" s="3"/>
      <c r="C9" s="3"/>
      <c r="D9" s="3"/>
      <c r="E9" s="3"/>
      <c r="F9" s="585" t="str">
        <f>IF(MasterSheet!$A$1=1, MasterSheet!C6,MasterSheet!B6)</f>
        <v>MINISTARSTVO FINANSIJA</v>
      </c>
      <c r="G9" s="585"/>
      <c r="H9" s="585"/>
      <c r="I9" s="585"/>
      <c r="J9" s="58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3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/>
      <c r="B12" s="3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3.5" thickBot="1">
      <c r="A13" s="3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1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7.25" thickTop="1" thickBot="1">
      <c r="B14" s="84"/>
      <c r="C14" s="85" t="str">
        <f>IF(MasterSheet!$A$1=1,MasterSheet!B67,MasterSheet!B66)</f>
        <v>BDP (u mil. €)</v>
      </c>
      <c r="D14" s="589">
        <f>+'2012 - execution '!D14</f>
        <v>3149000000</v>
      </c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90"/>
      <c r="Q14" s="81"/>
      <c r="R14" s="8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5.75" thickTop="1">
      <c r="A15" s="78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79"/>
      <c r="N15" s="79"/>
      <c r="O15" s="80"/>
      <c r="P15" s="80"/>
      <c r="Q15" s="80"/>
      <c r="R15" s="8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7.25" customHeight="1" thickBot="1">
      <c r="A16" s="3"/>
      <c r="B16" s="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25" customHeight="1" thickTop="1">
      <c r="A17" s="3"/>
      <c r="B17" s="3"/>
      <c r="C17" s="605" t="s">
        <v>416</v>
      </c>
      <c r="D17" s="602">
        <v>2012</v>
      </c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4"/>
      <c r="Q17" s="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thickBot="1">
      <c r="A18" s="3"/>
      <c r="B18" s="3"/>
      <c r="C18" s="606"/>
      <c r="D18" s="39" t="str">
        <f>IF(MasterSheet!$A$1=1,MasterSheet!C336,MasterSheet!C335)</f>
        <v>Januar</v>
      </c>
      <c r="E18" s="40" t="str">
        <f>IF(MasterSheet!$A$1=1,MasterSheet!D336,MasterSheet!D335)</f>
        <v>Februar</v>
      </c>
      <c r="F18" s="40" t="str">
        <f>IF(MasterSheet!$A$1=1,MasterSheet!E336,MasterSheet!E335)</f>
        <v>Mart</v>
      </c>
      <c r="G18" s="40" t="str">
        <f>IF(MasterSheet!$A$1=1,MasterSheet!F336,MasterSheet!F335)</f>
        <v>April</v>
      </c>
      <c r="H18" s="40" t="str">
        <f>IF(MasterSheet!$A$1=1,MasterSheet!G336,MasterSheet!G335)</f>
        <v>Maj</v>
      </c>
      <c r="I18" s="40" t="str">
        <f>IF(MasterSheet!$A$1=1,MasterSheet!H336,MasterSheet!H335)</f>
        <v>Jun</v>
      </c>
      <c r="J18" s="40" t="str">
        <f>IF(MasterSheet!$A$1=1,MasterSheet!I336,MasterSheet!I335)</f>
        <v>Jul</v>
      </c>
      <c r="K18" s="41" t="str">
        <f>IF(MasterSheet!$A$1=1,MasterSheet!J336,MasterSheet!J335)</f>
        <v>Avgust</v>
      </c>
      <c r="L18" s="41" t="str">
        <f>IF(MasterSheet!$A$1=1,MasterSheet!K336,MasterSheet!K335)</f>
        <v>Septembar</v>
      </c>
      <c r="M18" s="41" t="str">
        <f>IF(MasterSheet!$A$1=1,MasterSheet!L336,MasterSheet!L335)</f>
        <v>Oktobar</v>
      </c>
      <c r="N18" s="41" t="str">
        <f>IF(MasterSheet!$A$1=1,MasterSheet!M336,MasterSheet!M335)</f>
        <v>Novembar</v>
      </c>
      <c r="O18" s="50" t="str">
        <f>IF(MasterSheet!$A$1=1,MasterSheet!N336,MasterSheet!N335)</f>
        <v>Decembar</v>
      </c>
      <c r="P18" s="42">
        <v>2012</v>
      </c>
      <c r="Q18" s="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" customHeight="1" thickTop="1" thickBot="1">
      <c r="A19" s="3"/>
      <c r="B19" s="3"/>
      <c r="C19" s="35" t="str">
        <f>IF(MasterSheet!$A$1=1,MasterSheet!C337,MasterSheet!B337)</f>
        <v>Izvorni prihodi</v>
      </c>
      <c r="D19" s="36">
        <f>+D20+D28+D33+D38+D45+D50</f>
        <v>49090469.247314483</v>
      </c>
      <c r="E19" s="37">
        <f t="shared" ref="E19:O19" si="0">+E20+E28+E33+E38+E45+E50</f>
        <v>67723340.679999977</v>
      </c>
      <c r="F19" s="37">
        <f t="shared" si="0"/>
        <v>76230494.38000001</v>
      </c>
      <c r="G19" s="37">
        <f t="shared" si="0"/>
        <v>95056928.31688787</v>
      </c>
      <c r="H19" s="37">
        <f t="shared" si="0"/>
        <v>95751882.955327958</v>
      </c>
      <c r="I19" s="37">
        <f t="shared" si="0"/>
        <v>104234267.11657566</v>
      </c>
      <c r="J19" s="37">
        <f t="shared" si="0"/>
        <v>118066917.09975642</v>
      </c>
      <c r="K19" s="38">
        <f t="shared" si="0"/>
        <v>117316712.64636129</v>
      </c>
      <c r="L19" s="38">
        <f t="shared" si="0"/>
        <v>111323542.91336422</v>
      </c>
      <c r="M19" s="38">
        <f t="shared" si="0"/>
        <v>97362840.285213619</v>
      </c>
      <c r="N19" s="38">
        <f t="shared" si="0"/>
        <v>91299112.713989705</v>
      </c>
      <c r="O19" s="51">
        <f t="shared" si="0"/>
        <v>126600464.29134272</v>
      </c>
      <c r="P19" s="131">
        <f>+SUM(D19:O19)</f>
        <v>1150056972.6461337</v>
      </c>
      <c r="Q19" s="6"/>
      <c r="R19" s="15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thickTop="1">
      <c r="A20" s="3"/>
      <c r="B20" s="3"/>
      <c r="C20" s="20" t="str">
        <f>IF(MasterSheet!$A$1=1,MasterSheet!C338,MasterSheet!B338)</f>
        <v>Porezi</v>
      </c>
      <c r="D20" s="27">
        <f>+SUM(D21:D27)</f>
        <v>35884139.43</v>
      </c>
      <c r="E20" s="28">
        <f t="shared" ref="E20:O20" si="1">+SUM(E21:E27)</f>
        <v>38790866.019999996</v>
      </c>
      <c r="F20" s="28">
        <f t="shared" si="1"/>
        <v>44749384.840000004</v>
      </c>
      <c r="G20" s="28">
        <f t="shared" si="1"/>
        <v>59809575.521334693</v>
      </c>
      <c r="H20" s="28">
        <f t="shared" si="1"/>
        <v>59954132.231166467</v>
      </c>
      <c r="I20" s="28">
        <f t="shared" si="1"/>
        <v>66594825.407146081</v>
      </c>
      <c r="J20" s="28">
        <f t="shared" si="1"/>
        <v>74656350.874309167</v>
      </c>
      <c r="K20" s="29">
        <f t="shared" si="1"/>
        <v>80900011.372522965</v>
      </c>
      <c r="L20" s="29">
        <f t="shared" si="1"/>
        <v>76427271.044919074</v>
      </c>
      <c r="M20" s="29">
        <f t="shared" si="1"/>
        <v>60689628.398465954</v>
      </c>
      <c r="N20" s="29">
        <f t="shared" si="1"/>
        <v>57540714.64723257</v>
      </c>
      <c r="O20" s="52">
        <f t="shared" si="1"/>
        <v>69616717.594397381</v>
      </c>
      <c r="P20" s="30">
        <f t="shared" ref="P20:P81" si="2">+SUM(D20:O20)</f>
        <v>725613617.3814944</v>
      </c>
      <c r="Q20" s="6"/>
      <c r="R20" s="15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5" customHeight="1">
      <c r="A21" s="3"/>
      <c r="B21" s="3"/>
      <c r="C21" s="21" t="str">
        <f>IF(MasterSheet!$A$1=1,MasterSheet!C339,MasterSheet!B339)</f>
        <v>Porez na dohodak fizičkih lica</v>
      </c>
      <c r="D21" s="31">
        <v>2584361.34</v>
      </c>
      <c r="E21" s="32">
        <v>5333687.79</v>
      </c>
      <c r="F21" s="32">
        <v>6340026.6100000003</v>
      </c>
      <c r="G21" s="32">
        <v>6899643.1454624813</v>
      </c>
      <c r="H21" s="32">
        <v>6600971.8524795119</v>
      </c>
      <c r="I21" s="32">
        <v>7114020.48814948</v>
      </c>
      <c r="J21" s="32">
        <v>8215100.6202326622</v>
      </c>
      <c r="K21" s="33">
        <v>6740386.7046623118</v>
      </c>
      <c r="L21" s="33">
        <v>6726627.2033528583</v>
      </c>
      <c r="M21" s="33">
        <v>7521228.2862954009</v>
      </c>
      <c r="N21" s="33">
        <v>6865054.8126747478</v>
      </c>
      <c r="O21" s="53">
        <v>10553909.375907566</v>
      </c>
      <c r="P21" s="34">
        <f t="shared" si="2"/>
        <v>81495018.229217038</v>
      </c>
      <c r="Q21" s="6"/>
      <c r="R21" s="15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" customHeight="1">
      <c r="A22" s="3"/>
      <c r="B22" s="3"/>
      <c r="C22" s="21" t="str">
        <f>IF(MasterSheet!$A$1=1,MasterSheet!C340,MasterSheet!B340)</f>
        <v>Porez na dobit pravnih lica</v>
      </c>
      <c r="D22" s="31">
        <v>405891.15</v>
      </c>
      <c r="E22" s="32">
        <v>434576.57</v>
      </c>
      <c r="F22" s="32">
        <v>4545996.0599999996</v>
      </c>
      <c r="G22" s="32">
        <v>12775632.6306853</v>
      </c>
      <c r="H22" s="32">
        <v>4034745.26468893</v>
      </c>
      <c r="I22" s="32">
        <v>4038531.2986496501</v>
      </c>
      <c r="J22" s="32">
        <v>4096624.1645811498</v>
      </c>
      <c r="K22" s="33">
        <v>4106517.31189611</v>
      </c>
      <c r="L22" s="33">
        <v>3531850.6365874051</v>
      </c>
      <c r="M22" s="33">
        <v>2866253.0291905645</v>
      </c>
      <c r="N22" s="33">
        <v>2210022.150889725</v>
      </c>
      <c r="O22" s="53">
        <v>3827334.67535508</v>
      </c>
      <c r="P22" s="34">
        <f t="shared" si="2"/>
        <v>46873974.942523912</v>
      </c>
      <c r="Q22" s="6"/>
      <c r="R22" s="15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>
      <c r="A23" s="3"/>
      <c r="B23" s="3"/>
      <c r="C23" s="21" t="str">
        <f>IF(MasterSheet!$A$1=1,MasterSheet!C341,MasterSheet!B341)</f>
        <v>Porez na imovinu</v>
      </c>
      <c r="D23" s="31">
        <v>77264.789999999994</v>
      </c>
      <c r="E23" s="32">
        <v>98564.160000000003</v>
      </c>
      <c r="F23" s="32">
        <v>177064.83</v>
      </c>
      <c r="G23" s="32">
        <v>90009.811791237225</v>
      </c>
      <c r="H23" s="32">
        <v>116008.39646101542</v>
      </c>
      <c r="I23" s="32">
        <v>121085.57673450338</v>
      </c>
      <c r="J23" s="32">
        <v>103764.9934183138</v>
      </c>
      <c r="K23" s="33">
        <v>135318.93016237771</v>
      </c>
      <c r="L23" s="33">
        <v>125345.73569109281</v>
      </c>
      <c r="M23" s="33">
        <v>152102.71025805321</v>
      </c>
      <c r="N23" s="33">
        <v>149405.7751982155</v>
      </c>
      <c r="O23" s="53">
        <v>128911.89908753893</v>
      </c>
      <c r="P23" s="34">
        <f t="shared" si="2"/>
        <v>1474847.6088023479</v>
      </c>
      <c r="Q23" s="6"/>
      <c r="R23" s="15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" customHeight="1">
      <c r="A24" s="3"/>
      <c r="B24" s="3"/>
      <c r="C24" s="21" t="str">
        <f>IF(MasterSheet!$A$1=1,MasterSheet!C342,MasterSheet!B342)</f>
        <v>Porez na dodatu vrijednost</v>
      </c>
      <c r="D24" s="31">
        <v>21196163.460000001</v>
      </c>
      <c r="E24" s="32">
        <v>21324767.77</v>
      </c>
      <c r="F24" s="32">
        <v>23762618.34</v>
      </c>
      <c r="G24" s="32">
        <v>24674166.005451169</v>
      </c>
      <c r="H24" s="32">
        <v>30277340.189314827</v>
      </c>
      <c r="I24" s="32">
        <v>36331542.321197756</v>
      </c>
      <c r="J24" s="32">
        <v>39251330.15294154</v>
      </c>
      <c r="K24" s="33">
        <v>46581355.607926205</v>
      </c>
      <c r="L24" s="33">
        <v>41560282.748583443</v>
      </c>
      <c r="M24" s="33">
        <v>30962039.26754114</v>
      </c>
      <c r="N24" s="33">
        <v>29798326.476192769</v>
      </c>
      <c r="O24" s="53">
        <v>35500610.184197843</v>
      </c>
      <c r="P24" s="34">
        <f t="shared" si="2"/>
        <v>381220542.52334666</v>
      </c>
      <c r="Q24" s="6"/>
      <c r="R24" s="15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>
      <c r="A25" s="3"/>
      <c r="B25" s="3"/>
      <c r="C25" s="21" t="str">
        <f>IF(MasterSheet!$A$1=1,MasterSheet!C343,MasterSheet!B343)</f>
        <v xml:space="preserve">Akcize </v>
      </c>
      <c r="D25" s="31">
        <v>9267303.6799999997</v>
      </c>
      <c r="E25" s="32">
        <v>9083966.1199999992</v>
      </c>
      <c r="F25" s="32">
        <v>6379102.2800000003</v>
      </c>
      <c r="G25" s="32">
        <v>11244037.765928697</v>
      </c>
      <c r="H25" s="32">
        <v>14079291.317961704</v>
      </c>
      <c r="I25" s="32">
        <v>13784865.076531049</v>
      </c>
      <c r="J25" s="32">
        <v>17843487.435989011</v>
      </c>
      <c r="K25" s="33">
        <v>17698521.140411217</v>
      </c>
      <c r="L25" s="33">
        <v>19479265.326254725</v>
      </c>
      <c r="M25" s="33">
        <v>14959094.680419376</v>
      </c>
      <c r="N25" s="33">
        <v>14431052.556645213</v>
      </c>
      <c r="O25" s="53">
        <v>14810367.692904683</v>
      </c>
      <c r="P25" s="34">
        <f t="shared" si="2"/>
        <v>163060355.07304567</v>
      </c>
      <c r="Q25" s="6"/>
      <c r="R25" s="15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>
      <c r="A26" s="3"/>
      <c r="B26" s="3"/>
      <c r="C26" s="21" t="str">
        <f>IF(MasterSheet!$A$1=1,MasterSheet!C344,MasterSheet!B344)</f>
        <v>Porez na međ. trgov. i transakcije</v>
      </c>
      <c r="D26" s="31">
        <v>2099688</v>
      </c>
      <c r="E26" s="32">
        <v>2267285.1800000002</v>
      </c>
      <c r="F26" s="32">
        <v>3241532.58</v>
      </c>
      <c r="G26" s="32">
        <v>3763688.0048280312</v>
      </c>
      <c r="H26" s="32">
        <v>4479283.9786286028</v>
      </c>
      <c r="I26" s="32">
        <v>4779150.3767327284</v>
      </c>
      <c r="J26" s="32">
        <v>4793105.3140469501</v>
      </c>
      <c r="K26" s="33">
        <v>5232685.6134309592</v>
      </c>
      <c r="L26" s="33">
        <v>4621116.9066925542</v>
      </c>
      <c r="M26" s="33">
        <v>3871649.5325242481</v>
      </c>
      <c r="N26" s="33">
        <v>3733363.4369399128</v>
      </c>
      <c r="O26" s="53">
        <v>4457745.9807347255</v>
      </c>
      <c r="P26" s="34">
        <f t="shared" si="2"/>
        <v>47340294.904558711</v>
      </c>
      <c r="Q26" s="6"/>
      <c r="R26" s="15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" customHeight="1">
      <c r="A27" s="3"/>
      <c r="B27" s="3"/>
      <c r="C27" s="21" t="str">
        <f>IF(MasterSheet!$A$1=1,MasterSheet!C345,MasterSheet!B345)</f>
        <v>Ostali republički porezi</v>
      </c>
      <c r="D27" s="31">
        <v>253467.01</v>
      </c>
      <c r="E27" s="32">
        <v>248018.43</v>
      </c>
      <c r="F27" s="32">
        <v>303044.14</v>
      </c>
      <c r="G27" s="32">
        <v>362398.15718777996</v>
      </c>
      <c r="H27" s="32">
        <v>366491.23163187504</v>
      </c>
      <c r="I27" s="32">
        <v>425630.26915091689</v>
      </c>
      <c r="J27" s="32">
        <v>352938.19309954374</v>
      </c>
      <c r="K27" s="33">
        <v>405226.0640337792</v>
      </c>
      <c r="L27" s="33">
        <v>382782.48775700358</v>
      </c>
      <c r="M27" s="33">
        <v>357260.89223716373</v>
      </c>
      <c r="N27" s="33">
        <v>353489.43869199126</v>
      </c>
      <c r="O27" s="53">
        <v>337837.78620994627</v>
      </c>
      <c r="P27" s="34">
        <f t="shared" si="2"/>
        <v>4148584.0999999996</v>
      </c>
      <c r="Q27" s="6"/>
      <c r="R27" s="15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>
      <c r="A28" s="3"/>
      <c r="B28" s="3"/>
      <c r="C28" s="22" t="str">
        <f>IF(MasterSheet!$A$1=1,MasterSheet!C346,MasterSheet!B346)</f>
        <v>Doprinosi</v>
      </c>
      <c r="D28" s="27">
        <f>+SUM(D29:D32)</f>
        <v>9731156.040000001</v>
      </c>
      <c r="E28" s="28">
        <f t="shared" ref="E28:O28" si="3">+SUM(E29:E32)</f>
        <v>25137844.68</v>
      </c>
      <c r="F28" s="28">
        <f t="shared" si="3"/>
        <v>26888282.780000001</v>
      </c>
      <c r="G28" s="28">
        <f t="shared" si="3"/>
        <v>30174901.864837062</v>
      </c>
      <c r="H28" s="28">
        <f t="shared" si="3"/>
        <v>28251560.707096413</v>
      </c>
      <c r="I28" s="28">
        <f t="shared" si="3"/>
        <v>31316530.87041501</v>
      </c>
      <c r="J28" s="28">
        <f t="shared" si="3"/>
        <v>36931561.181749575</v>
      </c>
      <c r="K28" s="29">
        <f t="shared" si="3"/>
        <v>29709846.394185983</v>
      </c>
      <c r="L28" s="29">
        <f t="shared" si="3"/>
        <v>29419650.784605835</v>
      </c>
      <c r="M28" s="29">
        <f t="shared" si="3"/>
        <v>27738827.858062901</v>
      </c>
      <c r="N28" s="29">
        <f t="shared" si="3"/>
        <v>27626752.80655561</v>
      </c>
      <c r="O28" s="52">
        <f t="shared" si="3"/>
        <v>49065769.605793335</v>
      </c>
      <c r="P28" s="30">
        <f t="shared" si="2"/>
        <v>351992685.57330179</v>
      </c>
      <c r="Q28" s="6"/>
      <c r="R28" s="15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5" customHeight="1">
      <c r="A29" s="3"/>
      <c r="B29" s="3"/>
      <c r="C29" s="21" t="str">
        <f>IF(MasterSheet!$A$1=1,MasterSheet!C347,MasterSheet!B347)</f>
        <v>Doprinosi za PIO</v>
      </c>
      <c r="D29" s="31">
        <v>5695801.6600000001</v>
      </c>
      <c r="E29" s="32">
        <v>15441279.77</v>
      </c>
      <c r="F29" s="32">
        <v>15437035.58</v>
      </c>
      <c r="G29" s="32">
        <v>18484245.241564374</v>
      </c>
      <c r="H29" s="32">
        <v>17770132.816178389</v>
      </c>
      <c r="I29" s="32">
        <v>18627623.482507117</v>
      </c>
      <c r="J29" s="32">
        <v>22432831.167018</v>
      </c>
      <c r="K29" s="33">
        <v>18507817.88908077</v>
      </c>
      <c r="L29" s="33">
        <v>17927346.679670043</v>
      </c>
      <c r="M29" s="33">
        <v>15791755.400115408</v>
      </c>
      <c r="N29" s="33">
        <v>15509040.496979561</v>
      </c>
      <c r="O29" s="53">
        <v>30183681.739635807</v>
      </c>
      <c r="P29" s="34">
        <f t="shared" si="2"/>
        <v>211808591.92274943</v>
      </c>
      <c r="Q29" s="6"/>
      <c r="R29" s="15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>
      <c r="A30" s="3"/>
      <c r="B30" s="3"/>
      <c r="C30" s="21" t="str">
        <f>IF(MasterSheet!$A$1=1,MasterSheet!C348,MasterSheet!B348)</f>
        <v>Doprinosi za zdravstvo</v>
      </c>
      <c r="D30" s="31">
        <v>3347397.46</v>
      </c>
      <c r="E30" s="32">
        <v>8394380.3000000007</v>
      </c>
      <c r="F30" s="32">
        <v>9781009.6899999995</v>
      </c>
      <c r="G30" s="32">
        <v>10210111.779957371</v>
      </c>
      <c r="H30" s="32">
        <v>9223399.1775990929</v>
      </c>
      <c r="I30" s="32">
        <v>10633262.673842419</v>
      </c>
      <c r="J30" s="32">
        <v>12379390.241026372</v>
      </c>
      <c r="K30" s="33">
        <v>9832882.7879704498</v>
      </c>
      <c r="L30" s="33">
        <v>10128619.60888489</v>
      </c>
      <c r="M30" s="33">
        <v>9667721.9172335733</v>
      </c>
      <c r="N30" s="33">
        <v>10404774.096872106</v>
      </c>
      <c r="O30" s="53">
        <v>16203671.827901902</v>
      </c>
      <c r="P30" s="34">
        <f t="shared" si="2"/>
        <v>120206621.56128818</v>
      </c>
      <c r="Q30" s="6"/>
      <c r="R30" s="15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>
      <c r="A31" s="3"/>
      <c r="B31" s="3"/>
      <c r="C31" s="21" t="str">
        <f>IF(MasterSheet!$A$1=1,MasterSheet!C349,MasterSheet!B349)</f>
        <v>Doprinosi za nezaposlene</v>
      </c>
      <c r="D31" s="31">
        <v>261820.11</v>
      </c>
      <c r="E31" s="32">
        <v>670649.61</v>
      </c>
      <c r="F31" s="32">
        <v>810598.01</v>
      </c>
      <c r="G31" s="32">
        <v>998492.13752230862</v>
      </c>
      <c r="H31" s="32">
        <v>877381.50342924136</v>
      </c>
      <c r="I31" s="32">
        <v>1513064.0375214359</v>
      </c>
      <c r="J31" s="32">
        <v>1145734.1238778001</v>
      </c>
      <c r="K31" s="33">
        <v>928882.6409355331</v>
      </c>
      <c r="L31" s="33">
        <v>925847.20714586624</v>
      </c>
      <c r="M31" s="33">
        <v>1124020.9347312516</v>
      </c>
      <c r="N31" s="33">
        <v>518497.140110565</v>
      </c>
      <c r="O31" s="53">
        <v>1290905.1883541213</v>
      </c>
      <c r="P31" s="34">
        <f t="shared" si="2"/>
        <v>11065892.643628124</v>
      </c>
      <c r="Q31" s="6"/>
      <c r="R31" s="15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5" customHeight="1">
      <c r="A32" s="3"/>
      <c r="B32" s="3"/>
      <c r="C32" s="21" t="str">
        <f>IF(MasterSheet!$A$1=1,MasterSheet!C350,MasterSheet!B350)</f>
        <v>Ostali doprinosi</v>
      </c>
      <c r="D32" s="31">
        <v>426136.81</v>
      </c>
      <c r="E32" s="32">
        <v>631535</v>
      </c>
      <c r="F32" s="32">
        <v>859639.5</v>
      </c>
      <c r="G32" s="32">
        <v>482052.70579300536</v>
      </c>
      <c r="H32" s="32">
        <v>380647.20988968899</v>
      </c>
      <c r="I32" s="32">
        <v>542580.67654403497</v>
      </c>
      <c r="J32" s="32">
        <v>973605.6498274093</v>
      </c>
      <c r="K32" s="33">
        <v>440263.07619923091</v>
      </c>
      <c r="L32" s="33">
        <v>437837.28890503506</v>
      </c>
      <c r="M32" s="33">
        <v>1155329.6059826692</v>
      </c>
      <c r="N32" s="33">
        <v>1194441.0725933802</v>
      </c>
      <c r="O32" s="53">
        <v>1387510.8499015067</v>
      </c>
      <c r="P32" s="34">
        <f t="shared" si="2"/>
        <v>8911579.4456359595</v>
      </c>
      <c r="Q32" s="6"/>
      <c r="R32" s="157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>
      <c r="A33" s="3"/>
      <c r="B33" s="3"/>
      <c r="C33" s="22" t="str">
        <f>IF(MasterSheet!$A$1=1,MasterSheet!C351,MasterSheet!B351)</f>
        <v>Takse</v>
      </c>
      <c r="D33" s="27">
        <f>+SUM(D34:D37)</f>
        <v>1157748.0273144848</v>
      </c>
      <c r="E33" s="28">
        <f t="shared" ref="E33:O33" si="4">+SUM(E34:E37)</f>
        <v>802553.01</v>
      </c>
      <c r="F33" s="28">
        <f t="shared" si="4"/>
        <v>1028373.58</v>
      </c>
      <c r="G33" s="28">
        <f t="shared" si="4"/>
        <v>1689109.847851604</v>
      </c>
      <c r="H33" s="28">
        <f t="shared" si="4"/>
        <v>2799824.8997433251</v>
      </c>
      <c r="I33" s="28">
        <f t="shared" si="4"/>
        <v>2941388.8289866522</v>
      </c>
      <c r="J33" s="28">
        <f t="shared" si="4"/>
        <v>2767670.6173512251</v>
      </c>
      <c r="K33" s="29">
        <f t="shared" si="4"/>
        <v>3019996.1538047213</v>
      </c>
      <c r="L33" s="29">
        <f t="shared" si="4"/>
        <v>2805146.207217061</v>
      </c>
      <c r="M33" s="29">
        <f t="shared" si="4"/>
        <v>2672236.0550296372</v>
      </c>
      <c r="N33" s="29">
        <f t="shared" si="4"/>
        <v>2631987.7001344641</v>
      </c>
      <c r="O33" s="52">
        <f t="shared" si="4"/>
        <v>2773099.8066372396</v>
      </c>
      <c r="P33" s="30">
        <f t="shared" si="2"/>
        <v>27089134.734070413</v>
      </c>
      <c r="Q33" s="6"/>
      <c r="R33" s="15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5" customHeight="1">
      <c r="A34" s="3"/>
      <c r="B34" s="3"/>
      <c r="C34" s="21" t="str">
        <f>IF(MasterSheet!$A$1=1,MasterSheet!C352,MasterSheet!B352)</f>
        <v>Administrativne takse</v>
      </c>
      <c r="D34" s="31">
        <v>669702.69756564009</v>
      </c>
      <c r="E34" s="32">
        <v>514488.16</v>
      </c>
      <c r="F34" s="32">
        <v>683989.8</v>
      </c>
      <c r="G34" s="32">
        <v>1119481.2460152011</v>
      </c>
      <c r="H34" s="32">
        <v>1182651.5193698509</v>
      </c>
      <c r="I34" s="32">
        <v>1242789.2554271924</v>
      </c>
      <c r="J34" s="32">
        <v>1049947.6896450392</v>
      </c>
      <c r="K34" s="33">
        <v>1199052.07047481</v>
      </c>
      <c r="L34" s="33">
        <v>1029504.0962408101</v>
      </c>
      <c r="M34" s="33">
        <v>951733.82764699298</v>
      </c>
      <c r="N34" s="33">
        <v>955537.31299001421</v>
      </c>
      <c r="O34" s="53">
        <v>977576.33247074706</v>
      </c>
      <c r="P34" s="34">
        <f t="shared" si="2"/>
        <v>11576454.007846298</v>
      </c>
      <c r="Q34" s="6"/>
      <c r="R34" s="15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" customHeight="1">
      <c r="A35" s="3"/>
      <c r="B35" s="3"/>
      <c r="C35" s="21" t="str">
        <f>IF(MasterSheet!$A$1=1,MasterSheet!C353,MasterSheet!B353)</f>
        <v>Sudske takse</v>
      </c>
      <c r="D35" s="31">
        <v>448577.75176327256</v>
      </c>
      <c r="E35" s="32">
        <v>252773.36</v>
      </c>
      <c r="F35" s="32">
        <v>319795.43</v>
      </c>
      <c r="G35" s="32">
        <v>431391.02357466321</v>
      </c>
      <c r="H35" s="32">
        <v>408596.23006008938</v>
      </c>
      <c r="I35" s="32">
        <v>432932.29827326466</v>
      </c>
      <c r="J35" s="32">
        <v>360058.83565197239</v>
      </c>
      <c r="K35" s="33">
        <v>298534.551709291</v>
      </c>
      <c r="L35" s="33">
        <v>366480.4193458588</v>
      </c>
      <c r="M35" s="33">
        <v>397041.12981746282</v>
      </c>
      <c r="N35" s="33">
        <v>394899.31904399244</v>
      </c>
      <c r="O35" s="53">
        <v>463925.92911660351</v>
      </c>
      <c r="P35" s="34">
        <f t="shared" si="2"/>
        <v>4575006.278356472</v>
      </c>
      <c r="Q35" s="6"/>
      <c r="R35" s="15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>
      <c r="A36" s="3"/>
      <c r="B36" s="3"/>
      <c r="C36" s="21" t="str">
        <f>IF(MasterSheet!$A$1=1,MasterSheet!C354,MasterSheet!B354)</f>
        <v>Boravišne takse</v>
      </c>
      <c r="D36" s="31">
        <v>4255.2776430082668</v>
      </c>
      <c r="E36" s="32">
        <v>5374.77</v>
      </c>
      <c r="F36" s="32">
        <v>5399.35</v>
      </c>
      <c r="G36" s="32">
        <v>12735.730956291767</v>
      </c>
      <c r="H36" s="32">
        <v>15890.281741399323</v>
      </c>
      <c r="I36" s="32">
        <v>46484.026257342812</v>
      </c>
      <c r="J36" s="32">
        <v>113799.73141277127</v>
      </c>
      <c r="K36" s="33">
        <v>196723.80202430388</v>
      </c>
      <c r="L36" s="33">
        <v>99640.714607125366</v>
      </c>
      <c r="M36" s="33">
        <v>41043.681967885328</v>
      </c>
      <c r="N36" s="33">
        <v>15621.399052826671</v>
      </c>
      <c r="O36" s="53">
        <v>17507.43652182513</v>
      </c>
      <c r="P36" s="34">
        <f t="shared" si="2"/>
        <v>574476.20218477992</v>
      </c>
      <c r="Q36" s="6"/>
      <c r="R36" s="157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>
      <c r="A37" s="3"/>
      <c r="B37" s="3"/>
      <c r="C37" s="21" t="str">
        <f>IF(MasterSheet!$A$1=1,MasterSheet!C355,MasterSheet!B355)</f>
        <v>Ostale takse</v>
      </c>
      <c r="D37" s="31">
        <v>35212.300342563933</v>
      </c>
      <c r="E37" s="32">
        <v>29916.720000000001</v>
      </c>
      <c r="F37" s="32">
        <v>19189</v>
      </c>
      <c r="G37" s="32">
        <v>125501.84730544793</v>
      </c>
      <c r="H37" s="32">
        <v>1192686.8685719853</v>
      </c>
      <c r="I37" s="32">
        <v>1219183.2490288524</v>
      </c>
      <c r="J37" s="32">
        <v>1243864.3606414422</v>
      </c>
      <c r="K37" s="33">
        <v>1325685.7295963163</v>
      </c>
      <c r="L37" s="33">
        <v>1309520.9770232667</v>
      </c>
      <c r="M37" s="33">
        <v>1282417.4155972959</v>
      </c>
      <c r="N37" s="33">
        <v>1265929.6690476309</v>
      </c>
      <c r="O37" s="53">
        <v>1314090.1085280636</v>
      </c>
      <c r="P37" s="34">
        <f t="shared" si="2"/>
        <v>10363198.245682865</v>
      </c>
      <c r="Q37" s="6"/>
      <c r="R37" s="157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" customHeight="1">
      <c r="A38" s="3"/>
      <c r="B38" s="3"/>
      <c r="C38" s="22" t="str">
        <f>IF(MasterSheet!$A$1=1,MasterSheet!C356,MasterSheet!B356)</f>
        <v>Naknade</v>
      </c>
      <c r="D38" s="27">
        <f>+SUM(D39:D44)</f>
        <v>839122.82</v>
      </c>
      <c r="E38" s="28">
        <f t="shared" ref="E38:O38" si="5">+SUM(E39:E44)</f>
        <v>792117.05</v>
      </c>
      <c r="F38" s="28">
        <f t="shared" si="5"/>
        <v>742715.4</v>
      </c>
      <c r="G38" s="28">
        <f t="shared" si="5"/>
        <v>1301707.0104430066</v>
      </c>
      <c r="H38" s="28">
        <f t="shared" si="5"/>
        <v>2311222.3007926596</v>
      </c>
      <c r="I38" s="28">
        <f t="shared" si="5"/>
        <v>1118015.8995321407</v>
      </c>
      <c r="J38" s="28">
        <f t="shared" si="5"/>
        <v>1377128.244789782</v>
      </c>
      <c r="K38" s="29">
        <f t="shared" si="5"/>
        <v>1220692.8725631372</v>
      </c>
      <c r="L38" s="29">
        <f t="shared" si="5"/>
        <v>1095139.8697426463</v>
      </c>
      <c r="M38" s="29">
        <f t="shared" si="5"/>
        <v>1965591.7890931712</v>
      </c>
      <c r="N38" s="29">
        <f t="shared" si="5"/>
        <v>1043402.4813424207</v>
      </c>
      <c r="O38" s="52">
        <f t="shared" si="5"/>
        <v>1644215.9155997415</v>
      </c>
      <c r="P38" s="30">
        <f t="shared" si="2"/>
        <v>15451071.653898705</v>
      </c>
      <c r="Q38" s="6"/>
      <c r="R38" s="15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" customHeight="1">
      <c r="A39" s="3"/>
      <c r="B39" s="3"/>
      <c r="C39" s="21" t="str">
        <f>IF(MasterSheet!$A$1=1,MasterSheet!C357,MasterSheet!B357)</f>
        <v>Nakn. za koriš. dob. od opš. int.</v>
      </c>
      <c r="D39" s="31">
        <v>55049.09</v>
      </c>
      <c r="E39" s="32">
        <v>17306.62</v>
      </c>
      <c r="F39" s="32">
        <v>16879.599999999999</v>
      </c>
      <c r="G39" s="32">
        <v>309763.84096257715</v>
      </c>
      <c r="H39" s="32">
        <v>279013.71592666203</v>
      </c>
      <c r="I39" s="32">
        <v>398888.85070302931</v>
      </c>
      <c r="J39" s="32">
        <v>284973.01342663105</v>
      </c>
      <c r="K39" s="33">
        <v>342367.87144499319</v>
      </c>
      <c r="L39" s="33">
        <v>327310.54110957368</v>
      </c>
      <c r="M39" s="33">
        <v>319858.27719186351</v>
      </c>
      <c r="N39" s="33">
        <v>279280.09299900749</v>
      </c>
      <c r="O39" s="53">
        <v>368771.64432610344</v>
      </c>
      <c r="P39" s="34">
        <f t="shared" si="2"/>
        <v>2999463.1580904406</v>
      </c>
      <c r="Q39" s="6"/>
      <c r="R39" s="15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" customHeight="1">
      <c r="A40" s="3"/>
      <c r="B40" s="3"/>
      <c r="C40" s="21" t="str">
        <f>IF(MasterSheet!$A$1=1,MasterSheet!C358,MasterSheet!B358)</f>
        <v>Naknada za kor. prirodnih dobara</v>
      </c>
      <c r="D40" s="31">
        <v>45159</v>
      </c>
      <c r="E40" s="32">
        <v>65694.95</v>
      </c>
      <c r="F40" s="32">
        <v>71910.320000000007</v>
      </c>
      <c r="G40" s="32">
        <v>95484.339537086067</v>
      </c>
      <c r="H40" s="32">
        <v>95484.339537086067</v>
      </c>
      <c r="I40" s="32">
        <v>95484.339537086067</v>
      </c>
      <c r="J40" s="32">
        <v>95484.339537086067</v>
      </c>
      <c r="K40" s="33">
        <v>95484.339537086067</v>
      </c>
      <c r="L40" s="33">
        <v>95484.339537086067</v>
      </c>
      <c r="M40" s="33">
        <v>95484.339537086067</v>
      </c>
      <c r="N40" s="33">
        <v>95484.339537086067</v>
      </c>
      <c r="O40" s="53">
        <v>95484.339537086067</v>
      </c>
      <c r="P40" s="34">
        <f t="shared" si="2"/>
        <v>1042123.3258337748</v>
      </c>
      <c r="Q40" s="6"/>
      <c r="R40" s="15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>
      <c r="A41" s="3"/>
      <c r="B41" s="3"/>
      <c r="C41" s="21" t="str">
        <f>IF(MasterSheet!$A$1=1,MasterSheet!C359,MasterSheet!B359)</f>
        <v>Ekološke naknade</v>
      </c>
      <c r="D41" s="31">
        <v>178437.34</v>
      </c>
      <c r="E41" s="32">
        <v>1601.92</v>
      </c>
      <c r="F41" s="32">
        <v>9698.7999999999993</v>
      </c>
      <c r="G41" s="32">
        <v>141504.99939744329</v>
      </c>
      <c r="H41" s="32">
        <v>141504.99939744329</v>
      </c>
      <c r="I41" s="32">
        <v>141504.99939744329</v>
      </c>
      <c r="J41" s="32">
        <v>141504.99939744329</v>
      </c>
      <c r="K41" s="33">
        <v>141504.99939744329</v>
      </c>
      <c r="L41" s="33">
        <v>141504.99939744329</v>
      </c>
      <c r="M41" s="33">
        <v>141504.99939744329</v>
      </c>
      <c r="N41" s="33">
        <v>141504.99939744329</v>
      </c>
      <c r="O41" s="53">
        <v>141504.99939744329</v>
      </c>
      <c r="P41" s="34">
        <f t="shared" si="2"/>
        <v>1463283.0545769897</v>
      </c>
      <c r="Q41" s="6"/>
      <c r="R41" s="15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>
      <c r="A42" s="3"/>
      <c r="B42" s="3"/>
      <c r="C42" s="21" t="str">
        <f>IF(MasterSheet!$A$1=1,MasterSheet!C360,MasterSheet!B360)</f>
        <v>Naknade za priređ.  igara na sreću</v>
      </c>
      <c r="D42" s="31">
        <v>206077.15</v>
      </c>
      <c r="E42" s="32">
        <v>279371.71000000002</v>
      </c>
      <c r="F42" s="32">
        <v>313567.45</v>
      </c>
      <c r="G42" s="32">
        <v>57524.68711496226</v>
      </c>
      <c r="H42" s="32">
        <v>1298804.1898441419</v>
      </c>
      <c r="I42" s="32">
        <v>68352.918112544663</v>
      </c>
      <c r="J42" s="32">
        <v>55576.139532327797</v>
      </c>
      <c r="K42" s="33">
        <v>193691.27846575619</v>
      </c>
      <c r="L42" s="33">
        <v>182617.46701051402</v>
      </c>
      <c r="M42" s="33">
        <v>166919.30026882727</v>
      </c>
      <c r="N42" s="33">
        <v>108666.61947892298</v>
      </c>
      <c r="O42" s="53">
        <v>266314.79083468847</v>
      </c>
      <c r="P42" s="34">
        <f t="shared" si="2"/>
        <v>3197483.7006626856</v>
      </c>
      <c r="Q42" s="6"/>
      <c r="R42" s="157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>
      <c r="A43" s="3"/>
      <c r="B43" s="3"/>
      <c r="C43" s="21" t="str">
        <f>IF(MasterSheet!$A$1=1,MasterSheet!C361,MasterSheet!B361)</f>
        <v>Naknade za puteve</v>
      </c>
      <c r="D43" s="31">
        <v>245088</v>
      </c>
      <c r="E43" s="32">
        <v>217809.7</v>
      </c>
      <c r="F43" s="32">
        <v>213761.85</v>
      </c>
      <c r="G43" s="32">
        <v>196710.48991102431</v>
      </c>
      <c r="H43" s="32">
        <v>295418.76689994137</v>
      </c>
      <c r="I43" s="32">
        <v>219166.94959957179</v>
      </c>
      <c r="J43" s="32">
        <v>244522.45931992665</v>
      </c>
      <c r="K43" s="33">
        <v>278186.66683583241</v>
      </c>
      <c r="L43" s="33">
        <v>171190.03729971327</v>
      </c>
      <c r="M43" s="33">
        <v>648792.36177756009</v>
      </c>
      <c r="N43" s="33">
        <v>192204.43879678732</v>
      </c>
      <c r="O43" s="53">
        <v>204363.29001997915</v>
      </c>
      <c r="P43" s="34">
        <f t="shared" si="2"/>
        <v>3127215.0104603367</v>
      </c>
      <c r="Q43" s="6"/>
      <c r="R43" s="157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5" customHeight="1">
      <c r="A44" s="3"/>
      <c r="B44" s="3"/>
      <c r="C44" s="21" t="str">
        <f>IF(MasterSheet!$A$1=1,MasterSheet!C362,MasterSheet!B362)</f>
        <v>Ostale naknade</v>
      </c>
      <c r="D44" s="31">
        <v>109312.24</v>
      </c>
      <c r="E44" s="32">
        <v>210332.15</v>
      </c>
      <c r="F44" s="32">
        <v>116897.38</v>
      </c>
      <c r="G44" s="32">
        <v>500718.65351991355</v>
      </c>
      <c r="H44" s="32">
        <v>200996.28918738462</v>
      </c>
      <c r="I44" s="32">
        <v>194617.84218246568</v>
      </c>
      <c r="J44" s="32">
        <v>555067.29357636697</v>
      </c>
      <c r="K44" s="33">
        <v>169457.71688202597</v>
      </c>
      <c r="L44" s="33">
        <v>177032.48538831607</v>
      </c>
      <c r="M44" s="33">
        <v>593032.51092039107</v>
      </c>
      <c r="N44" s="33">
        <v>226261.99113317349</v>
      </c>
      <c r="O44" s="53">
        <v>567776.85148444085</v>
      </c>
      <c r="P44" s="34">
        <f t="shared" si="2"/>
        <v>3621503.4042744781</v>
      </c>
      <c r="Q44" s="6"/>
      <c r="R44" s="157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" customHeight="1">
      <c r="A45" s="3"/>
      <c r="B45" s="3"/>
      <c r="C45" s="22" t="str">
        <f>IF(MasterSheet!$A$1=1,MasterSheet!C363,MasterSheet!B363)</f>
        <v>Ostali prihodi</v>
      </c>
      <c r="D45" s="27">
        <f>+SUM(D46:D49)</f>
        <v>990627.4600000002</v>
      </c>
      <c r="E45" s="28">
        <f t="shared" ref="E45:O45" si="6">+SUM(E46:E49)</f>
        <v>1891043.85</v>
      </c>
      <c r="F45" s="28">
        <f t="shared" si="6"/>
        <v>2485962.0700000003</v>
      </c>
      <c r="G45" s="28">
        <f t="shared" si="6"/>
        <v>1735450.6438601564</v>
      </c>
      <c r="H45" s="28">
        <f t="shared" si="6"/>
        <v>2217758.4453191785</v>
      </c>
      <c r="I45" s="28">
        <f t="shared" si="6"/>
        <v>2057071.1919965199</v>
      </c>
      <c r="J45" s="28">
        <f t="shared" si="6"/>
        <v>2036293.6199941358</v>
      </c>
      <c r="K45" s="29">
        <f t="shared" si="6"/>
        <v>1993610.0165978931</v>
      </c>
      <c r="L45" s="29">
        <f t="shared" si="6"/>
        <v>1319250.1888861335</v>
      </c>
      <c r="M45" s="29">
        <f t="shared" si="6"/>
        <v>3996269.3648696048</v>
      </c>
      <c r="N45" s="29">
        <f t="shared" si="6"/>
        <v>2008962.2379183236</v>
      </c>
      <c r="O45" s="52">
        <f t="shared" si="6"/>
        <v>3009138.3781972951</v>
      </c>
      <c r="P45" s="30">
        <f t="shared" si="2"/>
        <v>25741437.467639241</v>
      </c>
      <c r="Q45" s="6"/>
      <c r="R45" s="157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" customHeight="1">
      <c r="A46" s="3"/>
      <c r="B46" s="3"/>
      <c r="C46" s="21" t="str">
        <f>IF(MasterSheet!$A$1=1,MasterSheet!C364,MasterSheet!B364)</f>
        <v>Prihodi od kapitala</v>
      </c>
      <c r="D46" s="31">
        <v>150875.69</v>
      </c>
      <c r="E46" s="32">
        <v>279636.31</v>
      </c>
      <c r="F46" s="32">
        <v>417534.63</v>
      </c>
      <c r="G46" s="32">
        <v>149220.17263419394</v>
      </c>
      <c r="H46" s="32">
        <v>163843.8409354756</v>
      </c>
      <c r="I46" s="32">
        <v>273714.32072320936</v>
      </c>
      <c r="J46" s="32">
        <v>351423.27187671443</v>
      </c>
      <c r="K46" s="33">
        <v>197426.7956329266</v>
      </c>
      <c r="L46" s="33">
        <v>87810.154813937435</v>
      </c>
      <c r="M46" s="33">
        <v>2546048.1959137395</v>
      </c>
      <c r="N46" s="33">
        <v>420293.26089019596</v>
      </c>
      <c r="O46" s="53">
        <v>769533.61759751663</v>
      </c>
      <c r="P46" s="34">
        <f t="shared" si="2"/>
        <v>5807360.2610179093</v>
      </c>
      <c r="Q46" s="6"/>
      <c r="R46" s="157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" customHeight="1">
      <c r="A47" s="3"/>
      <c r="B47" s="3"/>
      <c r="C47" s="21" t="str">
        <f>IF(MasterSheet!$A$1=1,MasterSheet!C365,MasterSheet!B365)</f>
        <v>Novčane kazne i oduzete imovinske koristi</v>
      </c>
      <c r="D47" s="31">
        <v>394898.64</v>
      </c>
      <c r="E47" s="32">
        <v>492027.45</v>
      </c>
      <c r="F47" s="32">
        <v>704590.7</v>
      </c>
      <c r="G47" s="32">
        <v>467918.21784815041</v>
      </c>
      <c r="H47" s="32">
        <v>517536.66538872255</v>
      </c>
      <c r="I47" s="32">
        <v>615234.27021931775</v>
      </c>
      <c r="J47" s="32">
        <v>796312.28853367199</v>
      </c>
      <c r="K47" s="33">
        <v>980713.96668353933</v>
      </c>
      <c r="L47" s="33">
        <v>475748.20842334238</v>
      </c>
      <c r="M47" s="33">
        <v>463431.04003891215</v>
      </c>
      <c r="N47" s="33">
        <v>572302.52061439876</v>
      </c>
      <c r="O47" s="53">
        <v>739360.43348674255</v>
      </c>
      <c r="P47" s="34">
        <f t="shared" si="2"/>
        <v>7220074.4012367986</v>
      </c>
      <c r="Q47" s="6"/>
      <c r="R47" s="157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>
      <c r="A48" s="3"/>
      <c r="B48" s="3"/>
      <c r="C48" s="21" t="str">
        <f>IF(MasterSheet!$A$1=1,MasterSheet!C366,MasterSheet!B366)</f>
        <v>Prihodi koje organi ostvaruju vršenjem svoje djel.</v>
      </c>
      <c r="D48" s="31">
        <v>100875.57</v>
      </c>
      <c r="E48" s="32">
        <v>108799.21</v>
      </c>
      <c r="F48" s="32">
        <v>185279.53</v>
      </c>
      <c r="G48" s="32">
        <v>197585.47473803375</v>
      </c>
      <c r="H48" s="32">
        <v>205676.25987261714</v>
      </c>
      <c r="I48" s="33">
        <v>276328.87456216844</v>
      </c>
      <c r="J48" s="32">
        <v>218638.22353695356</v>
      </c>
      <c r="K48" s="33">
        <v>224648.70576521172</v>
      </c>
      <c r="L48" s="33">
        <v>200722.69649261201</v>
      </c>
      <c r="M48" s="33">
        <v>175912.60248423199</v>
      </c>
      <c r="N48" s="33">
        <v>180666.60183785288</v>
      </c>
      <c r="O48" s="53">
        <v>228916.94282851758</v>
      </c>
      <c r="P48" s="34">
        <f t="shared" si="2"/>
        <v>2304050.6921181995</v>
      </c>
      <c r="Q48" s="6"/>
      <c r="R48" s="157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>
      <c r="A49" s="3"/>
      <c r="B49" s="3"/>
      <c r="C49" s="21" t="str">
        <f>IF(MasterSheet!$A$1=1,MasterSheet!C367,MasterSheet!B367)</f>
        <v>Ostali prihodi</v>
      </c>
      <c r="D49" s="31">
        <v>343977.56</v>
      </c>
      <c r="E49" s="32">
        <v>1010580.88</v>
      </c>
      <c r="F49" s="32">
        <v>1178557.21</v>
      </c>
      <c r="G49" s="32">
        <v>920726.77863977838</v>
      </c>
      <c r="H49" s="32">
        <v>1330701.6791223635</v>
      </c>
      <c r="I49" s="33">
        <v>891793.72649182426</v>
      </c>
      <c r="J49" s="32">
        <v>669919.83604679583</v>
      </c>
      <c r="K49" s="33">
        <v>590820.54851621552</v>
      </c>
      <c r="L49" s="33">
        <v>554969.12915624178</v>
      </c>
      <c r="M49" s="33">
        <v>810877.52643272129</v>
      </c>
      <c r="N49" s="33">
        <v>835699.85457587591</v>
      </c>
      <c r="O49" s="53">
        <v>1271327.3842845184</v>
      </c>
      <c r="P49" s="34">
        <f t="shared" si="2"/>
        <v>10409952.113266336</v>
      </c>
      <c r="Q49" s="6"/>
      <c r="R49" s="157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26.25" thickBot="1">
      <c r="A50" s="3"/>
      <c r="B50" s="3"/>
      <c r="C50" s="45" t="str">
        <f>IF(MasterSheet!$A$1=1,MasterSheet!C368,MasterSheet!B368)</f>
        <v>Primici od otplate kredita i sredstva prenijeta iz prethodne godine</v>
      </c>
      <c r="D50" s="46">
        <v>487675.47</v>
      </c>
      <c r="E50" s="48">
        <v>308916.07</v>
      </c>
      <c r="F50" s="48">
        <v>335775.71</v>
      </c>
      <c r="G50" s="48">
        <v>346183.42856134439</v>
      </c>
      <c r="H50" s="48">
        <v>217384.37120992178</v>
      </c>
      <c r="I50" s="48">
        <v>206434.91849926775</v>
      </c>
      <c r="J50" s="48">
        <v>297912.56156254647</v>
      </c>
      <c r="K50" s="47">
        <v>472555.836686589</v>
      </c>
      <c r="L50" s="48">
        <v>257084.81799346188</v>
      </c>
      <c r="M50" s="48">
        <v>300286.81969236297</v>
      </c>
      <c r="N50" s="48">
        <v>447292.84080632549</v>
      </c>
      <c r="O50" s="54">
        <v>491522.9907177118</v>
      </c>
      <c r="P50" s="49">
        <f t="shared" si="2"/>
        <v>4169025.8357295315</v>
      </c>
      <c r="Q50" s="6"/>
      <c r="R50" s="157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thickTop="1" thickBot="1">
      <c r="A51" s="3"/>
      <c r="B51" s="3"/>
      <c r="C51" s="35" t="str">
        <f>IF(MasterSheet!$A$1=1,MasterSheet!C369,MasterSheet!B369)</f>
        <v>Izdaci</v>
      </c>
      <c r="D51" s="62">
        <f>+D53+D67+D73+D79+D80+D81</f>
        <v>53061054.049999997</v>
      </c>
      <c r="E51" s="62">
        <f t="shared" ref="E51:O51" si="7">+E53+E67+E73+E79+E80+E81</f>
        <v>99613025.839999989</v>
      </c>
      <c r="F51" s="62">
        <f t="shared" si="7"/>
        <v>81372572.209999993</v>
      </c>
      <c r="G51" s="62">
        <f t="shared" si="7"/>
        <v>142810163.60999998</v>
      </c>
      <c r="H51" s="62">
        <f t="shared" si="7"/>
        <v>98306431.900000006</v>
      </c>
      <c r="I51" s="62">
        <f t="shared" si="7"/>
        <v>108798787.33714285</v>
      </c>
      <c r="J51" s="62">
        <f t="shared" si="7"/>
        <v>108798787.33714285</v>
      </c>
      <c r="K51" s="62">
        <f t="shared" si="7"/>
        <v>108798787.33714285</v>
      </c>
      <c r="L51" s="62">
        <f t="shared" si="7"/>
        <v>108798787.33714285</v>
      </c>
      <c r="M51" s="62">
        <f t="shared" si="7"/>
        <v>108798787.33714285</v>
      </c>
      <c r="N51" s="62">
        <f t="shared" si="7"/>
        <v>108798787.33714285</v>
      </c>
      <c r="O51" s="95">
        <f t="shared" si="7"/>
        <v>108798787.33714285</v>
      </c>
      <c r="P51" s="93">
        <f>+SUM(D51:O51)</f>
        <v>1236754758.9699998</v>
      </c>
      <c r="Q51" s="158"/>
      <c r="R51" s="98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thickTop="1" thickBot="1">
      <c r="A52" s="3"/>
      <c r="B52" s="3"/>
      <c r="C52" s="35" t="str">
        <f>IF(MasterSheet!$A$1=1,MasterSheet!C370,MasterSheet!B370)</f>
        <v>Tekuća budžetska potrošnja</v>
      </c>
      <c r="D52" s="62">
        <f t="shared" ref="D52:O52" si="8">+D51-D79</f>
        <v>50837403.969999999</v>
      </c>
      <c r="E52" s="62">
        <f t="shared" si="8"/>
        <v>96041867.899999991</v>
      </c>
      <c r="F52" s="62">
        <f t="shared" si="8"/>
        <v>79872481.739999995</v>
      </c>
      <c r="G52" s="62">
        <f t="shared" si="8"/>
        <v>138183188.01999998</v>
      </c>
      <c r="H52" s="62">
        <f t="shared" si="8"/>
        <v>92662882.120000005</v>
      </c>
      <c r="I52" s="62">
        <f t="shared" si="8"/>
        <v>100343766.75857143</v>
      </c>
      <c r="J52" s="62">
        <f t="shared" si="8"/>
        <v>100343766.75857143</v>
      </c>
      <c r="K52" s="62">
        <f t="shared" si="8"/>
        <v>100343766.75857143</v>
      </c>
      <c r="L52" s="62">
        <f t="shared" si="8"/>
        <v>100343766.75857143</v>
      </c>
      <c r="M52" s="62">
        <f t="shared" si="8"/>
        <v>100343766.75857143</v>
      </c>
      <c r="N52" s="62">
        <f t="shared" si="8"/>
        <v>100343766.75857143</v>
      </c>
      <c r="O52" s="95">
        <f t="shared" si="8"/>
        <v>100343766.75857143</v>
      </c>
      <c r="P52" s="93">
        <f>+SUM(D52:O52)</f>
        <v>1160004191.0599997</v>
      </c>
      <c r="Q52" s="3"/>
      <c r="R52" s="98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3.5" thickTop="1">
      <c r="A53" s="3"/>
      <c r="B53" s="3"/>
      <c r="C53" s="22" t="str">
        <f>IF(MasterSheet!$A$1=1,MasterSheet!C371,MasterSheet!B371)</f>
        <v>Tekući izdaci</v>
      </c>
      <c r="D53" s="63">
        <f>+D54+D60+D61+D62+D63+D64+D65+D66</f>
        <v>12289773.26</v>
      </c>
      <c r="E53" s="66">
        <f t="shared" ref="E53:O53" si="9">+E54+E60+E61+E62+E63+E64+E65+E66</f>
        <v>51706209.769999988</v>
      </c>
      <c r="F53" s="65">
        <f t="shared" si="9"/>
        <v>40394679.650000013</v>
      </c>
      <c r="G53" s="67">
        <f t="shared" si="9"/>
        <v>89884247.359999985</v>
      </c>
      <c r="H53" s="67">
        <f t="shared" si="9"/>
        <v>49061336.000000007</v>
      </c>
      <c r="I53" s="67">
        <f t="shared" si="9"/>
        <v>57078484.642857134</v>
      </c>
      <c r="J53" s="67">
        <f t="shared" si="9"/>
        <v>57078484.642857134</v>
      </c>
      <c r="K53" s="67">
        <f t="shared" si="9"/>
        <v>57078484.642857134</v>
      </c>
      <c r="L53" s="67">
        <f t="shared" si="9"/>
        <v>57078484.642857134</v>
      </c>
      <c r="M53" s="66">
        <f t="shared" si="9"/>
        <v>57078484.642857134</v>
      </c>
      <c r="N53" s="65">
        <f t="shared" si="9"/>
        <v>57078484.642857134</v>
      </c>
      <c r="O53" s="64">
        <f t="shared" si="9"/>
        <v>57078484.642857134</v>
      </c>
      <c r="P53" s="125">
        <f t="shared" si="2"/>
        <v>642885638.53999996</v>
      </c>
      <c r="Q53" s="3"/>
      <c r="R53" s="98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3"/>
      <c r="B54" s="3"/>
      <c r="C54" s="22" t="str">
        <f>IF(MasterSheet!$A$1=1,MasterSheet!C372,MasterSheet!B372)</f>
        <v>Bruto zarade i doprinosi na teret poslodavca</v>
      </c>
      <c r="D54" s="63">
        <v>4283.5</v>
      </c>
      <c r="E54" s="66">
        <v>31275360.899999995</v>
      </c>
      <c r="F54" s="65">
        <v>27711888.080000009</v>
      </c>
      <c r="G54" s="67">
        <v>47396528.219999991</v>
      </c>
      <c r="H54" s="67">
        <v>26799661.280000005</v>
      </c>
      <c r="I54" s="67">
        <v>34924084.149999999</v>
      </c>
      <c r="J54" s="67">
        <v>34924084.149999999</v>
      </c>
      <c r="K54" s="67">
        <v>34924084.149999999</v>
      </c>
      <c r="L54" s="67">
        <v>34924084.149999999</v>
      </c>
      <c r="M54" s="66">
        <v>34924084.149999999</v>
      </c>
      <c r="N54" s="65">
        <v>34924084.149999999</v>
      </c>
      <c r="O54" s="64">
        <v>34924084.149999999</v>
      </c>
      <c r="P54" s="125">
        <f t="shared" si="2"/>
        <v>377656311.02999991</v>
      </c>
      <c r="Q54" s="67"/>
      <c r="R54" s="98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>
      <c r="A55" s="3"/>
      <c r="B55" s="3"/>
      <c r="C55" s="58" t="str">
        <f>IF(MasterSheet!$A$1=1,MasterSheet!C373,MasterSheet!B373)</f>
        <v>Neto zarade</v>
      </c>
      <c r="D55" s="31">
        <v>2599.2600000000002</v>
      </c>
      <c r="E55" s="33">
        <v>20211919.549999993</v>
      </c>
      <c r="F55" s="32">
        <v>16943393.250000011</v>
      </c>
      <c r="G55" s="32">
        <v>32039859.959999982</v>
      </c>
      <c r="H55" s="32">
        <v>13787478.570000002</v>
      </c>
      <c r="I55" s="33">
        <v>20094038.312857144</v>
      </c>
      <c r="J55" s="32">
        <v>20094038.312857144</v>
      </c>
      <c r="K55" s="33">
        <v>20094038.312857144</v>
      </c>
      <c r="L55" s="33">
        <v>20094038.312857144</v>
      </c>
      <c r="M55" s="33">
        <v>20094038.312857144</v>
      </c>
      <c r="N55" s="33">
        <v>20094038.312857144</v>
      </c>
      <c r="O55" s="53">
        <v>20094038.312857144</v>
      </c>
      <c r="P55" s="70">
        <f t="shared" si="2"/>
        <v>223643518.78000003</v>
      </c>
      <c r="Q55" s="67"/>
      <c r="R55" s="98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>
      <c r="A56" s="3"/>
      <c r="B56" s="3"/>
      <c r="C56" s="58" t="str">
        <f>IF(MasterSheet!$A$1=1,MasterSheet!C374,MasterSheet!B374)</f>
        <v>Porez na zarade</v>
      </c>
      <c r="D56" s="31">
        <v>491.35</v>
      </c>
      <c r="E56" s="32">
        <v>2347250.9700000002</v>
      </c>
      <c r="F56" s="32">
        <v>1937857.879999999</v>
      </c>
      <c r="G56" s="32">
        <v>2940885.09</v>
      </c>
      <c r="H56" s="32">
        <v>2499706.9300000011</v>
      </c>
      <c r="I56" s="33">
        <v>2913782.1799999988</v>
      </c>
      <c r="J56" s="32">
        <v>2913782.1799999988</v>
      </c>
      <c r="K56" s="33">
        <v>2913782.1799999988</v>
      </c>
      <c r="L56" s="33">
        <v>2913782.1799999988</v>
      </c>
      <c r="M56" s="33">
        <v>2913782.1799999988</v>
      </c>
      <c r="N56" s="33">
        <v>2913782.1799999988</v>
      </c>
      <c r="O56" s="53">
        <v>2913782.1799999988</v>
      </c>
      <c r="P56" s="70">
        <f t="shared" si="2"/>
        <v>30122667.479999997</v>
      </c>
      <c r="Q56" s="67"/>
      <c r="R56" s="98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>
      <c r="A57" s="3"/>
      <c r="B57" s="3"/>
      <c r="C57" s="58" t="str">
        <f>IF(MasterSheet!$A$1=1,MasterSheet!C375,MasterSheet!B375)</f>
        <v>Doprinosi na teret zaposlenog</v>
      </c>
      <c r="D57" s="31">
        <v>1119.19</v>
      </c>
      <c r="E57" s="32">
        <v>5216165.66</v>
      </c>
      <c r="F57" s="32">
        <v>5942266.790000001</v>
      </c>
      <c r="G57" s="32">
        <v>7728346.4700000035</v>
      </c>
      <c r="H57" s="32">
        <v>6647730.7200000007</v>
      </c>
      <c r="I57" s="33">
        <v>7582738.9814285692</v>
      </c>
      <c r="J57" s="32">
        <v>7582738.9814285692</v>
      </c>
      <c r="K57" s="33">
        <v>7582738.9814285692</v>
      </c>
      <c r="L57" s="33">
        <v>7582738.9814285692</v>
      </c>
      <c r="M57" s="33">
        <v>7582738.9814285692</v>
      </c>
      <c r="N57" s="33">
        <v>7582738.9814285692</v>
      </c>
      <c r="O57" s="53">
        <v>7582738.9814285692</v>
      </c>
      <c r="P57" s="70">
        <f t="shared" si="2"/>
        <v>78614801.699999988</v>
      </c>
      <c r="Q57" s="67"/>
      <c r="R57" s="98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>
      <c r="A58" s="3"/>
      <c r="B58" s="3"/>
      <c r="C58" s="58" t="str">
        <f>IF(MasterSheet!$A$1=1,MasterSheet!C376,MasterSheet!B376)</f>
        <v>Doprinosi na teret poslodavca</v>
      </c>
      <c r="D58" s="31">
        <v>0</v>
      </c>
      <c r="E58" s="32">
        <v>3162904.910000002</v>
      </c>
      <c r="F58" s="32">
        <v>2865206.3099999991</v>
      </c>
      <c r="G58" s="32">
        <v>3997188.2799999984</v>
      </c>
      <c r="H58" s="32">
        <v>3536560.0999999987</v>
      </c>
      <c r="I58" s="33">
        <v>3904515.1714285724</v>
      </c>
      <c r="J58" s="32">
        <v>3904515.1714285724</v>
      </c>
      <c r="K58" s="33">
        <v>3904515.1714285724</v>
      </c>
      <c r="L58" s="33">
        <v>3904515.1714285724</v>
      </c>
      <c r="M58" s="33">
        <v>3904515.1714285724</v>
      </c>
      <c r="N58" s="33">
        <v>3904515.1714285724</v>
      </c>
      <c r="O58" s="53">
        <v>3904515.1714285724</v>
      </c>
      <c r="P58" s="70">
        <f t="shared" si="2"/>
        <v>40893465.800000012</v>
      </c>
      <c r="Q58" s="67"/>
      <c r="R58" s="98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3"/>
      <c r="B59" s="3"/>
      <c r="C59" s="58" t="str">
        <f>IF(MasterSheet!$A$1=1,MasterSheet!C377,MasterSheet!B377)</f>
        <v>Prirez na porez na dohodak</v>
      </c>
      <c r="D59" s="31">
        <v>73.7</v>
      </c>
      <c r="E59" s="32">
        <v>337119.80999999994</v>
      </c>
      <c r="F59" s="32">
        <v>23163.85</v>
      </c>
      <c r="G59" s="32">
        <v>690248.42000000039</v>
      </c>
      <c r="H59" s="32">
        <v>328184.96000000008</v>
      </c>
      <c r="I59" s="33">
        <v>429009.5042857143</v>
      </c>
      <c r="J59" s="32">
        <v>429009.5042857143</v>
      </c>
      <c r="K59" s="33">
        <v>429009.5042857143</v>
      </c>
      <c r="L59" s="33">
        <v>429009.5042857143</v>
      </c>
      <c r="M59" s="33">
        <v>429009.5042857143</v>
      </c>
      <c r="N59" s="33">
        <v>429009.5042857143</v>
      </c>
      <c r="O59" s="53">
        <v>429009.5042857143</v>
      </c>
      <c r="P59" s="70">
        <f t="shared" si="2"/>
        <v>4381857.2699999996</v>
      </c>
      <c r="Q59" s="67"/>
      <c r="R59" s="98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>
      <c r="A60" s="3"/>
      <c r="B60" s="3"/>
      <c r="C60" s="22" t="str">
        <f>IF(MasterSheet!$A$1=1,MasterSheet!C378,MasterSheet!B378)</f>
        <v>Ostala lična primanja</v>
      </c>
      <c r="D60" s="63">
        <v>66647.16</v>
      </c>
      <c r="E60" s="66">
        <v>788157.97</v>
      </c>
      <c r="F60" s="66">
        <v>633801.75</v>
      </c>
      <c r="G60" s="67">
        <v>809278.41</v>
      </c>
      <c r="H60" s="67">
        <v>1013373</v>
      </c>
      <c r="I60" s="67">
        <v>1019016.9242857142</v>
      </c>
      <c r="J60" s="67">
        <v>1019016.9242857142</v>
      </c>
      <c r="K60" s="67">
        <v>1019016.9242857142</v>
      </c>
      <c r="L60" s="67">
        <v>1019016.9242857142</v>
      </c>
      <c r="M60" s="66">
        <v>1019016.9242857142</v>
      </c>
      <c r="N60" s="65">
        <v>1019016.9242857142</v>
      </c>
      <c r="O60" s="64">
        <v>1019016.9242857142</v>
      </c>
      <c r="P60" s="70">
        <f t="shared" si="2"/>
        <v>10444376.76</v>
      </c>
      <c r="Q60" s="3"/>
      <c r="R60" s="98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>
      <c r="A61" s="3"/>
      <c r="B61" s="3"/>
      <c r="C61" s="22" t="str">
        <f>IF(MasterSheet!$A$1=1,MasterSheet!C379,MasterSheet!B379)</f>
        <v>Rashodi za materijal i usluge</v>
      </c>
      <c r="D61" s="63">
        <v>2307585.9699999997</v>
      </c>
      <c r="E61" s="66">
        <v>12324934.280000001</v>
      </c>
      <c r="F61" s="66">
        <v>6452115.4300000016</v>
      </c>
      <c r="G61" s="67">
        <v>20738433.310000002</v>
      </c>
      <c r="H61" s="67">
        <v>14011695.699999999</v>
      </c>
      <c r="I61" s="67">
        <v>12293045.851428572</v>
      </c>
      <c r="J61" s="67">
        <v>12293045.851428572</v>
      </c>
      <c r="K61" s="67">
        <v>12293045.851428572</v>
      </c>
      <c r="L61" s="67">
        <v>12293045.851428572</v>
      </c>
      <c r="M61" s="66">
        <v>12293045.851428572</v>
      </c>
      <c r="N61" s="65">
        <v>12293045.851428572</v>
      </c>
      <c r="O61" s="64">
        <v>12293045.851428572</v>
      </c>
      <c r="P61" s="70">
        <f t="shared" si="2"/>
        <v>141886085.64999998</v>
      </c>
      <c r="Q61" s="3"/>
      <c r="R61" s="98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3"/>
      <c r="B62" s="3"/>
      <c r="C62" s="22" t="str">
        <f>IF(MasterSheet!$A$1=1,MasterSheet!C380,MasterSheet!B380)</f>
        <v>Tekuće održavanje</v>
      </c>
      <c r="D62" s="63">
        <v>26607.390000000003</v>
      </c>
      <c r="E62" s="66">
        <v>420045.88000000006</v>
      </c>
      <c r="F62" s="66">
        <v>1323223.27</v>
      </c>
      <c r="G62" s="67">
        <v>2902402</v>
      </c>
      <c r="H62" s="67">
        <v>2532098.79</v>
      </c>
      <c r="I62" s="67">
        <v>2281609.7628571419</v>
      </c>
      <c r="J62" s="67">
        <v>2281609.7628571419</v>
      </c>
      <c r="K62" s="67">
        <v>2281609.7628571419</v>
      </c>
      <c r="L62" s="67">
        <v>2281609.7628571419</v>
      </c>
      <c r="M62" s="66">
        <v>2281609.7628571419</v>
      </c>
      <c r="N62" s="65">
        <v>2281609.7628571419</v>
      </c>
      <c r="O62" s="64">
        <v>2281609.7628571419</v>
      </c>
      <c r="P62" s="70">
        <f t="shared" si="2"/>
        <v>23175645.669999998</v>
      </c>
      <c r="Q62" s="3"/>
      <c r="R62" s="98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>
      <c r="A63" s="3"/>
      <c r="B63" s="3"/>
      <c r="C63" s="22" t="str">
        <f>IF(MasterSheet!$A$1=1,MasterSheet!C381,MasterSheet!B381)</f>
        <v>Kamate</v>
      </c>
      <c r="D63" s="63">
        <v>3640898.93</v>
      </c>
      <c r="E63" s="66">
        <v>1655265.05</v>
      </c>
      <c r="F63" s="66">
        <v>2651578.2199999997</v>
      </c>
      <c r="G63" s="67">
        <v>14134841.26</v>
      </c>
      <c r="H63" s="67">
        <v>2024043.4900000002</v>
      </c>
      <c r="I63" s="67">
        <v>4399802.1057142848</v>
      </c>
      <c r="J63" s="67">
        <v>4399802.1057142848</v>
      </c>
      <c r="K63" s="67">
        <v>4399802.1057142848</v>
      </c>
      <c r="L63" s="67">
        <v>4399802.1057142848</v>
      </c>
      <c r="M63" s="66">
        <v>4399802.1057142848</v>
      </c>
      <c r="N63" s="65">
        <v>4399802.1057142848</v>
      </c>
      <c r="O63" s="64">
        <v>4399802.1057142848</v>
      </c>
      <c r="P63" s="70">
        <f t="shared" si="2"/>
        <v>54905241.68999999</v>
      </c>
      <c r="Q63" s="3"/>
      <c r="R63" s="98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>
      <c r="A64" s="3"/>
      <c r="B64" s="3"/>
      <c r="C64" s="22" t="str">
        <f>IF(MasterSheet!$A$1=1,MasterSheet!C382,MasterSheet!B382)</f>
        <v>Renta</v>
      </c>
      <c r="D64" s="63">
        <v>85943.950000000012</v>
      </c>
      <c r="E64" s="66">
        <v>745704.3600000001</v>
      </c>
      <c r="F64" s="66">
        <v>326504.72999999992</v>
      </c>
      <c r="G64" s="67">
        <v>1093390.1000000003</v>
      </c>
      <c r="H64" s="67">
        <v>695307.59000000032</v>
      </c>
      <c r="I64" s="67">
        <v>682299.50428571412</v>
      </c>
      <c r="J64" s="67">
        <v>682299.50428571412</v>
      </c>
      <c r="K64" s="67">
        <v>682299.50428571412</v>
      </c>
      <c r="L64" s="67">
        <v>682299.50428571412</v>
      </c>
      <c r="M64" s="66">
        <v>682299.50428571412</v>
      </c>
      <c r="N64" s="65">
        <v>682299.50428571412</v>
      </c>
      <c r="O64" s="64">
        <v>682299.50428571412</v>
      </c>
      <c r="P64" s="70">
        <f t="shared" si="2"/>
        <v>7722947.2599999979</v>
      </c>
      <c r="Q64" s="3"/>
      <c r="R64" s="9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>
      <c r="A65" s="3"/>
      <c r="B65" s="3"/>
      <c r="C65" s="22" t="str">
        <f>IF(MasterSheet!$A$1=1,MasterSheet!C383,MasterSheet!B383)</f>
        <v>Subvencije</v>
      </c>
      <c r="D65" s="63">
        <v>6141587.4900000002</v>
      </c>
      <c r="E65" s="66">
        <v>3764809.78</v>
      </c>
      <c r="F65" s="66">
        <v>925768.61</v>
      </c>
      <c r="G65" s="67">
        <v>2150317.9900000002</v>
      </c>
      <c r="H65" s="67">
        <v>1550691.25</v>
      </c>
      <c r="I65" s="67">
        <v>880974.98571428529</v>
      </c>
      <c r="J65" s="67">
        <v>880974.98571428529</v>
      </c>
      <c r="K65" s="67">
        <v>880974.98571428529</v>
      </c>
      <c r="L65" s="67">
        <v>880974.98571428529</v>
      </c>
      <c r="M65" s="66">
        <v>880974.98571428529</v>
      </c>
      <c r="N65" s="65">
        <v>880974.98571428529</v>
      </c>
      <c r="O65" s="64">
        <v>880974.98571428529</v>
      </c>
      <c r="P65" s="70">
        <f t="shared" si="2"/>
        <v>20700000.02</v>
      </c>
      <c r="Q65" s="3"/>
      <c r="R65" s="98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>
      <c r="A66" s="3"/>
      <c r="B66" s="3"/>
      <c r="C66" s="22" t="str">
        <f>IF(MasterSheet!$A$1=1,MasterSheet!C384,MasterSheet!B384)</f>
        <v>Ostali izdaci</v>
      </c>
      <c r="D66" s="63">
        <v>16218.87</v>
      </c>
      <c r="E66" s="66">
        <v>731931.54999999993</v>
      </c>
      <c r="F66" s="118">
        <v>369799.56</v>
      </c>
      <c r="G66" s="67">
        <v>659056.07000000007</v>
      </c>
      <c r="H66" s="67">
        <v>434464.89999999997</v>
      </c>
      <c r="I66" s="67">
        <v>597651.35857142857</v>
      </c>
      <c r="J66" s="67">
        <v>597651.35857142857</v>
      </c>
      <c r="K66" s="67">
        <v>597651.35857142857</v>
      </c>
      <c r="L66" s="67">
        <v>597651.35857142857</v>
      </c>
      <c r="M66" s="66">
        <v>597651.35857142857</v>
      </c>
      <c r="N66" s="65">
        <v>597651.35857142857</v>
      </c>
      <c r="O66" s="64">
        <v>597651.35857142857</v>
      </c>
      <c r="P66" s="70">
        <f t="shared" si="2"/>
        <v>6395030.4600000018</v>
      </c>
      <c r="Q66" s="3"/>
      <c r="R66" s="98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>
      <c r="A67" s="3"/>
      <c r="B67" s="3"/>
      <c r="C67" s="22" t="str">
        <f>IF(MasterSheet!$A$1=1,MasterSheet!C386,MasterSheet!B386)</f>
        <v>Transferi za socijalnu zaštitu</v>
      </c>
      <c r="D67" s="63">
        <f>+SUM(D68:D72)</f>
        <v>37234260.75</v>
      </c>
      <c r="E67" s="66">
        <f t="shared" ref="E67" si="10">+SUM(E68:E72)</f>
        <v>40396294.500000007</v>
      </c>
      <c r="F67" s="65">
        <f t="shared" ref="F67:O67" si="11">+SUM(F68:F72)</f>
        <v>35626046.939999998</v>
      </c>
      <c r="G67" s="67">
        <f t="shared" si="11"/>
        <v>43775263.219999991</v>
      </c>
      <c r="H67" s="67">
        <f t="shared" si="11"/>
        <v>40868198.459999993</v>
      </c>
      <c r="I67" s="67">
        <f t="shared" si="11"/>
        <v>39997496.841428578</v>
      </c>
      <c r="J67" s="67">
        <f t="shared" si="11"/>
        <v>39997496.841428578</v>
      </c>
      <c r="K67" s="67">
        <f t="shared" si="11"/>
        <v>39997496.841428578</v>
      </c>
      <c r="L67" s="67">
        <f t="shared" si="11"/>
        <v>39997496.841428578</v>
      </c>
      <c r="M67" s="66">
        <f t="shared" si="11"/>
        <v>39997496.841428578</v>
      </c>
      <c r="N67" s="65">
        <f t="shared" si="11"/>
        <v>39997496.841428578</v>
      </c>
      <c r="O67" s="64">
        <f t="shared" si="11"/>
        <v>39997496.841428578</v>
      </c>
      <c r="P67" s="125">
        <f t="shared" si="2"/>
        <v>477882541.76000005</v>
      </c>
      <c r="Q67" s="3"/>
      <c r="R67" s="98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>
      <c r="A68" s="3"/>
      <c r="B68" s="3"/>
      <c r="C68" s="58" t="str">
        <f>IF(MasterSheet!$A$1=1,MasterSheet!C387,MasterSheet!B387)</f>
        <v>Prava iz oblasti socijalne zaštite</v>
      </c>
      <c r="D68" s="31">
        <v>4880739.1300000008</v>
      </c>
      <c r="E68" s="32">
        <v>5464431.5300000003</v>
      </c>
      <c r="F68" s="32">
        <v>5071540.8299999991</v>
      </c>
      <c r="G68" s="32">
        <v>5114262.4700000007</v>
      </c>
      <c r="H68" s="32">
        <v>5127234.6900000004</v>
      </c>
      <c r="I68" s="33">
        <v>4827470.1899999985</v>
      </c>
      <c r="J68" s="32">
        <v>4827470.1899999985</v>
      </c>
      <c r="K68" s="33">
        <v>4827470.1899999985</v>
      </c>
      <c r="L68" s="33">
        <v>4827470.1899999985</v>
      </c>
      <c r="M68" s="33">
        <v>4827470.1899999985</v>
      </c>
      <c r="N68" s="33">
        <v>4827470.1899999985</v>
      </c>
      <c r="O68" s="53">
        <v>4827470.1899999985</v>
      </c>
      <c r="P68" s="70">
        <f t="shared" si="2"/>
        <v>59450499.979999989</v>
      </c>
      <c r="Q68" s="3"/>
      <c r="R68" s="98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>
      <c r="A69" s="3"/>
      <c r="B69" s="3"/>
      <c r="C69" s="58" t="str">
        <f>IF(MasterSheet!$A$1=1,MasterSheet!C388,MasterSheet!B388)</f>
        <v>Sredstva za tehnološke viškove</v>
      </c>
      <c r="D69" s="31">
        <v>1736584.53</v>
      </c>
      <c r="E69" s="33">
        <v>1660250.14</v>
      </c>
      <c r="F69" s="32">
        <v>1473771.4300000002</v>
      </c>
      <c r="G69" s="32">
        <v>1382169.35</v>
      </c>
      <c r="H69" s="32">
        <v>1498835.8599999999</v>
      </c>
      <c r="I69" s="33">
        <v>1599707.6357142855</v>
      </c>
      <c r="J69" s="32">
        <v>1599707.6357142855</v>
      </c>
      <c r="K69" s="33">
        <v>1599707.6357142855</v>
      </c>
      <c r="L69" s="33">
        <v>1599707.6357142855</v>
      </c>
      <c r="M69" s="33">
        <v>1599707.6357142855</v>
      </c>
      <c r="N69" s="33">
        <v>1599707.6357142855</v>
      </c>
      <c r="O69" s="53">
        <v>1599707.6357142855</v>
      </c>
      <c r="P69" s="70">
        <f t="shared" si="2"/>
        <v>18949564.759999994</v>
      </c>
      <c r="Q69" s="3"/>
      <c r="R69" s="98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>
      <c r="A70" s="3"/>
      <c r="B70" s="3"/>
      <c r="C70" s="58" t="str">
        <f>IF(MasterSheet!$A$1=1,MasterSheet!C389,MasterSheet!B389)</f>
        <v>Prava iz oblasti penzijskog i invalidskog osiguranja</v>
      </c>
      <c r="D70" s="31">
        <v>30358548.720000003</v>
      </c>
      <c r="E70" s="32">
        <v>31864788.480000004</v>
      </c>
      <c r="F70" s="32">
        <v>28018969.609999999</v>
      </c>
      <c r="G70" s="32">
        <v>35356384.349999994</v>
      </c>
      <c r="H70" s="32">
        <v>31736646.849999994</v>
      </c>
      <c r="I70" s="33">
        <v>31534591.274285723</v>
      </c>
      <c r="J70" s="32">
        <v>31534591.274285723</v>
      </c>
      <c r="K70" s="33">
        <v>31534591.274285723</v>
      </c>
      <c r="L70" s="33">
        <v>31534591.274285723</v>
      </c>
      <c r="M70" s="33">
        <v>31534591.274285723</v>
      </c>
      <c r="N70" s="33">
        <v>31534591.274285723</v>
      </c>
      <c r="O70" s="53">
        <v>31534591.274285723</v>
      </c>
      <c r="P70" s="70">
        <f t="shared" si="2"/>
        <v>378077476.93000013</v>
      </c>
      <c r="Q70" s="3"/>
      <c r="R70" s="98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>
      <c r="A71" s="3"/>
      <c r="B71" s="3"/>
      <c r="C71" s="58" t="str">
        <f>IF(MasterSheet!$A$1=1,MasterSheet!C390,MasterSheet!B390)</f>
        <v>Ostala prava iz oblasti zdravstvene zaštite</v>
      </c>
      <c r="D71" s="31">
        <v>168399.48</v>
      </c>
      <c r="E71" s="32">
        <v>814363.46</v>
      </c>
      <c r="F71" s="32">
        <v>741766.67</v>
      </c>
      <c r="G71" s="32">
        <v>1080265.98</v>
      </c>
      <c r="H71" s="32">
        <v>1810921.59</v>
      </c>
      <c r="I71" s="33">
        <v>1359183.2557142861</v>
      </c>
      <c r="J71" s="32">
        <v>1359183.2557142861</v>
      </c>
      <c r="K71" s="33">
        <v>1359183.2557142861</v>
      </c>
      <c r="L71" s="33">
        <v>1359183.2557142861</v>
      </c>
      <c r="M71" s="33">
        <v>1359183.2557142861</v>
      </c>
      <c r="N71" s="33">
        <v>1359183.2557142861</v>
      </c>
      <c r="O71" s="53">
        <v>1359183.2557142861</v>
      </c>
      <c r="P71" s="70">
        <f t="shared" si="2"/>
        <v>14129999.970000003</v>
      </c>
      <c r="Q71" s="3"/>
      <c r="R71" s="98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>
      <c r="A72" s="3"/>
      <c r="B72" s="3"/>
      <c r="C72" s="58" t="str">
        <f>IF(MasterSheet!$A$1=1,MasterSheet!C391,MasterSheet!B391)</f>
        <v>Ostala prava iz oblasti zdravstvenog osiguranja</v>
      </c>
      <c r="D72" s="31">
        <v>89988.89</v>
      </c>
      <c r="E72" s="33">
        <v>592460.8899999999</v>
      </c>
      <c r="F72" s="32">
        <v>319998.40000000002</v>
      </c>
      <c r="G72" s="32">
        <v>842181.07000000007</v>
      </c>
      <c r="H72" s="32">
        <v>694559.47</v>
      </c>
      <c r="I72" s="33">
        <v>676544.48571428563</v>
      </c>
      <c r="J72" s="32">
        <v>676544.48571428563</v>
      </c>
      <c r="K72" s="33">
        <v>676544.48571428563</v>
      </c>
      <c r="L72" s="33">
        <v>676544.48571428563</v>
      </c>
      <c r="M72" s="33">
        <v>676544.48571428563</v>
      </c>
      <c r="N72" s="33">
        <v>676544.48571428563</v>
      </c>
      <c r="O72" s="53">
        <v>676544.48571428563</v>
      </c>
      <c r="P72" s="70">
        <f t="shared" si="2"/>
        <v>7275000.1199999992</v>
      </c>
      <c r="Q72" s="3"/>
      <c r="R72" s="98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5.5">
      <c r="A73" s="3"/>
      <c r="B73" s="3"/>
      <c r="C73" s="60" t="str">
        <f>IF(MasterSheet!$A$1=1,MasterSheet!C392,MasterSheet!B392)</f>
        <v>Transferi institucijama pojedinicima nevladinom i javnom sektoru</v>
      </c>
      <c r="D73" s="63">
        <f>+SUM(D74:D78)</f>
        <v>442338.09</v>
      </c>
      <c r="E73" s="66">
        <f t="shared" ref="E73" si="12">+SUM(E74:E78)</f>
        <v>2805814.11</v>
      </c>
      <c r="F73" s="65">
        <f t="shared" ref="F73:O73" si="13">+SUM(F74:F78)</f>
        <v>992842.58</v>
      </c>
      <c r="G73" s="67">
        <f t="shared" si="13"/>
        <v>4069831.04</v>
      </c>
      <c r="H73" s="67">
        <f t="shared" si="13"/>
        <v>2468513.6399999997</v>
      </c>
      <c r="I73" s="67">
        <f t="shared" si="13"/>
        <v>2614002.2428571433</v>
      </c>
      <c r="J73" s="67">
        <f t="shared" si="13"/>
        <v>2614002.2428571433</v>
      </c>
      <c r="K73" s="67">
        <f t="shared" si="13"/>
        <v>2614002.2428571433</v>
      </c>
      <c r="L73" s="67">
        <f t="shared" si="13"/>
        <v>2614002.2428571433</v>
      </c>
      <c r="M73" s="66">
        <f t="shared" si="13"/>
        <v>2614002.2428571433</v>
      </c>
      <c r="N73" s="65">
        <f t="shared" si="13"/>
        <v>2614002.2428571433</v>
      </c>
      <c r="O73" s="64">
        <f t="shared" si="13"/>
        <v>2614002.2428571433</v>
      </c>
      <c r="P73" s="125">
        <f t="shared" si="2"/>
        <v>29077355.160000004</v>
      </c>
      <c r="Q73" s="57"/>
      <c r="R73" s="98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>
      <c r="A74" s="3"/>
      <c r="B74" s="3"/>
      <c r="C74" s="58" t="str">
        <f>IF(MasterSheet!$A$1=1,MasterSheet!C393,MasterSheet!B393)</f>
        <v>Transferi javnim institucijama</v>
      </c>
      <c r="D74" s="31">
        <v>180794.57</v>
      </c>
      <c r="E74" s="33">
        <v>973625.26</v>
      </c>
      <c r="F74" s="32">
        <v>286908.56999999995</v>
      </c>
      <c r="G74" s="32">
        <v>1612546.99</v>
      </c>
      <c r="H74" s="32">
        <v>1303321.6299999999</v>
      </c>
      <c r="I74" s="33">
        <v>1322417.8628571429</v>
      </c>
      <c r="J74" s="32">
        <v>1322417.8628571429</v>
      </c>
      <c r="K74" s="33">
        <v>1322417.8628571429</v>
      </c>
      <c r="L74" s="33">
        <v>1322417.8628571429</v>
      </c>
      <c r="M74" s="33">
        <v>1322417.8628571429</v>
      </c>
      <c r="N74" s="33">
        <v>1322417.8628571429</v>
      </c>
      <c r="O74" s="53">
        <v>1322417.8628571429</v>
      </c>
      <c r="P74" s="70">
        <f t="shared" si="2"/>
        <v>13614122.059999997</v>
      </c>
      <c r="Q74" s="3"/>
      <c r="R74" s="98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>
      <c r="A75" s="3"/>
      <c r="B75" s="3"/>
      <c r="C75" s="58" t="str">
        <f>IF(MasterSheet!$A$1=1,MasterSheet!C394,MasterSheet!B394)</f>
        <v>Transferi nevladinim organizacijama</v>
      </c>
      <c r="D75" s="31">
        <v>253000</v>
      </c>
      <c r="E75" s="32">
        <v>532747.41999999993</v>
      </c>
      <c r="F75" s="32">
        <v>293479.06</v>
      </c>
      <c r="G75" s="32">
        <v>834504.14</v>
      </c>
      <c r="H75" s="32">
        <v>293789.06</v>
      </c>
      <c r="I75" s="33">
        <v>374501.85428571427</v>
      </c>
      <c r="J75" s="32">
        <v>374501.85428571427</v>
      </c>
      <c r="K75" s="33">
        <v>374501.85428571427</v>
      </c>
      <c r="L75" s="33">
        <v>374501.85428571427</v>
      </c>
      <c r="M75" s="33">
        <v>374501.85428571427</v>
      </c>
      <c r="N75" s="33">
        <v>374501.85428571427</v>
      </c>
      <c r="O75" s="53">
        <v>374501.85428571427</v>
      </c>
      <c r="P75" s="70">
        <f t="shared" si="2"/>
        <v>4829032.66</v>
      </c>
      <c r="Q75" s="3"/>
      <c r="R75" s="98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>
      <c r="A76" s="3"/>
      <c r="B76" s="3"/>
      <c r="C76" s="58" t="str">
        <f>IF(MasterSheet!$A$1=1,MasterSheet!C395,MasterSheet!B395)</f>
        <v>Transferi pojedincima</v>
      </c>
      <c r="D76" s="31">
        <v>8543.52</v>
      </c>
      <c r="E76" s="32">
        <v>1289941.43</v>
      </c>
      <c r="F76" s="32">
        <v>408004.95000000007</v>
      </c>
      <c r="G76" s="32">
        <v>1609014.91</v>
      </c>
      <c r="H76" s="32">
        <v>864201.95</v>
      </c>
      <c r="I76" s="33">
        <v>800641.95857142902</v>
      </c>
      <c r="J76" s="32">
        <v>800641.95857142902</v>
      </c>
      <c r="K76" s="33">
        <v>800641.95857142902</v>
      </c>
      <c r="L76" s="33">
        <v>800641.95857142902</v>
      </c>
      <c r="M76" s="33">
        <v>800641.95857142902</v>
      </c>
      <c r="N76" s="33">
        <v>800641.95857142902</v>
      </c>
      <c r="O76" s="53">
        <v>800641.95857142902</v>
      </c>
      <c r="P76" s="70">
        <f t="shared" si="2"/>
        <v>9784200.4700000044</v>
      </c>
      <c r="Q76" s="3"/>
      <c r="R76" s="98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>
      <c r="A77" s="3"/>
      <c r="B77" s="3"/>
      <c r="C77" s="58" t="str">
        <f>IF(MasterSheet!$A$1=1,MasterSheet!C396,MasterSheet!B396)</f>
        <v>Transferi opštinama</v>
      </c>
      <c r="D77" s="31">
        <v>0</v>
      </c>
      <c r="E77" s="32">
        <v>9500</v>
      </c>
      <c r="F77" s="32">
        <v>4450</v>
      </c>
      <c r="G77" s="32">
        <v>13765</v>
      </c>
      <c r="H77" s="32">
        <v>7201</v>
      </c>
      <c r="I77" s="33">
        <v>116440.56714285714</v>
      </c>
      <c r="J77" s="32">
        <v>116440.56714285714</v>
      </c>
      <c r="K77" s="33">
        <v>116440.56714285714</v>
      </c>
      <c r="L77" s="33">
        <v>116440.56714285714</v>
      </c>
      <c r="M77" s="33">
        <v>116440.56714285714</v>
      </c>
      <c r="N77" s="33">
        <v>116440.56714285714</v>
      </c>
      <c r="O77" s="53">
        <v>116440.56714285714</v>
      </c>
      <c r="P77" s="70">
        <f t="shared" si="2"/>
        <v>849999.96999999986</v>
      </c>
      <c r="Q77" s="3"/>
      <c r="R77" s="98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3.5" thickBot="1">
      <c r="A78" s="3"/>
      <c r="B78" s="3"/>
      <c r="C78" s="59" t="str">
        <f>IF(MasterSheet!$A$1=1,MasterSheet!C397,MasterSheet!B397)</f>
        <v>Transferi javnim preduzećima</v>
      </c>
      <c r="D78" s="71">
        <v>0</v>
      </c>
      <c r="E78" s="72">
        <v>0</v>
      </c>
      <c r="F78" s="72">
        <v>0</v>
      </c>
      <c r="G78" s="72">
        <v>0</v>
      </c>
      <c r="H78" s="72">
        <v>0</v>
      </c>
      <c r="I78" s="73">
        <v>0</v>
      </c>
      <c r="J78" s="72">
        <v>0</v>
      </c>
      <c r="K78" s="73">
        <v>0</v>
      </c>
      <c r="L78" s="73">
        <v>0</v>
      </c>
      <c r="M78" s="73">
        <v>0</v>
      </c>
      <c r="N78" s="73">
        <v>0</v>
      </c>
      <c r="O78" s="129">
        <v>0</v>
      </c>
      <c r="P78" s="126">
        <f t="shared" si="2"/>
        <v>0</v>
      </c>
      <c r="Q78" s="3"/>
      <c r="R78" s="98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thickTop="1" thickBot="1">
      <c r="A79" s="3"/>
      <c r="B79" s="3"/>
      <c r="C79" s="35" t="str">
        <f>IF(MasterSheet!$A$1=1,MasterSheet!C398,MasterSheet!B398)</f>
        <v>Kapitalni budžet</v>
      </c>
      <c r="D79" s="74">
        <v>2223650.08</v>
      </c>
      <c r="E79" s="74">
        <v>3571157.94</v>
      </c>
      <c r="F79" s="74">
        <v>1500090.4699999997</v>
      </c>
      <c r="G79" s="77">
        <v>4626975.59</v>
      </c>
      <c r="H79" s="77">
        <v>5643549.7799999993</v>
      </c>
      <c r="I79" s="77">
        <v>8455020.5785714295</v>
      </c>
      <c r="J79" s="77">
        <v>8455020.5785714295</v>
      </c>
      <c r="K79" s="77">
        <v>8455020.5785714295</v>
      </c>
      <c r="L79" s="77">
        <v>8455020.5785714295</v>
      </c>
      <c r="M79" s="75">
        <v>8455020.5785714295</v>
      </c>
      <c r="N79" s="76">
        <v>8455020.5785714295</v>
      </c>
      <c r="O79" s="130">
        <v>8455020.5785714295</v>
      </c>
      <c r="P79" s="127">
        <f t="shared" si="2"/>
        <v>76750567.910000011</v>
      </c>
      <c r="Q79" s="3"/>
      <c r="R79" s="98"/>
      <c r="S79" s="132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3.5" thickTop="1">
      <c r="A80" s="3"/>
      <c r="B80" s="3"/>
      <c r="C80" s="58" t="str">
        <f>IF(MasterSheet!$A$1=1,MasterSheet!C399,MasterSheet!B399)</f>
        <v>Pozajmice i krediti</v>
      </c>
      <c r="D80" s="31">
        <v>0</v>
      </c>
      <c r="E80" s="32">
        <v>327340.79999999999</v>
      </c>
      <c r="F80" s="32">
        <v>125713</v>
      </c>
      <c r="G80" s="32">
        <v>160911</v>
      </c>
      <c r="H80" s="32">
        <v>139637</v>
      </c>
      <c r="I80" s="33">
        <v>135199.74857142859</v>
      </c>
      <c r="J80" s="32">
        <v>135199.74857142859</v>
      </c>
      <c r="K80" s="33">
        <v>135199.74857142859</v>
      </c>
      <c r="L80" s="33">
        <v>135199.74857142859</v>
      </c>
      <c r="M80" s="33">
        <v>135199.74857142859</v>
      </c>
      <c r="N80" s="33">
        <v>135199.74857142859</v>
      </c>
      <c r="O80" s="53">
        <v>135199.74857142859</v>
      </c>
      <c r="P80" s="128">
        <f t="shared" si="2"/>
        <v>1700000.0399999996</v>
      </c>
      <c r="Q80" s="3"/>
      <c r="R80" s="98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3.5" thickBot="1">
      <c r="A81" s="3"/>
      <c r="B81" s="3"/>
      <c r="C81" s="59" t="str">
        <f>IF(MasterSheet!$A$1=1,MasterSheet!C400,MasterSheet!B400)</f>
        <v>Rezerve</v>
      </c>
      <c r="D81" s="71">
        <v>871031.87</v>
      </c>
      <c r="E81" s="72">
        <v>806208.72</v>
      </c>
      <c r="F81" s="72">
        <v>2733199.57</v>
      </c>
      <c r="G81" s="72">
        <v>292935.40000000002</v>
      </c>
      <c r="H81" s="72">
        <v>125197.02</v>
      </c>
      <c r="I81" s="73">
        <v>518583.28285714239</v>
      </c>
      <c r="J81" s="72">
        <v>518583.28285714239</v>
      </c>
      <c r="K81" s="73">
        <v>518583.28285714239</v>
      </c>
      <c r="L81" s="73">
        <v>518583.28285714239</v>
      </c>
      <c r="M81" s="73">
        <v>518583.28285714239</v>
      </c>
      <c r="N81" s="73">
        <v>518583.28285714239</v>
      </c>
      <c r="O81" s="129">
        <v>518583.28285714239</v>
      </c>
      <c r="P81" s="126">
        <f t="shared" si="2"/>
        <v>8458655.5599999968</v>
      </c>
      <c r="Q81" s="3"/>
      <c r="R81" s="98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thickTop="1" thickBot="1">
      <c r="A82" s="3"/>
      <c r="B82" s="3"/>
      <c r="C82" s="35" t="str">
        <f>IF(MasterSheet!$A$1=1,MasterSheet!C402,MasterSheet!B402)</f>
        <v>Suficit/ Deficit</v>
      </c>
      <c r="D82" s="62">
        <f t="shared" ref="D82:O82" si="14">+D19-D51</f>
        <v>-3970584.8026855141</v>
      </c>
      <c r="E82" s="62">
        <f t="shared" si="14"/>
        <v>-31889685.160000011</v>
      </c>
      <c r="F82" s="62">
        <f t="shared" si="14"/>
        <v>-5142077.8299999833</v>
      </c>
      <c r="G82" s="62">
        <f t="shared" si="14"/>
        <v>-47753235.293112114</v>
      </c>
      <c r="H82" s="62">
        <f t="shared" si="14"/>
        <v>-2554548.9446720481</v>
      </c>
      <c r="I82" s="62">
        <f t="shared" si="14"/>
        <v>-4564520.2205671966</v>
      </c>
      <c r="J82" s="62">
        <f t="shared" si="14"/>
        <v>9268129.7626135647</v>
      </c>
      <c r="K82" s="62">
        <f t="shared" si="14"/>
        <v>8517925.3092184365</v>
      </c>
      <c r="L82" s="62">
        <f t="shared" si="14"/>
        <v>2524755.5762213618</v>
      </c>
      <c r="M82" s="62">
        <f t="shared" si="14"/>
        <v>-11435947.051929235</v>
      </c>
      <c r="N82" s="62">
        <f t="shared" si="14"/>
        <v>-17499674.62315315</v>
      </c>
      <c r="O82" s="95">
        <f t="shared" si="14"/>
        <v>17801676.954199865</v>
      </c>
      <c r="P82" s="93">
        <f t="shared" ref="P82:P87" si="15">+SUM(D82:O82)</f>
        <v>-86697786.323866025</v>
      </c>
      <c r="Q82" s="3"/>
      <c r="R82" s="98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thickTop="1" thickBot="1">
      <c r="A83" s="3"/>
      <c r="B83" s="3"/>
      <c r="C83" s="35" t="str">
        <f>IF(MasterSheet!$A$1=1,MasterSheet!C403,MasterSheet!B403)</f>
        <v>Primarni deficit</v>
      </c>
      <c r="D83" s="62">
        <f t="shared" ref="D83:O83" si="16">+D82+D63</f>
        <v>-329685.87268551392</v>
      </c>
      <c r="E83" s="62">
        <f t="shared" si="16"/>
        <v>-30234420.110000011</v>
      </c>
      <c r="F83" s="62">
        <f t="shared" si="16"/>
        <v>-2490499.6099999836</v>
      </c>
      <c r="G83" s="62">
        <f t="shared" si="16"/>
        <v>-33618394.033112116</v>
      </c>
      <c r="H83" s="62">
        <f t="shared" si="16"/>
        <v>-530505.45467204787</v>
      </c>
      <c r="I83" s="62">
        <f t="shared" si="16"/>
        <v>-164718.11485291179</v>
      </c>
      <c r="J83" s="62">
        <f t="shared" si="16"/>
        <v>13667931.868327849</v>
      </c>
      <c r="K83" s="62">
        <f t="shared" si="16"/>
        <v>12917727.41493272</v>
      </c>
      <c r="L83" s="62">
        <f t="shared" si="16"/>
        <v>6924557.6819356466</v>
      </c>
      <c r="M83" s="62">
        <f t="shared" si="16"/>
        <v>-7036144.9462149506</v>
      </c>
      <c r="N83" s="62">
        <f t="shared" si="16"/>
        <v>-13099872.517438866</v>
      </c>
      <c r="O83" s="95">
        <f t="shared" si="16"/>
        <v>22201479.059914149</v>
      </c>
      <c r="P83" s="93">
        <f t="shared" si="15"/>
        <v>-31792544.633866042</v>
      </c>
      <c r="Q83" s="3"/>
      <c r="R83" s="98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thickTop="1" thickBot="1">
      <c r="A84" s="3"/>
      <c r="B84" s="3"/>
      <c r="C84" s="35" t="str">
        <f>IF(MasterSheet!$A$1=1,MasterSheet!C404,MasterSheet!B404)</f>
        <v>Otplata duga</v>
      </c>
      <c r="D84" s="62">
        <f>+SUM(D85:D88)</f>
        <v>15701160.219999999</v>
      </c>
      <c r="E84" s="62">
        <f t="shared" ref="E84:O84" si="17">+SUM(E85:E88)</f>
        <v>11938455.789999999</v>
      </c>
      <c r="F84" s="62">
        <f t="shared" si="17"/>
        <v>9703814.5700000003</v>
      </c>
      <c r="G84" s="62">
        <f t="shared" si="17"/>
        <v>35322547.710000001</v>
      </c>
      <c r="H84" s="62">
        <f t="shared" si="17"/>
        <v>10712030.08</v>
      </c>
      <c r="I84" s="62">
        <f t="shared" si="17"/>
        <v>19277124.890000001</v>
      </c>
      <c r="J84" s="62">
        <f t="shared" si="17"/>
        <v>17836431.240000002</v>
      </c>
      <c r="K84" s="62">
        <f t="shared" si="17"/>
        <v>6875017.54</v>
      </c>
      <c r="L84" s="62">
        <f t="shared" si="17"/>
        <v>9630017.8300000001</v>
      </c>
      <c r="M84" s="62">
        <f t="shared" si="17"/>
        <v>8290389.5199999996</v>
      </c>
      <c r="N84" s="62">
        <f t="shared" si="17"/>
        <v>6948208.5899999999</v>
      </c>
      <c r="O84" s="95">
        <f t="shared" si="17"/>
        <v>19309526.120000012</v>
      </c>
      <c r="P84" s="93">
        <f>+SUM(D84:O84)</f>
        <v>171544724.10000002</v>
      </c>
      <c r="Q84" s="9"/>
      <c r="R84" s="98"/>
      <c r="S84" s="6"/>
      <c r="T84" s="6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3.5" thickTop="1">
      <c r="A85" s="3"/>
      <c r="B85" s="3"/>
      <c r="C85" s="58" t="str">
        <f>IF(MasterSheet!$A$1=1,MasterSheet!C405,MasterSheet!B405)</f>
        <v>Otplata duga rezidentima</v>
      </c>
      <c r="D85" s="31">
        <v>4367230.4400000004</v>
      </c>
      <c r="E85" s="32">
        <v>5235864.3</v>
      </c>
      <c r="F85" s="32">
        <v>4138404.89</v>
      </c>
      <c r="G85" s="32">
        <v>8806701.6500000004</v>
      </c>
      <c r="H85" s="32">
        <v>8698958</v>
      </c>
      <c r="I85" s="33">
        <v>2255304.21</v>
      </c>
      <c r="J85" s="32">
        <v>2557262.25</v>
      </c>
      <c r="K85" s="33">
        <v>847758.62</v>
      </c>
      <c r="L85" s="33">
        <v>2310313.6</v>
      </c>
      <c r="M85" s="33">
        <v>2623201.64</v>
      </c>
      <c r="N85" s="33">
        <v>863263.65</v>
      </c>
      <c r="O85" s="53">
        <v>6145172.4500000002</v>
      </c>
      <c r="P85" s="34">
        <f t="shared" si="15"/>
        <v>48849435.700000003</v>
      </c>
      <c r="Q85" s="3"/>
      <c r="R85" s="96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>
      <c r="A86" s="3"/>
      <c r="B86" s="3"/>
      <c r="C86" s="58" t="str">
        <f>IF(MasterSheet!$A$1=1,MasterSheet!C406,MasterSheet!B406)</f>
        <v>Otplata duga nerezidentima</v>
      </c>
      <c r="D86" s="31">
        <v>10468608.6</v>
      </c>
      <c r="E86" s="32">
        <v>4137572.64</v>
      </c>
      <c r="F86" s="32">
        <v>2782704.84</v>
      </c>
      <c r="G86" s="32">
        <v>2116906.48</v>
      </c>
      <c r="H86" s="32">
        <v>1830498.99</v>
      </c>
      <c r="I86" s="33">
        <v>11172575</v>
      </c>
      <c r="J86" s="32">
        <v>2629168.9900000002</v>
      </c>
      <c r="K86" s="33">
        <v>928013.22</v>
      </c>
      <c r="L86" s="33">
        <v>3570458.55</v>
      </c>
      <c r="M86" s="33">
        <v>2217942.19</v>
      </c>
      <c r="N86" s="33">
        <v>2735699.26</v>
      </c>
      <c r="O86" s="53">
        <v>9865107.9800000098</v>
      </c>
      <c r="P86" s="70">
        <f t="shared" si="15"/>
        <v>54455256.740000002</v>
      </c>
      <c r="Q86" s="3"/>
      <c r="R86" s="97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>
      <c r="A87" s="3"/>
      <c r="B87" s="3"/>
      <c r="C87" s="58" t="str">
        <f>IF(MasterSheet!$A$1=1,MasterSheet!C407,MasterSheet!B407)</f>
        <v>Otplata obaveza iz prethodnog perioda</v>
      </c>
      <c r="D87" s="31">
        <v>865321.18</v>
      </c>
      <c r="E87" s="32">
        <v>2565018.85</v>
      </c>
      <c r="F87" s="32">
        <v>2782704.84</v>
      </c>
      <c r="G87" s="32">
        <v>971199.4</v>
      </c>
      <c r="H87" s="32">
        <v>182573.09</v>
      </c>
      <c r="I87" s="33">
        <v>5849245.6799999997</v>
      </c>
      <c r="J87" s="32">
        <v>12650000</v>
      </c>
      <c r="K87" s="33">
        <v>5099245.7</v>
      </c>
      <c r="L87" s="33">
        <v>3749245.68</v>
      </c>
      <c r="M87" s="33">
        <v>3449245.69</v>
      </c>
      <c r="N87" s="33">
        <v>3349245.68</v>
      </c>
      <c r="O87" s="53">
        <v>3299245.69</v>
      </c>
      <c r="P87" s="34">
        <f t="shared" si="15"/>
        <v>44812291.479999997</v>
      </c>
      <c r="Q87" s="3"/>
      <c r="R87" s="96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3.5" thickBot="1">
      <c r="A88" s="3"/>
      <c r="B88" s="3"/>
      <c r="C88" s="59" t="str">
        <f>IF(MasterSheet!$A$1=1,MasterSheet!C408,MasterSheet!B408)</f>
        <v>Otplata garancija</v>
      </c>
      <c r="D88" s="31">
        <v>0</v>
      </c>
      <c r="E88" s="32">
        <v>0</v>
      </c>
      <c r="F88" s="32">
        <v>0</v>
      </c>
      <c r="G88" s="32">
        <v>23427740.18</v>
      </c>
      <c r="H88" s="32">
        <v>0</v>
      </c>
      <c r="I88" s="33">
        <v>0</v>
      </c>
      <c r="J88" s="32">
        <v>0</v>
      </c>
      <c r="K88" s="33">
        <v>0</v>
      </c>
      <c r="L88" s="33">
        <v>0</v>
      </c>
      <c r="M88" s="33">
        <v>0</v>
      </c>
      <c r="N88" s="33">
        <v>0</v>
      </c>
      <c r="O88" s="53">
        <v>0</v>
      </c>
      <c r="P88" s="34">
        <f t="shared" ref="P88:P95" si="18">+SUM(D88:O88)</f>
        <v>23427740.18</v>
      </c>
      <c r="Q88" s="3"/>
      <c r="R88" s="96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thickTop="1" thickBot="1">
      <c r="A89" s="3"/>
      <c r="B89" s="3"/>
      <c r="C89" s="35" t="str">
        <f>IF(MasterSheet!$A$1=1,MasterSheet!C409,MasterSheet!B409)</f>
        <v>Nedostajuća sredstva</v>
      </c>
      <c r="D89" s="62">
        <f t="shared" ref="D89:O89" si="19">+D82-D84</f>
        <v>-19671745.022685513</v>
      </c>
      <c r="E89" s="62">
        <f t="shared" si="19"/>
        <v>-43828140.95000001</v>
      </c>
      <c r="F89" s="62">
        <f t="shared" si="19"/>
        <v>-14845892.399999984</v>
      </c>
      <c r="G89" s="62">
        <f t="shared" si="19"/>
        <v>-83075783.003112108</v>
      </c>
      <c r="H89" s="62">
        <f t="shared" si="19"/>
        <v>-13266579.024672048</v>
      </c>
      <c r="I89" s="62">
        <f t="shared" si="19"/>
        <v>-23841645.110567197</v>
      </c>
      <c r="J89" s="62">
        <f t="shared" si="19"/>
        <v>-8568301.4773864374</v>
      </c>
      <c r="K89" s="62">
        <f t="shared" si="19"/>
        <v>1642907.7692184364</v>
      </c>
      <c r="L89" s="62">
        <f t="shared" si="19"/>
        <v>-7105262.2537786383</v>
      </c>
      <c r="M89" s="62">
        <f t="shared" si="19"/>
        <v>-19726336.571929235</v>
      </c>
      <c r="N89" s="62">
        <f t="shared" si="19"/>
        <v>-24447883.21315315</v>
      </c>
      <c r="O89" s="95">
        <f t="shared" si="19"/>
        <v>-1507849.1658001468</v>
      </c>
      <c r="P89" s="93">
        <f t="shared" si="18"/>
        <v>-258242510.42386606</v>
      </c>
      <c r="Q89" s="3"/>
      <c r="R89" s="98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thickTop="1" thickBot="1">
      <c r="A90" s="3"/>
      <c r="B90" s="3"/>
      <c r="C90" s="35" t="str">
        <f>IF(MasterSheet!$A$1=1,MasterSheet!C410,MasterSheet!B410)</f>
        <v>Finansiranje</v>
      </c>
      <c r="D90" s="62">
        <f>+SUM(D91:D95)</f>
        <v>19671745.022685513</v>
      </c>
      <c r="E90" s="62">
        <f t="shared" ref="E90:O90" si="20">+SUM(E91:E95)</f>
        <v>43828140.95000001</v>
      </c>
      <c r="F90" s="62">
        <f t="shared" si="20"/>
        <v>14845892.399999984</v>
      </c>
      <c r="G90" s="62">
        <f t="shared" si="20"/>
        <v>83075783.003112108</v>
      </c>
      <c r="H90" s="62">
        <f t="shared" si="20"/>
        <v>13266579.024672048</v>
      </c>
      <c r="I90" s="62">
        <f t="shared" si="20"/>
        <v>23841645.110567197</v>
      </c>
      <c r="J90" s="62">
        <f t="shared" si="20"/>
        <v>8568301.4773864299</v>
      </c>
      <c r="K90" s="62">
        <f t="shared" si="20"/>
        <v>-1642907.7692184364</v>
      </c>
      <c r="L90" s="62">
        <f t="shared" si="20"/>
        <v>7105262.2537786383</v>
      </c>
      <c r="M90" s="62">
        <f t="shared" si="20"/>
        <v>19726336.571929235</v>
      </c>
      <c r="N90" s="62">
        <f t="shared" si="20"/>
        <v>24447883.21315315</v>
      </c>
      <c r="O90" s="95">
        <f t="shared" si="20"/>
        <v>1507849.1658001468</v>
      </c>
      <c r="P90" s="93">
        <f t="shared" si="18"/>
        <v>258242510.42386603</v>
      </c>
      <c r="Q90" s="3"/>
      <c r="R90" s="98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3.5" thickTop="1">
      <c r="A91" s="3"/>
      <c r="B91" s="3"/>
      <c r="C91" s="58" t="str">
        <f>IF(MasterSheet!$A$1=1,MasterSheet!C411,MasterSheet!B411)</f>
        <v>Pozajmice i krediti iz domaćih izvora</v>
      </c>
      <c r="D91" s="31">
        <v>9940519.3800000008</v>
      </c>
      <c r="E91" s="32">
        <v>1500000</v>
      </c>
      <c r="F91" s="32">
        <v>5000000</v>
      </c>
      <c r="G91" s="32">
        <v>0</v>
      </c>
      <c r="H91" s="32">
        <v>0</v>
      </c>
      <c r="I91" s="33">
        <v>0</v>
      </c>
      <c r="J91" s="32">
        <v>0</v>
      </c>
      <c r="K91" s="33">
        <v>0</v>
      </c>
      <c r="L91" s="33">
        <v>0</v>
      </c>
      <c r="M91" s="33">
        <v>0</v>
      </c>
      <c r="N91" s="33">
        <v>0</v>
      </c>
      <c r="O91" s="53">
        <v>0</v>
      </c>
      <c r="P91" s="34">
        <f t="shared" si="18"/>
        <v>16440519.380000001</v>
      </c>
      <c r="Q91" s="3"/>
      <c r="R91" s="96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>
      <c r="A92" s="3"/>
      <c r="B92" s="3"/>
      <c r="C92" s="58" t="str">
        <f>IF(MasterSheet!$A$1=1,MasterSheet!C412,MasterSheet!B412)</f>
        <v>Pozajmice i krediti iz inostranih izvora</v>
      </c>
      <c r="D92" s="31">
        <v>17753.55</v>
      </c>
      <c r="E92" s="32">
        <v>59489562.469999999</v>
      </c>
      <c r="F92" s="32">
        <v>308302.08000000002</v>
      </c>
      <c r="G92" s="32">
        <v>98000000</v>
      </c>
      <c r="H92" s="32">
        <v>0</v>
      </c>
      <c r="I92" s="33">
        <v>0</v>
      </c>
      <c r="J92" s="32">
        <v>100000000</v>
      </c>
      <c r="K92" s="33">
        <v>0</v>
      </c>
      <c r="L92" s="33">
        <v>0</v>
      </c>
      <c r="M92" s="33">
        <v>0</v>
      </c>
      <c r="N92" s="33">
        <v>33986892.173866034</v>
      </c>
      <c r="O92" s="53">
        <v>0</v>
      </c>
      <c r="P92" s="34">
        <f t="shared" si="18"/>
        <v>291802510.27386606</v>
      </c>
      <c r="Q92" s="3"/>
      <c r="R92" s="96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3"/>
      <c r="B93" s="3"/>
      <c r="C93" s="58" t="str">
        <f>IF(MasterSheet!$A$1=1,MasterSheet!C413,MasterSheet!B413)</f>
        <v>Donacije</v>
      </c>
      <c r="D93" s="31">
        <v>0</v>
      </c>
      <c r="E93" s="32">
        <v>0</v>
      </c>
      <c r="F93" s="32">
        <v>0</v>
      </c>
      <c r="G93" s="32">
        <v>0</v>
      </c>
      <c r="H93" s="32">
        <v>0</v>
      </c>
      <c r="I93" s="33">
        <v>0</v>
      </c>
      <c r="J93" s="32">
        <v>0</v>
      </c>
      <c r="K93" s="33">
        <v>0</v>
      </c>
      <c r="L93" s="33">
        <v>0</v>
      </c>
      <c r="M93" s="33">
        <v>0</v>
      </c>
      <c r="N93" s="33">
        <v>0</v>
      </c>
      <c r="O93" s="53">
        <v>0</v>
      </c>
      <c r="P93" s="34">
        <f t="shared" si="18"/>
        <v>0</v>
      </c>
      <c r="Q93" s="3"/>
      <c r="R93" s="96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3"/>
      <c r="B94" s="3"/>
      <c r="C94" s="58" t="str">
        <f>IF(MasterSheet!$A$1=1,MasterSheet!C414,MasterSheet!B414)</f>
        <v>Prihodi od privatizacije</v>
      </c>
      <c r="D94" s="31">
        <v>103661.6</v>
      </c>
      <c r="E94" s="33">
        <v>231003.75</v>
      </c>
      <c r="F94" s="33">
        <v>52105.86</v>
      </c>
      <c r="G94" s="32">
        <v>1068136.5322222221</v>
      </c>
      <c r="H94" s="32">
        <v>1068136.5322222221</v>
      </c>
      <c r="I94" s="33">
        <v>1068136.5322222221</v>
      </c>
      <c r="J94" s="32">
        <v>1068136.5322222221</v>
      </c>
      <c r="K94" s="33">
        <v>1068136.5322222221</v>
      </c>
      <c r="L94" s="33">
        <v>1068136.5322222221</v>
      </c>
      <c r="M94" s="33">
        <v>1068136.5322222221</v>
      </c>
      <c r="N94" s="33">
        <v>1068136.5322222221</v>
      </c>
      <c r="O94" s="53">
        <v>1068136.5322222221</v>
      </c>
      <c r="P94" s="34">
        <f t="shared" si="18"/>
        <v>10000000</v>
      </c>
      <c r="Q94" s="3"/>
      <c r="R94" s="96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3.5" thickBot="1">
      <c r="A95" s="3"/>
      <c r="B95" s="3"/>
      <c r="C95" s="61" t="str">
        <f>IF(MasterSheet!$A$1=1,MasterSheet!C415,MasterSheet!B415)</f>
        <v>Povećanje/smanjenje depozita</v>
      </c>
      <c r="D95" s="46">
        <f>-D89-SUM(D91:D94)</f>
        <v>9609810.4926855117</v>
      </c>
      <c r="E95" s="48">
        <f t="shared" ref="E95:O95" si="21">-E89-SUM(E91:E94)</f>
        <v>-17392425.269999988</v>
      </c>
      <c r="F95" s="48">
        <f t="shared" si="21"/>
        <v>9485484.4599999823</v>
      </c>
      <c r="G95" s="69">
        <f t="shared" si="21"/>
        <v>-15992353.529110119</v>
      </c>
      <c r="H95" s="69">
        <f t="shared" si="21"/>
        <v>12198442.492449826</v>
      </c>
      <c r="I95" s="69">
        <f t="shared" si="21"/>
        <v>22773508.578344975</v>
      </c>
      <c r="J95" s="69">
        <f t="shared" si="21"/>
        <v>-92499835.054835796</v>
      </c>
      <c r="K95" s="69">
        <f t="shared" si="21"/>
        <v>-2711044.3014406585</v>
      </c>
      <c r="L95" s="69">
        <f t="shared" si="21"/>
        <v>6037125.7215564158</v>
      </c>
      <c r="M95" s="69">
        <f t="shared" si="21"/>
        <v>18658200.039707012</v>
      </c>
      <c r="N95" s="69">
        <f t="shared" si="21"/>
        <v>-10607145.492935102</v>
      </c>
      <c r="O95" s="54">
        <f t="shared" si="21"/>
        <v>439712.63357792469</v>
      </c>
      <c r="P95" s="92">
        <f t="shared" si="18"/>
        <v>-60000519.230000019</v>
      </c>
      <c r="Q95" s="57"/>
      <c r="R95" s="65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3.5" thickTop="1">
      <c r="A96" s="3"/>
      <c r="B96" s="3"/>
      <c r="C96" s="56" t="str">
        <f>IF(MasterSheet!$A$1=1,MasterSheet!C416,MasterSheet!B416)</f>
        <v>Izvor: Ministarstvo finansija Crne Gore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3"/>
      <c r="B99" s="3"/>
      <c r="C99" s="3"/>
      <c r="D99" s="3"/>
      <c r="E99" s="3"/>
      <c r="F99" s="3"/>
      <c r="G99" s="13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/>
      <c r="B100" s="3"/>
      <c r="C100" s="3"/>
      <c r="D100" s="3"/>
      <c r="E100" s="3"/>
      <c r="F100" s="3"/>
      <c r="G100" s="13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opLeftCell="A10" zoomScale="85" zoomScaleNormal="85" workbookViewId="0">
      <selection activeCell="D42" sqref="D42:D44"/>
    </sheetView>
  </sheetViews>
  <sheetFormatPr defaultRowHeight="12.75"/>
  <cols>
    <col min="1" max="1" width="9.140625" style="19" customWidth="1"/>
    <col min="2" max="2" width="1.7109375" style="19" customWidth="1"/>
    <col min="3" max="3" width="40.7109375" style="19" customWidth="1"/>
    <col min="4" max="4" width="7.5703125" style="19" bestFit="1" customWidth="1"/>
    <col min="5" max="5" width="9" style="19" customWidth="1"/>
    <col min="6" max="6" width="7.5703125" style="19" bestFit="1" customWidth="1"/>
    <col min="7" max="13" width="8.7109375" style="19" customWidth="1"/>
    <col min="14" max="14" width="8.42578125" style="19" customWidth="1"/>
    <col min="15" max="15" width="9.42578125" style="19" customWidth="1"/>
    <col min="16" max="16" width="10.140625" style="19" customWidth="1"/>
    <col min="17" max="17" width="7.42578125" style="19" customWidth="1"/>
    <col min="18" max="18" width="8.7109375" style="19" customWidth="1"/>
    <col min="19" max="19" width="7.42578125" style="19" customWidth="1"/>
    <col min="20" max="20" width="8.7109375" style="19" customWidth="1"/>
    <col min="21" max="21" width="7.42578125" style="19" customWidth="1"/>
    <col min="22" max="22" width="9.85546875" style="19" customWidth="1"/>
    <col min="23" max="23" width="7.42578125" style="19" customWidth="1"/>
    <col min="24" max="24" width="7.5703125" style="19" customWidth="1"/>
    <col min="25" max="25" width="7.42578125" style="19" customWidth="1"/>
    <col min="26" max="26" width="7.5703125" style="19" customWidth="1"/>
    <col min="27" max="27" width="7.42578125" style="19" customWidth="1"/>
    <col min="28" max="52" width="10.7109375" style="19" customWidth="1"/>
    <col min="53" max="53" width="13.85546875" style="195" customWidth="1"/>
    <col min="54" max="55" width="48.28515625" style="19" customWidth="1"/>
    <col min="56" max="131" width="9.140625" style="19" customWidth="1"/>
    <col min="132" max="132" width="12.7109375" style="19" customWidth="1"/>
    <col min="133" max="133" width="11.85546875" style="19" customWidth="1"/>
    <col min="134" max="139" width="9.140625" style="19" customWidth="1"/>
    <col min="140" max="140" width="9.140625" style="19" hidden="1" customWidth="1"/>
    <col min="141" max="141" width="10" style="19" hidden="1" customWidth="1"/>
    <col min="142" max="146" width="9.140625" style="19" hidden="1" customWidth="1"/>
    <col min="147" max="180" width="9.140625" style="19" customWidth="1"/>
    <col min="181" max="181" width="9.140625" style="19"/>
    <col min="182" max="182" width="11" style="19" bestFit="1" customWidth="1"/>
    <col min="183" max="183" width="17.42578125" style="19" bestFit="1" customWidth="1"/>
    <col min="184" max="184" width="9.140625" style="19"/>
    <col min="185" max="187" width="9.140625" style="19" hidden="1" customWidth="1"/>
    <col min="188" max="188" width="17.42578125" style="196" hidden="1" customWidth="1"/>
    <col min="189" max="189" width="9.140625" style="19" hidden="1" customWidth="1"/>
    <col min="190" max="190" width="11.5703125" style="19" hidden="1" customWidth="1"/>
    <col min="191" max="192" width="9.140625" style="19" hidden="1" customWidth="1"/>
    <col min="193" max="203" width="0" style="19" hidden="1" customWidth="1"/>
    <col min="204" max="205" width="9.140625" style="19"/>
    <col min="206" max="206" width="0" style="19" hidden="1" customWidth="1"/>
    <col min="207" max="16384" width="9.140625" style="19"/>
  </cols>
  <sheetData>
    <row r="1" spans="1:246">
      <c r="A1" s="6"/>
      <c r="B1" s="6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13"/>
      <c r="O1" s="61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BA1" s="19"/>
      <c r="BC1" s="195"/>
      <c r="GF1" s="19"/>
      <c r="GH1" s="196"/>
    </row>
    <row r="2" spans="1:246" ht="15" customHeight="1">
      <c r="A2" s="6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637"/>
      <c r="O2" s="637"/>
      <c r="P2" s="12"/>
      <c r="Q2" s="12"/>
      <c r="R2" s="12"/>
      <c r="S2" s="12"/>
      <c r="T2" s="12"/>
      <c r="U2" s="12"/>
      <c r="V2" s="12"/>
      <c r="W2" s="12"/>
      <c r="X2" s="197"/>
      <c r="Y2" s="198"/>
      <c r="Z2" s="198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195"/>
      <c r="GF2" s="19"/>
      <c r="GH2" s="196"/>
    </row>
    <row r="3" spans="1:24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3"/>
      <c r="O3" s="113"/>
      <c r="P3" s="6"/>
      <c r="Q3" s="11"/>
      <c r="R3" s="11"/>
      <c r="S3" s="6"/>
      <c r="T3" s="6"/>
      <c r="U3" s="6"/>
      <c r="V3" s="6"/>
      <c r="W3" s="6"/>
      <c r="X3" s="6"/>
      <c r="Y3" s="6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195"/>
      <c r="GF3" s="19"/>
      <c r="GH3" s="203"/>
    </row>
    <row r="4" spans="1:24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5"/>
      <c r="O4" s="114"/>
      <c r="P4" s="6"/>
      <c r="Q4" s="11"/>
      <c r="R4" s="11"/>
      <c r="S4" s="6"/>
      <c r="T4" s="6"/>
      <c r="U4" s="6"/>
      <c r="V4" s="6"/>
      <c r="W4" s="6"/>
      <c r="X4" s="6"/>
      <c r="Y4" s="6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4"/>
      <c r="AZ4" s="204"/>
      <c r="BA4" s="204"/>
      <c r="BB4" s="204"/>
      <c r="BC4" s="205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206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</row>
    <row r="5" spans="1:24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5"/>
      <c r="O5" s="114"/>
      <c r="P5" s="6"/>
      <c r="Q5" s="11"/>
      <c r="R5" s="11"/>
      <c r="S5" s="6"/>
      <c r="T5" s="6"/>
      <c r="U5" s="6"/>
      <c r="V5" s="6"/>
      <c r="W5" s="6"/>
      <c r="X5" s="6"/>
      <c r="Y5" s="6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4"/>
      <c r="AZ5" s="204"/>
      <c r="BA5" s="204"/>
      <c r="BB5" s="204"/>
      <c r="BC5" s="205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206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</row>
    <row r="6" spans="1:24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5"/>
      <c r="O6" s="116"/>
      <c r="P6" s="11"/>
      <c r="Q6" s="11"/>
      <c r="R6" s="11"/>
      <c r="S6" s="6"/>
      <c r="T6" s="6"/>
      <c r="U6" s="6"/>
      <c r="V6" s="6"/>
      <c r="W6" s="6"/>
      <c r="X6" s="6"/>
      <c r="Y6" s="6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4"/>
      <c r="AZ6" s="204"/>
      <c r="BA6" s="204"/>
      <c r="BB6" s="204"/>
      <c r="BC6" s="205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206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</row>
    <row r="7" spans="1:246" ht="15">
      <c r="A7" s="6"/>
      <c r="B7" s="6"/>
      <c r="C7" s="6"/>
      <c r="D7" s="6"/>
      <c r="E7" s="6"/>
      <c r="F7" s="6"/>
      <c r="G7" s="6"/>
      <c r="H7" s="6"/>
      <c r="I7" s="585" t="str">
        <f>IF(MasterSheet!$A$1=1, MasterSheet!C5,MasterSheet!B5)</f>
        <v>CRNA GORA</v>
      </c>
      <c r="J7" s="585"/>
      <c r="K7" s="585"/>
      <c r="L7" s="5"/>
      <c r="M7" s="5"/>
      <c r="N7" s="6"/>
      <c r="O7" s="11"/>
      <c r="P7" s="11"/>
      <c r="Q7" s="6"/>
      <c r="R7" s="6"/>
      <c r="S7" s="6"/>
      <c r="T7" s="6"/>
      <c r="U7" s="6"/>
      <c r="V7" s="6"/>
      <c r="W7" s="6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4"/>
      <c r="AX7" s="204"/>
      <c r="AY7" s="204"/>
      <c r="AZ7" s="204"/>
      <c r="BA7" s="205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206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</row>
    <row r="8" spans="1:246" ht="15">
      <c r="A8" s="6"/>
      <c r="B8" s="6"/>
      <c r="C8" s="6"/>
      <c r="D8" s="6"/>
      <c r="E8" s="6"/>
      <c r="F8" s="6"/>
      <c r="G8" s="6"/>
      <c r="H8" s="585" t="str">
        <f>IF(MasterSheet!$A$1=1,MasterSheet!C6,MasterSheet!B6)</f>
        <v>MINISTARSTVO FINANSIJA</v>
      </c>
      <c r="I8" s="585"/>
      <c r="J8" s="585"/>
      <c r="K8" s="585"/>
      <c r="L8" s="585"/>
      <c r="M8" s="8"/>
      <c r="N8" s="6"/>
      <c r="O8" s="11"/>
      <c r="P8" s="11"/>
      <c r="Q8" s="6"/>
      <c r="R8" s="6"/>
      <c r="S8" s="6"/>
      <c r="T8" s="6"/>
      <c r="U8" s="6"/>
      <c r="V8" s="6"/>
      <c r="W8" s="6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4"/>
      <c r="AX8" s="204"/>
      <c r="AY8" s="204"/>
      <c r="AZ8" s="204"/>
      <c r="BA8" s="205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206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</row>
    <row r="9" spans="1:246" ht="15">
      <c r="A9" s="6"/>
      <c r="B9" s="6"/>
      <c r="C9" s="11"/>
      <c r="D9" s="6"/>
      <c r="E9" s="6"/>
      <c r="F9" s="6"/>
      <c r="G9" s="6"/>
      <c r="H9" s="6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4"/>
      <c r="AX9" s="204"/>
      <c r="AY9" s="204"/>
      <c r="AZ9" s="204"/>
      <c r="BA9" s="205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206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</row>
    <row r="10" spans="1:24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4"/>
      <c r="AX10" s="204"/>
      <c r="AY10" s="204"/>
      <c r="AZ10" s="204"/>
      <c r="BA10" s="205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206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</row>
    <row r="11" spans="1:24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4"/>
      <c r="AX11" s="204"/>
      <c r="AY11" s="204"/>
      <c r="AZ11" s="204"/>
      <c r="BA11" s="205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206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</row>
    <row r="12" spans="1:24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4"/>
      <c r="AX12" s="204"/>
      <c r="AY12" s="204"/>
      <c r="AZ12" s="204"/>
      <c r="BA12" s="205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206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</row>
    <row r="13" spans="1:24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4"/>
      <c r="AX13" s="204"/>
      <c r="AY13" s="204"/>
      <c r="AZ13" s="204"/>
      <c r="BA13" s="205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206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</row>
    <row r="14" spans="1:246" ht="13.5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4"/>
      <c r="AX14" s="204"/>
      <c r="AY14" s="204"/>
      <c r="AZ14" s="204"/>
      <c r="BA14" s="205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206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</row>
    <row r="15" spans="1:246" ht="16.5" customHeight="1" thickTop="1" thickBot="1">
      <c r="A15" s="6"/>
      <c r="B15" s="6"/>
      <c r="C15" s="105" t="s">
        <v>421</v>
      </c>
      <c r="D15" s="627">
        <v>3149000000</v>
      </c>
      <c r="E15" s="628"/>
      <c r="F15" s="629">
        <f>+'2013 - execution'!D13</f>
        <v>3335900000</v>
      </c>
      <c r="G15" s="630"/>
      <c r="H15" s="629">
        <f>+'2014 - plan'!D14</f>
        <v>3516000000</v>
      </c>
      <c r="I15" s="630">
        <v>0</v>
      </c>
      <c r="J15" s="629">
        <v>3730000000</v>
      </c>
      <c r="K15" s="630"/>
      <c r="L15" s="629">
        <v>3968000000</v>
      </c>
      <c r="M15" s="630"/>
      <c r="N15" s="6"/>
      <c r="O15" s="6"/>
      <c r="P15" s="11"/>
      <c r="Q15" s="6"/>
      <c r="R15" s="6"/>
      <c r="S15" s="6"/>
      <c r="T15" s="6"/>
      <c r="U15" s="6"/>
      <c r="V15" s="6"/>
      <c r="W15" s="6"/>
      <c r="X15" s="201"/>
      <c r="Y15" s="201"/>
      <c r="Z15" s="13"/>
      <c r="AA15" s="13"/>
      <c r="AB15" s="13"/>
      <c r="AC15" s="13"/>
      <c r="AD15" s="13"/>
      <c r="AE15" s="13"/>
      <c r="AF15" s="13"/>
      <c r="AG15" s="13"/>
      <c r="AH15" s="13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5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206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</row>
    <row r="16" spans="1:246" ht="16.5" customHeight="1" thickTop="1">
      <c r="A16" s="6"/>
      <c r="B16" s="6"/>
      <c r="C16" s="17"/>
      <c r="D16" s="18"/>
      <c r="E16" s="18"/>
      <c r="F16" s="15"/>
      <c r="G16" s="240"/>
      <c r="H16" s="240"/>
      <c r="I16" s="240"/>
      <c r="J16" s="240"/>
      <c r="K16" s="15"/>
      <c r="L16" s="15"/>
      <c r="M16" s="15"/>
      <c r="N16" s="6"/>
      <c r="O16" s="6"/>
      <c r="P16" s="6"/>
      <c r="Q16" s="6"/>
      <c r="R16" s="6"/>
      <c r="S16" s="6"/>
      <c r="T16" s="6"/>
      <c r="U16" s="6"/>
      <c r="V16" s="6"/>
      <c r="W16" s="6"/>
      <c r="X16" s="201"/>
      <c r="Y16" s="201"/>
      <c r="Z16" s="13"/>
      <c r="AA16" s="13"/>
      <c r="AB16" s="13"/>
      <c r="AC16" s="13"/>
      <c r="AD16" s="13"/>
      <c r="AE16" s="13"/>
      <c r="AF16" s="13"/>
      <c r="AG16" s="13"/>
      <c r="AH16" s="13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5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206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</row>
    <row r="17" spans="1:244" ht="17.25" customHeight="1" thickBot="1">
      <c r="A17" s="6"/>
      <c r="B17" s="14"/>
      <c r="C17" s="208"/>
      <c r="D17" s="238"/>
      <c r="E17" s="208"/>
      <c r="F17" s="239"/>
      <c r="G17" s="237"/>
      <c r="H17" s="237"/>
      <c r="I17" s="237"/>
      <c r="J17" s="241"/>
      <c r="K17" s="241"/>
      <c r="L17" s="194"/>
      <c r="M17" s="194"/>
      <c r="N17" s="6"/>
      <c r="O17" s="6"/>
      <c r="P17" s="6"/>
      <c r="Q17" s="6"/>
      <c r="R17" s="6"/>
      <c r="S17" s="6"/>
      <c r="T17" s="6"/>
      <c r="U17" s="6"/>
      <c r="V17" s="6"/>
      <c r="W17" s="6"/>
      <c r="X17" s="201"/>
      <c r="Y17" s="201"/>
      <c r="Z17" s="194"/>
      <c r="AA17" s="194"/>
      <c r="AB17" s="194"/>
      <c r="AC17" s="194"/>
      <c r="AD17" s="194"/>
      <c r="AE17" s="194"/>
      <c r="AF17" s="194"/>
      <c r="AG17" s="194"/>
      <c r="AH17" s="194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5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206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</row>
    <row r="18" spans="1:244" ht="17.25" customHeight="1" thickTop="1">
      <c r="A18" s="6"/>
      <c r="B18" s="14"/>
      <c r="C18" s="619" t="str">
        <f>IF(MasterSheet!$A$1=1,MasterSheet!C435,MasterSheet!B435)</f>
        <v>Stanje javnog duga, na kraju perioda</v>
      </c>
      <c r="D18" s="614" t="s">
        <v>403</v>
      </c>
      <c r="E18" s="614"/>
      <c r="F18" s="614" t="s">
        <v>412</v>
      </c>
      <c r="G18" s="614"/>
      <c r="H18" s="614">
        <v>2014</v>
      </c>
      <c r="I18" s="614"/>
      <c r="J18" s="614">
        <v>2015</v>
      </c>
      <c r="K18" s="614"/>
      <c r="L18" s="614">
        <v>2016</v>
      </c>
      <c r="M18" s="614"/>
      <c r="N18" s="6"/>
      <c r="O18" s="6"/>
      <c r="P18" s="6"/>
      <c r="Q18" s="6"/>
      <c r="R18" s="6"/>
      <c r="S18" s="6"/>
      <c r="T18" s="6"/>
      <c r="U18" s="6"/>
      <c r="V18" s="6"/>
      <c r="W18" s="6"/>
      <c r="X18" s="201"/>
      <c r="Y18" s="201"/>
      <c r="Z18" s="194"/>
      <c r="AA18" s="194"/>
      <c r="AB18" s="194"/>
      <c r="AC18" s="194"/>
      <c r="AD18" s="194"/>
      <c r="AE18" s="194"/>
      <c r="AF18" s="194"/>
      <c r="AG18" s="194"/>
      <c r="AH18" s="194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5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206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</row>
    <row r="19" spans="1:244" ht="16.5" customHeight="1" thickBot="1">
      <c r="A19" s="6"/>
      <c r="B19" s="6"/>
      <c r="C19" s="620"/>
      <c r="D19" s="109" t="str">
        <f>IF(MasterSheet!$A$1=1,MasterSheet!C258,MasterSheet!C257)</f>
        <v>mil. €</v>
      </c>
      <c r="E19" s="110" t="str">
        <f>IF(MasterSheet!$A$1=1,MasterSheet!D258,MasterSheet!D257)</f>
        <v xml:space="preserve"> % BDP</v>
      </c>
      <c r="F19" s="109" t="str">
        <f>IF(MasterSheet!$A$1=1,MasterSheet!E258,MasterSheet!E257)</f>
        <v>mil. €</v>
      </c>
      <c r="G19" s="110" t="str">
        <f>IF(MasterSheet!$A$1=1,MasterSheet!F258,MasterSheet!F257)</f>
        <v xml:space="preserve"> % BDP</v>
      </c>
      <c r="H19" s="109" t="str">
        <f>IF(MasterSheet!$A$1=1,MasterSheet!G258,MasterSheet!G257)</f>
        <v>mil. €</v>
      </c>
      <c r="I19" s="110" t="str">
        <f>IF(MasterSheet!$A$1=1,MasterSheet!H258,MasterSheet!H257)</f>
        <v xml:space="preserve"> % BDP</v>
      </c>
      <c r="J19" s="109" t="s">
        <v>153</v>
      </c>
      <c r="K19" s="110" t="s">
        <v>154</v>
      </c>
      <c r="L19" s="109" t="s">
        <v>153</v>
      </c>
      <c r="M19" s="110" t="s">
        <v>154</v>
      </c>
      <c r="N19" s="6"/>
      <c r="O19" s="11"/>
      <c r="P19" s="11"/>
      <c r="Q19" s="6"/>
      <c r="R19" s="6"/>
      <c r="S19" s="6"/>
      <c r="T19" s="6"/>
      <c r="U19" s="6"/>
      <c r="V19" s="6"/>
      <c r="W19" s="6"/>
      <c r="X19" s="201"/>
      <c r="Y19" s="201"/>
      <c r="Z19" s="113"/>
      <c r="AA19" s="113"/>
      <c r="AB19" s="113"/>
      <c r="AC19" s="113"/>
      <c r="AD19" s="113"/>
      <c r="AE19" s="113"/>
      <c r="AF19" s="113"/>
      <c r="AG19" s="113"/>
      <c r="AH19" s="113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05"/>
      <c r="BB19" s="635"/>
      <c r="BC19" s="636"/>
      <c r="BD19" s="636"/>
      <c r="BE19" s="636"/>
      <c r="BF19" s="636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206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</row>
    <row r="20" spans="1:244" ht="15" customHeight="1" thickTop="1" thickBot="1">
      <c r="A20" s="6"/>
      <c r="B20" s="6"/>
      <c r="C20" s="106" t="str">
        <f>IF(MasterSheet!$A$1=1,MasterSheet!$C$437,MasterSheet!$B$437)</f>
        <v>Ukupno javni dug</v>
      </c>
      <c r="D20" s="107">
        <f>SUM(D21:D22)</f>
        <v>1699500000</v>
      </c>
      <c r="E20" s="108">
        <f>D20/$D$15*100</f>
        <v>53.969514131470305</v>
      </c>
      <c r="F20" s="107">
        <f>+R31</f>
        <v>1873150000</v>
      </c>
      <c r="G20" s="188">
        <f t="shared" ref="G20:G22" si="0">+S31</f>
        <v>56.151263527084147</v>
      </c>
      <c r="H20" s="186">
        <v>2001300000</v>
      </c>
      <c r="I20" s="185">
        <f>+H20/H$15*100</f>
        <v>56.919795221843003</v>
      </c>
      <c r="J20" s="186">
        <v>2064000000</v>
      </c>
      <c r="K20" s="185">
        <f>+J20/J$15*100</f>
        <v>55.335120643431637</v>
      </c>
      <c r="L20" s="186">
        <v>2091600000</v>
      </c>
      <c r="M20" s="185">
        <f>+L20/L$15*100</f>
        <v>52.711693548387096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201"/>
      <c r="Y20" s="201"/>
      <c r="Z20" s="114"/>
      <c r="AA20" s="114"/>
      <c r="AB20" s="114"/>
      <c r="AC20" s="114"/>
      <c r="AD20" s="114"/>
      <c r="AE20" s="114"/>
      <c r="AF20" s="114"/>
      <c r="AG20" s="114"/>
      <c r="AH20" s="114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05"/>
      <c r="BB20" s="212"/>
      <c r="BC20" s="213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214"/>
      <c r="FW20" s="181"/>
      <c r="FX20" s="181"/>
      <c r="FY20" s="181"/>
      <c r="FZ20" s="181"/>
      <c r="GA20" s="181"/>
      <c r="GB20" s="181"/>
      <c r="GC20" s="181"/>
      <c r="GD20" s="181"/>
      <c r="GE20" s="181"/>
      <c r="GF20" s="206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</row>
    <row r="21" spans="1:244" ht="15" customHeight="1" thickTop="1">
      <c r="A21" s="6"/>
      <c r="B21" s="6"/>
      <c r="C21" s="117" t="str">
        <f>IF(MasterSheet!$A$1=1,MasterSheet!$C$438,MasterSheet!$B$438)</f>
        <v>Dug prema rezidentima</v>
      </c>
      <c r="D21" s="25">
        <v>404500000</v>
      </c>
      <c r="E21" s="23">
        <f>D21/$D$15*100</f>
        <v>12.845347729437917</v>
      </c>
      <c r="F21" s="183">
        <f t="shared" ref="F21:F22" si="1">+R32</f>
        <v>440130000</v>
      </c>
      <c r="G21" s="234">
        <f t="shared" si="0"/>
        <v>13.193740819568934</v>
      </c>
      <c r="H21" s="235">
        <v>388600000</v>
      </c>
      <c r="I21" s="234">
        <f t="shared" ref="I21:K22" si="2">+H21/H$15*100</f>
        <v>11.052332195676906</v>
      </c>
      <c r="J21" s="235">
        <v>332100000</v>
      </c>
      <c r="K21" s="234">
        <f t="shared" si="2"/>
        <v>8.9034852546916881</v>
      </c>
      <c r="L21" s="235">
        <v>282600000</v>
      </c>
      <c r="M21" s="231">
        <f t="shared" ref="M21" si="3">+L21/L$15*100</f>
        <v>7.1219758064516121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201"/>
      <c r="Y21" s="201"/>
      <c r="Z21" s="114"/>
      <c r="AA21" s="114"/>
      <c r="AB21" s="114"/>
      <c r="AC21" s="114"/>
      <c r="AD21" s="114"/>
      <c r="AE21" s="114"/>
      <c r="AF21" s="114"/>
      <c r="AG21" s="114"/>
      <c r="AH21" s="114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05"/>
      <c r="BB21" s="215"/>
      <c r="BC21" s="213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216"/>
      <c r="GB21" s="181"/>
      <c r="GC21" s="181"/>
      <c r="GD21" s="181"/>
      <c r="GE21" s="181"/>
      <c r="GF21" s="206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</row>
    <row r="22" spans="1:244" ht="15" customHeight="1" thickBot="1">
      <c r="A22" s="6"/>
      <c r="B22" s="6"/>
      <c r="C22" s="104" t="str">
        <f>IF(MasterSheet!$A$1=1,MasterSheet!$C$439,MasterSheet!B439)</f>
        <v>Dug prema nerezidentima</v>
      </c>
      <c r="D22" s="103">
        <v>1295000000</v>
      </c>
      <c r="E22" s="159">
        <f>D22/$D$15*100</f>
        <v>41.124166402032394</v>
      </c>
      <c r="F22" s="184">
        <f t="shared" si="1"/>
        <v>1433020000</v>
      </c>
      <c r="G22" s="236">
        <f t="shared" si="0"/>
        <v>42.95752270751521</v>
      </c>
      <c r="H22" s="193">
        <v>1612700000</v>
      </c>
      <c r="I22" s="236">
        <f t="shared" si="2"/>
        <v>45.867463026166099</v>
      </c>
      <c r="J22" s="193">
        <v>1731900000</v>
      </c>
      <c r="K22" s="236">
        <f t="shared" si="2"/>
        <v>46.431635388739942</v>
      </c>
      <c r="L22" s="193">
        <v>1809000000</v>
      </c>
      <c r="M22" s="232">
        <f t="shared" ref="M22" si="4">+L22/L$15*100</f>
        <v>45.58971774193548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201"/>
      <c r="Y22" s="201"/>
      <c r="Z22" s="116"/>
      <c r="AA22" s="116"/>
      <c r="AB22" s="116"/>
      <c r="AC22" s="116"/>
      <c r="AD22" s="116"/>
      <c r="AE22" s="116"/>
      <c r="AF22" s="116"/>
      <c r="AG22" s="116"/>
      <c r="AH22" s="116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05"/>
      <c r="BB22" s="218"/>
      <c r="BC22" s="218"/>
      <c r="BD22" s="181"/>
      <c r="BE22" s="219"/>
      <c r="BF22" s="219"/>
      <c r="BG22" s="219"/>
      <c r="BH22" s="219"/>
      <c r="BI22" s="219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206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</row>
    <row r="23" spans="1:244" ht="15" customHeight="1" thickTop="1">
      <c r="A23" s="6"/>
      <c r="B23" s="6"/>
      <c r="C23" s="55" t="str">
        <f>IF(MasterSheet!$A$1=1,MasterSheet!$C$328,MasterSheet!$B$328)</f>
        <v>Izvor: Ministarstvo finansija Crne Gore</v>
      </c>
      <c r="D23" s="220"/>
      <c r="E23" s="172"/>
      <c r="F23" s="220"/>
      <c r="G23" s="172"/>
      <c r="H23" s="220"/>
      <c r="I23" s="172"/>
      <c r="J23" s="220"/>
      <c r="K23" s="172"/>
      <c r="L23" s="172"/>
      <c r="M23" s="172"/>
      <c r="N23" s="6"/>
      <c r="O23" s="11"/>
      <c r="P23" s="11" t="s">
        <v>411</v>
      </c>
      <c r="Q23" s="6"/>
      <c r="R23" s="6"/>
      <c r="S23" s="6"/>
      <c r="T23" s="6"/>
      <c r="U23" s="6"/>
      <c r="V23" s="6"/>
      <c r="W23" s="6"/>
      <c r="X23" s="201"/>
      <c r="Y23" s="201"/>
      <c r="Z23" s="172"/>
      <c r="AA23" s="172"/>
      <c r="AB23" s="172"/>
      <c r="AC23" s="172"/>
      <c r="AD23" s="172"/>
      <c r="AE23" s="172"/>
      <c r="AF23" s="172"/>
      <c r="AG23" s="172"/>
      <c r="AH23" s="172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2"/>
      <c r="AX23" s="222"/>
      <c r="AY23" s="222"/>
      <c r="AZ23" s="222"/>
      <c r="BA23" s="205"/>
      <c r="BB23" s="223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206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</row>
    <row r="24" spans="1:244" ht="15" customHeight="1">
      <c r="A24" s="6"/>
      <c r="B24" s="6"/>
      <c r="C24" s="224"/>
      <c r="D24" s="225"/>
      <c r="E24" s="225"/>
      <c r="F24" s="225"/>
      <c r="G24" s="225"/>
      <c r="H24" s="6"/>
      <c r="I24" s="172"/>
      <c r="J24" s="6"/>
      <c r="K24" s="172"/>
      <c r="L24" s="172"/>
      <c r="M24" s="226"/>
      <c r="N24" s="6"/>
      <c r="O24" s="172"/>
      <c r="P24" s="94"/>
      <c r="Q24" s="226"/>
      <c r="R24" s="6"/>
      <c r="S24" s="172"/>
      <c r="T24" s="6"/>
      <c r="U24" s="172"/>
      <c r="V24" s="6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2"/>
      <c r="AX24" s="222"/>
      <c r="AY24" s="222"/>
      <c r="AZ24" s="222"/>
      <c r="BA24" s="205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206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</row>
    <row r="25" spans="1:244" ht="15" customHeight="1">
      <c r="A25" s="6"/>
      <c r="B25" s="6"/>
      <c r="C25" s="227"/>
      <c r="D25" s="226"/>
      <c r="E25" s="11"/>
      <c r="F25" s="226"/>
      <c r="G25" s="11"/>
      <c r="H25" s="226"/>
      <c r="I25" s="11"/>
      <c r="J25" s="226"/>
      <c r="K25" s="11"/>
      <c r="L25" s="11"/>
      <c r="M25" s="11"/>
      <c r="N25" s="226"/>
      <c r="O25" s="11"/>
      <c r="P25" s="226"/>
      <c r="Q25" s="11"/>
      <c r="R25" s="226"/>
      <c r="S25" s="11"/>
      <c r="T25" s="226"/>
      <c r="U25" s="11"/>
      <c r="V25" s="226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205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206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</row>
    <row r="26" spans="1:244" ht="15" customHeight="1">
      <c r="A26" s="6"/>
      <c r="B26" s="6"/>
      <c r="C26" s="22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206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</row>
    <row r="27" spans="1:244" ht="15" customHeight="1" thickBot="1">
      <c r="A27" s="6"/>
      <c r="B27" s="6"/>
      <c r="C27" s="22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206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</row>
    <row r="28" spans="1:244" ht="15" customHeight="1" thickTop="1">
      <c r="A28" s="6"/>
      <c r="B28" s="6"/>
      <c r="C28" s="621" t="str">
        <f>IF(MasterSheet!$A$1=1,MasterSheet!B442,MasterSheet!B441)</f>
        <v>Stanje javnog duga, kvartalno</v>
      </c>
      <c r="D28" s="632">
        <v>2012</v>
      </c>
      <c r="E28" s="633"/>
      <c r="F28" s="633"/>
      <c r="G28" s="633"/>
      <c r="H28" s="633"/>
      <c r="I28" s="633"/>
      <c r="J28" s="633"/>
      <c r="K28" s="633"/>
      <c r="L28" s="632">
        <v>2013</v>
      </c>
      <c r="M28" s="633"/>
      <c r="N28" s="633"/>
      <c r="O28" s="633"/>
      <c r="P28" s="633"/>
      <c r="Q28" s="633"/>
      <c r="R28" s="633"/>
      <c r="S28" s="634"/>
      <c r="T28" s="612"/>
      <c r="U28" s="613"/>
      <c r="V28" s="613"/>
      <c r="W28" s="613"/>
      <c r="X28" s="613"/>
      <c r="Y28" s="613"/>
      <c r="Z28" s="613"/>
      <c r="AA28" s="613"/>
      <c r="AB28" s="98"/>
      <c r="AC28" s="98"/>
      <c r="AD28" s="98"/>
      <c r="AE28" s="98"/>
      <c r="AF28" s="98"/>
      <c r="AG28" s="98"/>
      <c r="AH28" s="9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05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206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</row>
    <row r="29" spans="1:244" ht="15" customHeight="1">
      <c r="A29" s="6"/>
      <c r="B29" s="6"/>
      <c r="C29" s="622"/>
      <c r="D29" s="625" t="str">
        <f>IF(MasterSheet!$A$1=1,MasterSheet!$C$442,MasterSheet!$C$441)</f>
        <v>I kvartal</v>
      </c>
      <c r="E29" s="626"/>
      <c r="F29" s="625" t="str">
        <f>IF(MasterSheet!$A$1=1,MasterSheet!$D$442,MasterSheet!$D$441)</f>
        <v>II kvartal</v>
      </c>
      <c r="G29" s="626"/>
      <c r="H29" s="625" t="str">
        <f>IF(MasterSheet!$A$1=1,MasterSheet!$E$442,MasterSheet!$E$441)</f>
        <v>III kvartal</v>
      </c>
      <c r="I29" s="626"/>
      <c r="J29" s="625" t="str">
        <f>IF(MasterSheet!$A$1=1,MasterSheet!$F$442,MasterSheet!$F$441)</f>
        <v>IV kvartal</v>
      </c>
      <c r="K29" s="626"/>
      <c r="L29" s="625" t="str">
        <f>IF(MasterSheet!$A$1=1,MasterSheet!$C$442,MasterSheet!$C$441)</f>
        <v>I kvartal</v>
      </c>
      <c r="M29" s="626"/>
      <c r="N29" s="625" t="str">
        <f>IF(MasterSheet!$A$1=1,MasterSheet!$D$442,MasterSheet!$D$441)</f>
        <v>II kvartal</v>
      </c>
      <c r="O29" s="626"/>
      <c r="P29" s="625" t="str">
        <f>IF(MasterSheet!$A$1=1,MasterSheet!$E$442,MasterSheet!$E$441)</f>
        <v>III kvartal</v>
      </c>
      <c r="Q29" s="626"/>
      <c r="R29" s="625" t="str">
        <f>IF(MasterSheet!$A$1=1,MasterSheet!$F$442,MasterSheet!$F$441)</f>
        <v>IV kvartal</v>
      </c>
      <c r="S29" s="631"/>
      <c r="T29" s="615"/>
      <c r="U29" s="616"/>
      <c r="V29" s="616"/>
      <c r="W29" s="616"/>
      <c r="X29" s="616"/>
      <c r="Y29" s="616"/>
      <c r="Z29" s="616"/>
      <c r="AA29" s="616"/>
      <c r="AB29" s="98"/>
      <c r="AC29" s="98"/>
      <c r="AD29" s="98"/>
      <c r="AE29" s="98"/>
      <c r="AF29" s="98"/>
      <c r="AG29" s="98"/>
      <c r="AH29" s="9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05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206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</row>
    <row r="30" spans="1:244" ht="15" customHeight="1" thickBot="1">
      <c r="A30" s="6"/>
      <c r="B30" s="6"/>
      <c r="C30" s="623"/>
      <c r="D30" s="111" t="str">
        <f>IF(MasterSheet!$A$1=1,MasterSheet!$C$258,MasterSheet!$C$257)</f>
        <v>mil. €</v>
      </c>
      <c r="E30" s="112" t="str">
        <f>IF(MasterSheet!$A$1=1,MasterSheet!$D$258,MasterSheet!$D$257)</f>
        <v xml:space="preserve"> % BDP</v>
      </c>
      <c r="F30" s="111" t="str">
        <f>IF(MasterSheet!$A$1=1,MasterSheet!$C$258,MasterSheet!$C$257)</f>
        <v>mil. €</v>
      </c>
      <c r="G30" s="112" t="str">
        <f>IF(MasterSheet!$A$1=1,MasterSheet!$D$258,MasterSheet!$D$257)</f>
        <v xml:space="preserve"> % BDP</v>
      </c>
      <c r="H30" s="111" t="str">
        <f>IF(MasterSheet!$A$1=1,MasterSheet!$C$258,MasterSheet!$C$257)</f>
        <v>mil. €</v>
      </c>
      <c r="I30" s="112" t="str">
        <f>IF(MasterSheet!$A$1=1,MasterSheet!$D$258,MasterSheet!$D$257)</f>
        <v xml:space="preserve"> % BDP</v>
      </c>
      <c r="J30" s="111" t="str">
        <f>IF(MasterSheet!$A$1=1,MasterSheet!$C$258,MasterSheet!$C$257)</f>
        <v>mil. €</v>
      </c>
      <c r="K30" s="189" t="str">
        <f>IF(MasterSheet!$A$1=1,MasterSheet!$D$258,MasterSheet!$D$257)</f>
        <v xml:space="preserve"> % BDP</v>
      </c>
      <c r="L30" s="111" t="str">
        <f>IF(MasterSheet!$A$1=1,MasterSheet!$C$258,MasterSheet!$C$257)</f>
        <v>mil. €</v>
      </c>
      <c r="M30" s="112" t="str">
        <f>IF(MasterSheet!$A$1=1,MasterSheet!$D$258,MasterSheet!$D$257)</f>
        <v xml:space="preserve"> % BDP</v>
      </c>
      <c r="N30" s="111" t="str">
        <f>IF(MasterSheet!$A$1=1,MasterSheet!$C$258,MasterSheet!$C$257)</f>
        <v>mil. €</v>
      </c>
      <c r="O30" s="112" t="str">
        <f>IF(MasterSheet!$A$1=1,MasterSheet!$D$258,MasterSheet!$D$257)</f>
        <v xml:space="preserve"> % BDP</v>
      </c>
      <c r="P30" s="111" t="str">
        <f>IF(MasterSheet!$A$1=1,MasterSheet!$C$258,MasterSheet!$C$257)</f>
        <v>mil. €</v>
      </c>
      <c r="Q30" s="112" t="str">
        <f>IF(MasterSheet!$A$1=1,MasterSheet!$D$258,MasterSheet!$D$257)</f>
        <v xml:space="preserve"> % BDP</v>
      </c>
      <c r="R30" s="111" t="str">
        <f>IF(MasterSheet!$A$1=1,MasterSheet!$C$258,MasterSheet!$C$257)</f>
        <v>mil. €</v>
      </c>
      <c r="S30" s="112" t="str">
        <f>IF(MasterSheet!$A$1=1,MasterSheet!$D$258,MasterSheet!$D$257)</f>
        <v xml:space="preserve"> % BDP</v>
      </c>
      <c r="T30" s="233"/>
      <c r="U30" s="113"/>
      <c r="V30" s="113"/>
      <c r="W30" s="113"/>
      <c r="X30" s="113"/>
      <c r="Y30" s="113"/>
      <c r="Z30" s="113"/>
      <c r="AA30" s="113"/>
      <c r="AB30" s="98"/>
      <c r="AC30" s="98"/>
      <c r="AD30" s="98"/>
      <c r="AE30" s="98"/>
      <c r="AF30" s="98"/>
      <c r="AG30" s="98"/>
      <c r="AH30" s="9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05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206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</row>
    <row r="31" spans="1:244" ht="15" customHeight="1" thickTop="1" thickBot="1">
      <c r="A31" s="6"/>
      <c r="B31" s="6"/>
      <c r="C31" s="106" t="str">
        <f>IF(MasterSheet!$A$1=1,MasterSheet!$C$437,MasterSheet!$B$437)</f>
        <v>Ukupno javni dug</v>
      </c>
      <c r="D31" s="182">
        <f>SUM(D32:D33)</f>
        <v>1534800000</v>
      </c>
      <c r="E31" s="185">
        <f>D31/$D$15*100</f>
        <v>48.739282311845031</v>
      </c>
      <c r="F31" s="182">
        <f>SUM(F32:F33)</f>
        <v>1629600000</v>
      </c>
      <c r="G31" s="185">
        <f>F31/$D$15*100</f>
        <v>51.749761829152106</v>
      </c>
      <c r="H31" s="182">
        <f>SUM(H32:H33)</f>
        <v>1707200000</v>
      </c>
      <c r="I31" s="185">
        <f>H31/$D$15*100</f>
        <v>54.214036201968874</v>
      </c>
      <c r="J31" s="182">
        <f>SUM(J32:J33)</f>
        <v>1699500000</v>
      </c>
      <c r="K31" s="190">
        <f>J31/$D$15*100</f>
        <v>53.969514131470305</v>
      </c>
      <c r="L31" s="186">
        <v>1755700000</v>
      </c>
      <c r="M31" s="185">
        <f>+L31/$F$15*100</f>
        <v>52.630474534608354</v>
      </c>
      <c r="N31" s="186">
        <v>1760900000</v>
      </c>
      <c r="O31" s="185">
        <f>+N31/$F$15*100</f>
        <v>52.786354507029586</v>
      </c>
      <c r="P31" s="186">
        <v>1846500000</v>
      </c>
      <c r="Q31" s="185">
        <f>+P31/$F$15*100</f>
        <v>55.352378668425317</v>
      </c>
      <c r="R31" s="186">
        <v>1873150000</v>
      </c>
      <c r="S31" s="185">
        <f>+R31/$F$15*100</f>
        <v>56.151263527084147</v>
      </c>
      <c r="T31" s="63"/>
      <c r="U31" s="114"/>
      <c r="V31" s="65"/>
      <c r="W31" s="114"/>
      <c r="X31" s="65"/>
      <c r="Y31" s="114"/>
      <c r="Z31" s="65"/>
      <c r="AA31" s="114"/>
      <c r="AB31" s="98"/>
      <c r="AC31" s="98"/>
      <c r="AD31" s="98"/>
      <c r="AE31" s="98"/>
      <c r="AF31" s="98"/>
      <c r="AG31" s="98"/>
      <c r="AH31" s="9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05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206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</row>
    <row r="32" spans="1:244" ht="15" customHeight="1" thickTop="1">
      <c r="A32" s="6"/>
      <c r="B32" s="6"/>
      <c r="C32" s="117" t="str">
        <f>IF(MasterSheet!$A$1=1,MasterSheet!$C$438,MasterSheet!$B$438)</f>
        <v>Dug prema rezidentima</v>
      </c>
      <c r="D32" s="25">
        <v>426500000</v>
      </c>
      <c r="E32" s="231">
        <f t="shared" ref="E32:E33" si="5">D32/$D$15*100</f>
        <v>13.543982216576692</v>
      </c>
      <c r="F32" s="25">
        <v>424100000</v>
      </c>
      <c r="G32" s="231">
        <f t="shared" ref="G32:G33" si="6">F32/$D$15*100</f>
        <v>13.46776754525246</v>
      </c>
      <c r="H32" s="25">
        <v>399600000</v>
      </c>
      <c r="I32" s="231">
        <f t="shared" ref="I32:I33" si="7">H32/$D$15*100</f>
        <v>12.68974277548428</v>
      </c>
      <c r="J32" s="25">
        <f>+D21</f>
        <v>404500000</v>
      </c>
      <c r="K32" s="231">
        <f t="shared" ref="K32:K33" si="8">J32/$D$15*100</f>
        <v>12.845347729437917</v>
      </c>
      <c r="L32" s="25">
        <v>420300000</v>
      </c>
      <c r="M32" s="231">
        <f t="shared" ref="M32:O33" si="9">+L32/$F$15*100</f>
        <v>12.599298540124105</v>
      </c>
      <c r="N32" s="25">
        <v>442700000</v>
      </c>
      <c r="O32" s="231">
        <f t="shared" si="9"/>
        <v>13.27078149824635</v>
      </c>
      <c r="P32" s="25">
        <v>480900000</v>
      </c>
      <c r="Q32" s="231">
        <f t="shared" ref="Q32" si="10">+P32/$F$15*100</f>
        <v>14.415899757186967</v>
      </c>
      <c r="R32" s="25">
        <v>440130000</v>
      </c>
      <c r="S32" s="231">
        <f t="shared" ref="S32" si="11">+R32/$F$15*100</f>
        <v>13.193740819568934</v>
      </c>
      <c r="T32" s="192"/>
      <c r="U32" s="116"/>
      <c r="V32" s="115"/>
      <c r="W32" s="116"/>
      <c r="X32" s="115"/>
      <c r="Y32" s="116"/>
      <c r="Z32" s="115"/>
      <c r="AA32" s="116"/>
      <c r="AB32" s="98"/>
      <c r="AC32" s="98"/>
      <c r="AD32" s="98"/>
      <c r="AE32" s="98"/>
      <c r="AF32" s="98"/>
      <c r="AG32" s="98"/>
      <c r="AH32" s="9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05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206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</row>
    <row r="33" spans="1:244" ht="15" customHeight="1" thickBot="1">
      <c r="A33" s="6"/>
      <c r="B33" s="6"/>
      <c r="C33" s="187" t="str">
        <f>IF(MasterSheet!$A$1=1,MasterSheet!$C$439,MasterSheet!B439)</f>
        <v>Dug prema nerezidentima</v>
      </c>
      <c r="D33" s="103">
        <v>1108300000</v>
      </c>
      <c r="E33" s="232">
        <f t="shared" si="5"/>
        <v>35.195300095268337</v>
      </c>
      <c r="F33" s="103">
        <v>1205500000</v>
      </c>
      <c r="G33" s="232">
        <f t="shared" si="6"/>
        <v>38.28199428389965</v>
      </c>
      <c r="H33" s="103">
        <v>1307600000</v>
      </c>
      <c r="I33" s="232">
        <f t="shared" si="7"/>
        <v>41.524293426484597</v>
      </c>
      <c r="J33" s="103">
        <f>+D22</f>
        <v>1295000000</v>
      </c>
      <c r="K33" s="232">
        <f t="shared" si="8"/>
        <v>41.124166402032394</v>
      </c>
      <c r="L33" s="103">
        <v>1335400000</v>
      </c>
      <c r="M33" s="232">
        <f t="shared" si="9"/>
        <v>40.031175994484244</v>
      </c>
      <c r="N33" s="103">
        <v>1318200000</v>
      </c>
      <c r="O33" s="232">
        <f t="shared" si="9"/>
        <v>39.515573008783242</v>
      </c>
      <c r="P33" s="103">
        <v>1365600000</v>
      </c>
      <c r="Q33" s="232">
        <f t="shared" ref="Q33" si="12">+P33/$F$15*100</f>
        <v>40.936478911238346</v>
      </c>
      <c r="R33" s="103">
        <v>1433020000</v>
      </c>
      <c r="S33" s="232">
        <f t="shared" ref="S33" si="13">+R33/$F$15*100</f>
        <v>42.95752270751521</v>
      </c>
      <c r="T33" s="192"/>
      <c r="U33" s="116"/>
      <c r="V33" s="115"/>
      <c r="W33" s="116"/>
      <c r="X33" s="115"/>
      <c r="Y33" s="116"/>
      <c r="Z33" s="115"/>
      <c r="AA33" s="116"/>
      <c r="AB33" s="98"/>
      <c r="AC33" s="98"/>
      <c r="AD33" s="98"/>
      <c r="AE33" s="98"/>
      <c r="AF33" s="98"/>
      <c r="AG33" s="98"/>
      <c r="AH33" s="9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05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206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</row>
    <row r="34" spans="1:244" ht="15" customHeight="1" thickTop="1">
      <c r="A34" s="6"/>
      <c r="B34" s="6"/>
      <c r="C34" s="55" t="str">
        <f>IF(MasterSheet!$A$1=1,MasterSheet!$C$328,MasterSheet!$B$328)</f>
        <v>Izvor: Ministarstvo finansija Crne Gore</v>
      </c>
      <c r="D34" s="220"/>
      <c r="E34" s="172"/>
      <c r="F34" s="220"/>
      <c r="G34" s="172"/>
      <c r="H34" s="220"/>
      <c r="I34" s="172"/>
      <c r="J34" s="220"/>
      <c r="K34" s="172"/>
      <c r="L34" s="172"/>
      <c r="M34" s="172"/>
      <c r="N34" s="220"/>
      <c r="O34" s="172"/>
      <c r="P34" s="220"/>
      <c r="Q34" s="172"/>
      <c r="R34" s="220"/>
      <c r="S34" s="172"/>
      <c r="T34" s="220"/>
      <c r="U34" s="172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05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206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</row>
    <row r="35" spans="1:244" ht="15" customHeight="1">
      <c r="A35" s="6"/>
      <c r="B35" s="6"/>
      <c r="C35" s="227"/>
      <c r="D35" s="225"/>
      <c r="E35" s="225"/>
      <c r="F35" s="225"/>
      <c r="G35" s="225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205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206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</row>
    <row r="36" spans="1:244" ht="15" customHeight="1">
      <c r="A36" s="6"/>
      <c r="B36" s="6"/>
      <c r="C36" s="22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205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206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</row>
    <row r="37" spans="1:244" ht="15" customHeight="1">
      <c r="A37" s="6"/>
      <c r="B37" s="6"/>
      <c r="C37" s="22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205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206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</row>
    <row r="38" spans="1:244" ht="15" customHeight="1" thickBot="1">
      <c r="A38" s="6"/>
      <c r="B38" s="6"/>
      <c r="C38" s="22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205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206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</row>
    <row r="39" spans="1:244" ht="15" customHeight="1" thickTop="1" thickBot="1">
      <c r="A39" s="6"/>
      <c r="B39" s="6"/>
      <c r="C39" s="621" t="str">
        <f>IF(MasterSheet!$A$1=1,MasterSheet!B444,MasterSheet!B443)</f>
        <v>Stanje javnog duga, po mjesecima</v>
      </c>
      <c r="D39" s="609">
        <v>2014</v>
      </c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1"/>
      <c r="AB39" s="11"/>
      <c r="AC39" s="11"/>
      <c r="AD39" s="11"/>
      <c r="AE39" s="11"/>
      <c r="AF39" s="11"/>
      <c r="AG39" s="11"/>
      <c r="AH39" s="1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205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206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</row>
    <row r="40" spans="1:244" ht="15" customHeight="1" thickTop="1">
      <c r="A40" s="6"/>
      <c r="B40" s="6"/>
      <c r="C40" s="622"/>
      <c r="D40" s="617" t="str">
        <f>'2013 - plan'!D18</f>
        <v>Januar</v>
      </c>
      <c r="E40" s="618"/>
      <c r="F40" s="617" t="str">
        <f>'2013 - plan'!E18</f>
        <v>Februar</v>
      </c>
      <c r="G40" s="624"/>
      <c r="H40" s="617" t="str">
        <f>'2013 - plan'!F18</f>
        <v>Mart</v>
      </c>
      <c r="I40" s="624"/>
      <c r="J40" s="617" t="str">
        <f>'2013 - plan'!G18</f>
        <v>April</v>
      </c>
      <c r="K40" s="624"/>
      <c r="L40" s="617" t="str">
        <f>'2013 - plan'!H18</f>
        <v>Maj</v>
      </c>
      <c r="M40" s="624"/>
      <c r="N40" s="617" t="str">
        <f>'2013 - plan'!I18</f>
        <v>Jun</v>
      </c>
      <c r="O40" s="624"/>
      <c r="P40" s="617" t="str">
        <f>'2013 - plan'!J18</f>
        <v>Jul</v>
      </c>
      <c r="Q40" s="624"/>
      <c r="R40" s="617" t="str">
        <f>'2013 - plan'!K18</f>
        <v>Avgust</v>
      </c>
      <c r="S40" s="624"/>
      <c r="T40" s="617" t="str">
        <f>'2013 - plan'!L18</f>
        <v>Septembar</v>
      </c>
      <c r="U40" s="624"/>
      <c r="V40" s="607" t="str">
        <f>'2013 - plan'!M18</f>
        <v>Oktobar</v>
      </c>
      <c r="W40" s="608"/>
      <c r="X40" s="607" t="str">
        <f>'2013 - plan'!N18</f>
        <v>Novembar</v>
      </c>
      <c r="Y40" s="608"/>
      <c r="Z40" s="607" t="str">
        <f>'2013 - plan'!O18</f>
        <v>Decembar</v>
      </c>
      <c r="AA40" s="608"/>
      <c r="AB40" s="11"/>
      <c r="AC40" s="11"/>
      <c r="AD40" s="11"/>
      <c r="AE40" s="11"/>
      <c r="AF40" s="11"/>
      <c r="AG40" s="11"/>
      <c r="AH40" s="1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205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  <c r="FV40" s="181"/>
      <c r="FW40" s="181"/>
      <c r="FX40" s="181"/>
      <c r="FY40" s="181"/>
      <c r="FZ40" s="181"/>
      <c r="GA40" s="181"/>
      <c r="GB40" s="181"/>
      <c r="GC40" s="181"/>
      <c r="GD40" s="181"/>
      <c r="GE40" s="181"/>
      <c r="GF40" s="206"/>
      <c r="GG40" s="181"/>
      <c r="GH40" s="181"/>
      <c r="GI40" s="181"/>
      <c r="GJ40" s="181"/>
      <c r="GK40" s="181"/>
      <c r="GL40" s="181"/>
      <c r="GM40" s="181"/>
      <c r="GN40" s="181"/>
      <c r="GO40" s="181"/>
      <c r="GP40" s="181"/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1"/>
      <c r="HB40" s="181"/>
      <c r="HC40" s="181"/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1"/>
      <c r="HO40" s="181"/>
      <c r="HP40" s="181"/>
      <c r="HQ40" s="181"/>
      <c r="HR40" s="181"/>
      <c r="HS40" s="181"/>
      <c r="HT40" s="181"/>
      <c r="HU40" s="181"/>
      <c r="HV40" s="181"/>
      <c r="HW40" s="181"/>
      <c r="HX40" s="181"/>
      <c r="HY40" s="181"/>
      <c r="HZ40" s="181"/>
      <c r="IA40" s="181"/>
      <c r="IB40" s="181"/>
      <c r="IC40" s="181"/>
      <c r="ID40" s="181"/>
      <c r="IE40" s="181"/>
      <c r="IF40" s="181"/>
      <c r="IG40" s="181"/>
      <c r="IH40" s="181"/>
      <c r="II40" s="181"/>
      <c r="IJ40" s="181"/>
    </row>
    <row r="41" spans="1:244" ht="15" customHeight="1" thickBot="1">
      <c r="A41" s="6"/>
      <c r="B41" s="6"/>
      <c r="C41" s="623"/>
      <c r="D41" s="111" t="str">
        <f>IF(MasterSheet!$A$1=1,MasterSheet!$C$258,MasterSheet!$C$257)</f>
        <v>mil. €</v>
      </c>
      <c r="E41" s="112" t="str">
        <f>IF(MasterSheet!$A$1=1,MasterSheet!$D$258,MasterSheet!$D$257)</f>
        <v xml:space="preserve"> % BDP</v>
      </c>
      <c r="F41" s="111" t="str">
        <f>IF(MasterSheet!$A$1=1,MasterSheet!$C$258,MasterSheet!$C$257)</f>
        <v>mil. €</v>
      </c>
      <c r="G41" s="112" t="str">
        <f>IF(MasterSheet!$A$1=1,MasterSheet!$D$258,MasterSheet!$D$257)</f>
        <v xml:space="preserve"> % BDP</v>
      </c>
      <c r="H41" s="111" t="str">
        <f>IF(MasterSheet!$A$1=1,MasterSheet!$C$258,MasterSheet!$C$257)</f>
        <v>mil. €</v>
      </c>
      <c r="I41" s="112" t="str">
        <f>IF(MasterSheet!$A$1=1,MasterSheet!$D$258,MasterSheet!$D$257)</f>
        <v xml:space="preserve"> % BDP</v>
      </c>
      <c r="J41" s="111" t="str">
        <f>IF(MasterSheet!$A$1=1,MasterSheet!$C$258,MasterSheet!$C$257)</f>
        <v>mil. €</v>
      </c>
      <c r="K41" s="112" t="str">
        <f>IF(MasterSheet!$A$1=1,MasterSheet!$D$258,MasterSheet!$D$257)</f>
        <v xml:space="preserve"> % BDP</v>
      </c>
      <c r="L41" s="111" t="str">
        <f>IF(MasterSheet!$A$1=1,MasterSheet!$C$258,MasterSheet!$C$257)</f>
        <v>mil. €</v>
      </c>
      <c r="M41" s="112" t="str">
        <f>IF(MasterSheet!$A$1=1,MasterSheet!$D$258,MasterSheet!$D$257)</f>
        <v xml:space="preserve"> % BDP</v>
      </c>
      <c r="N41" s="111" t="str">
        <f>IF(MasterSheet!$A$1=1,MasterSheet!$C$258,MasterSheet!$C$257)</f>
        <v>mil. €</v>
      </c>
      <c r="O41" s="112" t="str">
        <f>IF(MasterSheet!$A$1=1,MasterSheet!$D$258,MasterSheet!$D$257)</f>
        <v xml:space="preserve"> % BDP</v>
      </c>
      <c r="P41" s="111" t="str">
        <f>IF(MasterSheet!$A$1=1,MasterSheet!$C$258,MasterSheet!$C$257)</f>
        <v>mil. €</v>
      </c>
      <c r="Q41" s="112" t="str">
        <f>IF(MasterSheet!$A$1=1,MasterSheet!$D$258,MasterSheet!$D$257)</f>
        <v xml:space="preserve"> % BDP</v>
      </c>
      <c r="R41" s="111" t="str">
        <f>IF(MasterSheet!$A$1=1,MasterSheet!$C$258,MasterSheet!$C$257)</f>
        <v>mil. €</v>
      </c>
      <c r="S41" s="112" t="str">
        <f>IF(MasterSheet!$A$1=1,MasterSheet!$D$258,MasterSheet!$D$257)</f>
        <v xml:space="preserve"> % BDP</v>
      </c>
      <c r="T41" s="111" t="str">
        <f>IF(MasterSheet!$A$1=1,MasterSheet!$C$258,MasterSheet!$C$257)</f>
        <v>mil. €</v>
      </c>
      <c r="U41" s="112" t="str">
        <f>IF(MasterSheet!$A$1=1,MasterSheet!$D$258,MasterSheet!$D$257)</f>
        <v xml:space="preserve"> % BDP</v>
      </c>
      <c r="V41" s="111" t="str">
        <f>IF(MasterSheet!$A$1=1,MasterSheet!$C$258,MasterSheet!$C$257)</f>
        <v>mil. €</v>
      </c>
      <c r="W41" s="112" t="str">
        <f>IF(MasterSheet!$A$1=1,MasterSheet!$D$258,MasterSheet!$D$257)</f>
        <v xml:space="preserve"> % BDP</v>
      </c>
      <c r="X41" s="111" t="str">
        <f>IF(MasterSheet!$A$1=1,MasterSheet!$C$258,MasterSheet!$C$257)</f>
        <v>mil. €</v>
      </c>
      <c r="Y41" s="112" t="str">
        <f>IF(MasterSheet!$A$1=1,MasterSheet!$D$258,MasterSheet!$D$257)</f>
        <v xml:space="preserve"> % BDP</v>
      </c>
      <c r="Z41" s="111" t="str">
        <f>IF(MasterSheet!$A$1=1,MasterSheet!$C$258,MasterSheet!$C$257)</f>
        <v>mil. €</v>
      </c>
      <c r="AA41" s="112" t="str">
        <f>IF(MasterSheet!$A$1=1,MasterSheet!$D$258,MasterSheet!$D$257)</f>
        <v xml:space="preserve"> % BDP</v>
      </c>
      <c r="AB41" s="11"/>
      <c r="AC41" s="11"/>
      <c r="AD41" s="11"/>
      <c r="AE41" s="11"/>
      <c r="AF41" s="11"/>
      <c r="AG41" s="11"/>
      <c r="AH41" s="1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205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206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</row>
    <row r="42" spans="1:244" ht="15" customHeight="1" thickTop="1" thickBot="1">
      <c r="A42" s="6"/>
      <c r="B42" s="6"/>
      <c r="C42" s="106" t="str">
        <f>IF(MasterSheet!$A$1=1,MasterSheet!$C$437,MasterSheet!$B$437)</f>
        <v>Ukupno javni dug</v>
      </c>
      <c r="D42" s="575">
        <f>SUM(D43:D44)</f>
        <v>1950100000</v>
      </c>
      <c r="E42" s="108">
        <f>D42/$H$15*100</f>
        <v>55.463594994311713</v>
      </c>
      <c r="F42" s="575">
        <f>SUM(F43:F44)</f>
        <v>0</v>
      </c>
      <c r="G42" s="108">
        <f>F42/$H$15*100</f>
        <v>0</v>
      </c>
      <c r="H42" s="575">
        <f>SUM(H43:H44)</f>
        <v>0</v>
      </c>
      <c r="I42" s="108">
        <f>H42/$H$15*100</f>
        <v>0</v>
      </c>
      <c r="J42" s="575">
        <f>SUM(J43:J44)</f>
        <v>0</v>
      </c>
      <c r="K42" s="108">
        <f>J42/$H$15*100</f>
        <v>0</v>
      </c>
      <c r="L42" s="575">
        <f>SUM(L43:L44)</f>
        <v>0</v>
      </c>
      <c r="M42" s="108">
        <f>L42/$H$15*100</f>
        <v>0</v>
      </c>
      <c r="N42" s="575">
        <f>SUM(N43:N44)</f>
        <v>0</v>
      </c>
      <c r="O42" s="108">
        <f>N42/$H$15*100</f>
        <v>0</v>
      </c>
      <c r="P42" s="575">
        <f>SUM(P43:P44)</f>
        <v>0</v>
      </c>
      <c r="Q42" s="108">
        <f>P42/$H$15*100</f>
        <v>0</v>
      </c>
      <c r="R42" s="575">
        <f>SUM(R43:R44)</f>
        <v>0</v>
      </c>
      <c r="S42" s="108">
        <f>R42/$H$15*100</f>
        <v>0</v>
      </c>
      <c r="T42" s="575">
        <f>SUM(T43:T44)</f>
        <v>0</v>
      </c>
      <c r="U42" s="108">
        <f>T42/$H$15*100</f>
        <v>0</v>
      </c>
      <c r="V42" s="575">
        <f>SUM(V43:V44)</f>
        <v>0</v>
      </c>
      <c r="W42" s="108">
        <f>V42/$H$15*100</f>
        <v>0</v>
      </c>
      <c r="X42" s="575">
        <f>SUM(X43:X44)</f>
        <v>0</v>
      </c>
      <c r="Y42" s="108">
        <f>X42/$H$15*100</f>
        <v>0</v>
      </c>
      <c r="Z42" s="575">
        <f>SUM(Z43:Z44)</f>
        <v>0</v>
      </c>
      <c r="AA42" s="108">
        <f>Z42/$H$15*100</f>
        <v>0</v>
      </c>
      <c r="AB42" s="11"/>
      <c r="AC42" s="11"/>
      <c r="AD42" s="11"/>
      <c r="AE42" s="11"/>
      <c r="AF42" s="11"/>
      <c r="AG42" s="11"/>
      <c r="AH42" s="1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205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206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</row>
    <row r="43" spans="1:244" ht="15" customHeight="1" thickTop="1">
      <c r="A43" s="6"/>
      <c r="B43" s="6"/>
      <c r="C43" s="117" t="str">
        <f>IF(MasterSheet!$A$1=1,MasterSheet!$C$438,MasterSheet!$B$438)</f>
        <v>Dug prema rezidentima</v>
      </c>
      <c r="D43" s="192">
        <v>517600000</v>
      </c>
      <c r="E43" s="571">
        <f t="shared" ref="E43:E44" si="14">D43/$F$15*100</f>
        <v>15.51605263946761</v>
      </c>
      <c r="F43" s="192"/>
      <c r="G43" s="571">
        <f t="shared" ref="G43:G44" si="15">F43/$F$15*100</f>
        <v>0</v>
      </c>
      <c r="H43" s="192"/>
      <c r="I43" s="571">
        <f t="shared" ref="I43:I44" si="16">H43/$F$15*100</f>
        <v>0</v>
      </c>
      <c r="J43" s="192"/>
      <c r="K43" s="571">
        <f t="shared" ref="K43:K44" si="17">J43/$F$15*100</f>
        <v>0</v>
      </c>
      <c r="L43" s="192"/>
      <c r="M43" s="571">
        <f t="shared" ref="M43:M44" si="18">L43/$F$15*100</f>
        <v>0</v>
      </c>
      <c r="N43" s="192"/>
      <c r="O43" s="571">
        <f t="shared" ref="O43:O44" si="19">+N43/$F$15*100</f>
        <v>0</v>
      </c>
      <c r="P43" s="192"/>
      <c r="Q43" s="571">
        <f t="shared" ref="Q43:Q44" si="20">P43/$F$15*100</f>
        <v>0</v>
      </c>
      <c r="R43" s="192"/>
      <c r="S43" s="571">
        <f t="shared" ref="S43:S44" si="21">R43/$F$15*100</f>
        <v>0</v>
      </c>
      <c r="T43" s="192"/>
      <c r="U43" s="571">
        <f t="shared" ref="U43:U44" si="22">T43/$F$15*100</f>
        <v>0</v>
      </c>
      <c r="V43" s="192"/>
      <c r="W43" s="571">
        <f t="shared" ref="W43:W44" si="23">V43/$F$15*100</f>
        <v>0</v>
      </c>
      <c r="X43" s="192"/>
      <c r="Y43" s="571">
        <f t="shared" ref="Y43:Y44" si="24">X43/$F$15*100</f>
        <v>0</v>
      </c>
      <c r="Z43" s="192"/>
      <c r="AA43" s="571">
        <f t="shared" ref="AA43:AA44" si="25">Z43/$F$15*100</f>
        <v>0</v>
      </c>
      <c r="AB43" s="11"/>
      <c r="AC43" s="11"/>
      <c r="AD43" s="11"/>
      <c r="AE43" s="11"/>
      <c r="AF43" s="11"/>
      <c r="AG43" s="11"/>
      <c r="AH43" s="1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205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206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1"/>
      <c r="HS43" s="181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</row>
    <row r="44" spans="1:244" ht="15" customHeight="1" thickBot="1">
      <c r="A44" s="6"/>
      <c r="B44" s="6"/>
      <c r="C44" s="104" t="str">
        <f>IF(MasterSheet!$A$1=1,MasterSheet!$C$439,MasterSheet!B439)</f>
        <v>Dug prema nerezidentima</v>
      </c>
      <c r="D44" s="184">
        <v>1432500000</v>
      </c>
      <c r="E44" s="232">
        <f t="shared" si="14"/>
        <v>42.941934710273088</v>
      </c>
      <c r="F44" s="184"/>
      <c r="G44" s="232">
        <f t="shared" si="15"/>
        <v>0</v>
      </c>
      <c r="H44" s="184"/>
      <c r="I44" s="232">
        <f t="shared" si="16"/>
        <v>0</v>
      </c>
      <c r="J44" s="184"/>
      <c r="K44" s="232">
        <f t="shared" si="17"/>
        <v>0</v>
      </c>
      <c r="L44" s="184"/>
      <c r="M44" s="232">
        <f t="shared" si="18"/>
        <v>0</v>
      </c>
      <c r="N44" s="184"/>
      <c r="O44" s="232">
        <f t="shared" si="19"/>
        <v>0</v>
      </c>
      <c r="P44" s="184"/>
      <c r="Q44" s="232">
        <f t="shared" si="20"/>
        <v>0</v>
      </c>
      <c r="R44" s="184"/>
      <c r="S44" s="232">
        <f t="shared" si="21"/>
        <v>0</v>
      </c>
      <c r="T44" s="184"/>
      <c r="U44" s="232">
        <f t="shared" si="22"/>
        <v>0</v>
      </c>
      <c r="V44" s="184"/>
      <c r="W44" s="232">
        <f t="shared" si="23"/>
        <v>0</v>
      </c>
      <c r="X44" s="184"/>
      <c r="Y44" s="232">
        <f t="shared" si="24"/>
        <v>0</v>
      </c>
      <c r="Z44" s="184"/>
      <c r="AA44" s="232">
        <f t="shared" si="25"/>
        <v>0</v>
      </c>
      <c r="AB44" s="11"/>
      <c r="AC44" s="11"/>
      <c r="AD44" s="11"/>
      <c r="AE44" s="11"/>
      <c r="AF44" s="11"/>
      <c r="AG44" s="11"/>
      <c r="AH44" s="1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205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206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</row>
    <row r="45" spans="1:244" ht="15" customHeight="1" thickTop="1">
      <c r="A45" s="6"/>
      <c r="B45" s="6"/>
      <c r="C45" s="55" t="str">
        <f>IF(MasterSheet!$A$1=1,MasterSheet!$C$328,MasterSheet!$B$328)</f>
        <v>Izvor: Ministarstvo finansija Crne Gore</v>
      </c>
      <c r="D45" s="220"/>
      <c r="E45" s="172"/>
      <c r="F45" s="220"/>
      <c r="G45" s="172"/>
      <c r="H45" s="220"/>
      <c r="I45" s="172"/>
      <c r="J45" s="220"/>
      <c r="K45" s="172"/>
      <c r="L45" s="172"/>
      <c r="M45" s="172"/>
      <c r="N45" s="220"/>
      <c r="O45" s="172"/>
      <c r="P45" s="220"/>
      <c r="Q45" s="172"/>
      <c r="R45" s="220"/>
      <c r="S45" s="17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W45" s="181"/>
      <c r="AX45" s="181"/>
      <c r="AY45" s="181"/>
      <c r="AZ45" s="181"/>
      <c r="BA45" s="205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206"/>
      <c r="GG45" s="181"/>
      <c r="GH45" s="181"/>
      <c r="GI45" s="181"/>
      <c r="GJ45" s="181"/>
      <c r="GK45" s="181"/>
      <c r="GL45" s="181"/>
      <c r="GM45" s="181"/>
      <c r="GN45" s="181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1"/>
      <c r="HS45" s="181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</row>
    <row r="46" spans="1:244" ht="15" customHeight="1">
      <c r="A46" s="6"/>
      <c r="B46" s="6"/>
      <c r="C46" s="22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72"/>
      <c r="Z46" s="6"/>
      <c r="AA46" s="6"/>
      <c r="AB46" s="6"/>
      <c r="AC46" s="6"/>
      <c r="AD46" s="6"/>
      <c r="AE46" s="6"/>
      <c r="AF46" s="6"/>
      <c r="AG46" s="6"/>
      <c r="AH46" s="6"/>
      <c r="AW46" s="181"/>
      <c r="AX46" s="181"/>
      <c r="AY46" s="181"/>
      <c r="AZ46" s="181"/>
      <c r="BA46" s="205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206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1"/>
      <c r="HS46" s="181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</row>
    <row r="47" spans="1:244" ht="15" customHeight="1">
      <c r="A47" s="6"/>
      <c r="B47" s="6"/>
      <c r="C47" s="22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W47" s="181"/>
      <c r="AX47" s="181"/>
      <c r="AY47" s="181"/>
      <c r="AZ47" s="181"/>
      <c r="BA47" s="205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1"/>
      <c r="EP47" s="181"/>
      <c r="EQ47" s="181"/>
      <c r="ER47" s="181"/>
      <c r="ES47" s="181"/>
      <c r="ET47" s="181"/>
      <c r="EU47" s="181"/>
      <c r="EV47" s="181"/>
      <c r="EW47" s="181"/>
      <c r="EX47" s="181"/>
      <c r="EY47" s="181"/>
      <c r="EZ47" s="181"/>
      <c r="FA47" s="181"/>
      <c r="FB47" s="181"/>
      <c r="FC47" s="181"/>
      <c r="FD47" s="181"/>
      <c r="FE47" s="181"/>
      <c r="FF47" s="181"/>
      <c r="FG47" s="181"/>
      <c r="FH47" s="181"/>
      <c r="FI47" s="181"/>
      <c r="FJ47" s="181"/>
      <c r="FK47" s="181"/>
      <c r="FL47" s="181"/>
      <c r="FM47" s="181"/>
      <c r="FN47" s="181"/>
      <c r="FO47" s="181"/>
      <c r="FP47" s="181"/>
      <c r="FQ47" s="181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  <c r="GF47" s="206"/>
      <c r="GG47" s="181"/>
      <c r="GH47" s="181"/>
      <c r="GI47" s="181"/>
      <c r="GJ47" s="181"/>
      <c r="GK47" s="181"/>
      <c r="GL47" s="181"/>
      <c r="GM47" s="181"/>
      <c r="GN47" s="181"/>
      <c r="GO47" s="181"/>
      <c r="GP47" s="181"/>
      <c r="GQ47" s="181"/>
      <c r="GR47" s="181"/>
      <c r="GS47" s="181"/>
      <c r="GT47" s="181"/>
      <c r="GU47" s="181"/>
      <c r="GV47" s="181"/>
      <c r="GW47" s="181"/>
      <c r="GX47" s="181"/>
      <c r="GY47" s="181"/>
      <c r="GZ47" s="181"/>
      <c r="HA47" s="181"/>
      <c r="HB47" s="181"/>
      <c r="HC47" s="181"/>
      <c r="HD47" s="181"/>
      <c r="HE47" s="181"/>
      <c r="HF47" s="181"/>
      <c r="HG47" s="181"/>
      <c r="HH47" s="181"/>
      <c r="HI47" s="181"/>
      <c r="HJ47" s="181"/>
      <c r="HK47" s="181"/>
      <c r="HL47" s="181"/>
      <c r="HM47" s="181"/>
      <c r="HN47" s="181"/>
      <c r="HO47" s="181"/>
      <c r="HP47" s="181"/>
      <c r="HQ47" s="181"/>
      <c r="HR47" s="181"/>
      <c r="HS47" s="181"/>
      <c r="HT47" s="181"/>
      <c r="HU47" s="181"/>
      <c r="HV47" s="181"/>
      <c r="HW47" s="181"/>
      <c r="HX47" s="181"/>
      <c r="HY47" s="181"/>
      <c r="HZ47" s="181"/>
      <c r="IA47" s="181"/>
      <c r="IB47" s="181"/>
      <c r="IC47" s="181"/>
      <c r="ID47" s="181"/>
      <c r="IE47" s="181"/>
      <c r="IF47" s="181"/>
      <c r="IG47" s="181"/>
      <c r="IH47" s="181"/>
      <c r="II47" s="181"/>
      <c r="IJ47" s="181"/>
    </row>
    <row r="48" spans="1:244" ht="15" customHeight="1">
      <c r="A48" s="6"/>
      <c r="B48" s="6"/>
      <c r="C48" s="22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W48" s="181"/>
      <c r="AX48" s="181"/>
      <c r="AY48" s="181"/>
      <c r="AZ48" s="181"/>
      <c r="BA48" s="205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  <c r="EB48" s="181"/>
      <c r="EC48" s="181"/>
      <c r="ED48" s="181"/>
      <c r="EE48" s="181"/>
      <c r="EF48" s="181"/>
      <c r="EG48" s="181"/>
      <c r="EH48" s="181"/>
      <c r="EI48" s="181"/>
      <c r="EJ48" s="181"/>
      <c r="EK48" s="181"/>
      <c r="EL48" s="181"/>
      <c r="EM48" s="181"/>
      <c r="EN48" s="181"/>
      <c r="EO48" s="181"/>
      <c r="EP48" s="181"/>
      <c r="EQ48" s="181"/>
      <c r="ER48" s="181"/>
      <c r="ES48" s="181"/>
      <c r="ET48" s="181"/>
      <c r="EU48" s="181"/>
      <c r="EV48" s="181"/>
      <c r="EW48" s="181"/>
      <c r="EX48" s="181"/>
      <c r="EY48" s="181"/>
      <c r="EZ48" s="181"/>
      <c r="FA48" s="181"/>
      <c r="FB48" s="181"/>
      <c r="FC48" s="181"/>
      <c r="FD48" s="181"/>
      <c r="FE48" s="181"/>
      <c r="FF48" s="181"/>
      <c r="FG48" s="181"/>
      <c r="FH48" s="181"/>
      <c r="FI48" s="181"/>
      <c r="FJ48" s="181"/>
      <c r="FK48" s="181"/>
      <c r="FL48" s="181"/>
      <c r="FM48" s="181"/>
      <c r="FN48" s="181"/>
      <c r="FO48" s="181"/>
      <c r="FP48" s="181"/>
      <c r="FQ48" s="181"/>
      <c r="FR48" s="181"/>
      <c r="FS48" s="181"/>
      <c r="FT48" s="181"/>
      <c r="FU48" s="181"/>
      <c r="FV48" s="181"/>
      <c r="FW48" s="181"/>
      <c r="FX48" s="181"/>
      <c r="FY48" s="181"/>
      <c r="FZ48" s="181"/>
      <c r="GA48" s="181"/>
      <c r="GB48" s="181"/>
      <c r="GC48" s="181"/>
      <c r="GD48" s="181"/>
      <c r="GE48" s="181"/>
      <c r="GF48" s="206"/>
      <c r="GG48" s="181"/>
      <c r="GH48" s="181"/>
      <c r="GI48" s="181"/>
      <c r="GJ48" s="181"/>
      <c r="GK48" s="181"/>
      <c r="GL48" s="181"/>
      <c r="GM48" s="181"/>
      <c r="GN48" s="181"/>
      <c r="GO48" s="181"/>
      <c r="GP48" s="181"/>
      <c r="GQ48" s="181"/>
      <c r="GR48" s="181"/>
      <c r="GS48" s="181"/>
      <c r="GT48" s="181"/>
      <c r="GU48" s="181"/>
      <c r="GV48" s="181"/>
      <c r="GW48" s="181"/>
      <c r="GX48" s="181"/>
      <c r="GY48" s="181"/>
      <c r="GZ48" s="181"/>
      <c r="HA48" s="181"/>
      <c r="HB48" s="181"/>
      <c r="HC48" s="181"/>
      <c r="HD48" s="181"/>
      <c r="HE48" s="181"/>
      <c r="HF48" s="181"/>
      <c r="HG48" s="181"/>
      <c r="HH48" s="181"/>
      <c r="HI48" s="181"/>
      <c r="HJ48" s="181"/>
      <c r="HK48" s="181"/>
      <c r="HL48" s="181"/>
      <c r="HM48" s="181"/>
      <c r="HN48" s="181"/>
      <c r="HO48" s="181"/>
      <c r="HP48" s="181"/>
      <c r="HQ48" s="181"/>
      <c r="HR48" s="181"/>
      <c r="HS48" s="181"/>
      <c r="HT48" s="181"/>
      <c r="HU48" s="181"/>
      <c r="HV48" s="181"/>
      <c r="HW48" s="181"/>
      <c r="HX48" s="181"/>
      <c r="HY48" s="181"/>
      <c r="HZ48" s="181"/>
      <c r="IA48" s="181"/>
      <c r="IB48" s="181"/>
      <c r="IC48" s="181"/>
      <c r="ID48" s="181"/>
      <c r="IE48" s="181"/>
      <c r="IF48" s="181"/>
      <c r="IG48" s="181"/>
      <c r="IH48" s="181"/>
      <c r="II48" s="181"/>
      <c r="IJ48" s="181"/>
    </row>
    <row r="49" spans="1:244" ht="15" customHeight="1">
      <c r="A49" s="6"/>
      <c r="B49" s="6"/>
      <c r="C49" s="22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W49" s="181"/>
      <c r="AX49" s="181"/>
      <c r="AY49" s="181"/>
      <c r="AZ49" s="181"/>
      <c r="BA49" s="205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1"/>
      <c r="FJ49" s="181"/>
      <c r="FK49" s="181"/>
      <c r="FL49" s="181"/>
      <c r="FM49" s="181"/>
      <c r="FN49" s="181"/>
      <c r="FO49" s="181"/>
      <c r="FP49" s="181"/>
      <c r="FQ49" s="181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  <c r="GF49" s="206"/>
      <c r="GG49" s="181"/>
      <c r="GH49" s="181"/>
      <c r="GI49" s="181"/>
      <c r="GJ49" s="181"/>
      <c r="GK49" s="181"/>
      <c r="GL49" s="181"/>
      <c r="GM49" s="181"/>
      <c r="GN49" s="181"/>
      <c r="GO49" s="181"/>
      <c r="GP49" s="181"/>
      <c r="GQ49" s="181"/>
      <c r="GR49" s="181"/>
      <c r="GS49" s="181"/>
      <c r="GT49" s="181"/>
      <c r="GU49" s="181"/>
      <c r="GV49" s="181"/>
      <c r="GW49" s="181"/>
      <c r="GX49" s="181"/>
      <c r="GY49" s="181"/>
      <c r="GZ49" s="181"/>
      <c r="HA49" s="181"/>
      <c r="HB49" s="181"/>
      <c r="HC49" s="181"/>
      <c r="HD49" s="181"/>
      <c r="HE49" s="181"/>
      <c r="HF49" s="181"/>
      <c r="HG49" s="181"/>
      <c r="HH49" s="181"/>
      <c r="HI49" s="181"/>
      <c r="HJ49" s="181"/>
      <c r="HK49" s="181"/>
      <c r="HL49" s="181"/>
      <c r="HM49" s="181"/>
      <c r="HN49" s="181"/>
      <c r="HO49" s="181"/>
      <c r="HP49" s="181"/>
      <c r="HQ49" s="181"/>
      <c r="HR49" s="181"/>
      <c r="HS49" s="181"/>
      <c r="HT49" s="181"/>
      <c r="HU49" s="181"/>
      <c r="HV49" s="181"/>
      <c r="HW49" s="181"/>
      <c r="HX49" s="181"/>
      <c r="HY49" s="181"/>
      <c r="HZ49" s="181"/>
      <c r="IA49" s="181"/>
      <c r="IB49" s="181"/>
      <c r="IC49" s="181"/>
      <c r="ID49" s="181"/>
      <c r="IE49" s="181"/>
      <c r="IF49" s="181"/>
      <c r="IG49" s="181"/>
      <c r="IH49" s="181"/>
      <c r="II49" s="181"/>
      <c r="IJ49" s="181"/>
    </row>
    <row r="50" spans="1:244" ht="15" customHeight="1">
      <c r="A50" s="6"/>
      <c r="B50" s="6"/>
      <c r="C50" s="22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W50" s="181"/>
      <c r="AX50" s="181"/>
      <c r="AY50" s="181"/>
      <c r="AZ50" s="181"/>
      <c r="BA50" s="205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181"/>
      <c r="EG50" s="181"/>
      <c r="EH50" s="181"/>
      <c r="EI50" s="181"/>
      <c r="EJ50" s="181"/>
      <c r="EK50" s="181"/>
      <c r="EL50" s="181"/>
      <c r="EM50" s="181"/>
      <c r="EN50" s="181"/>
      <c r="EO50" s="181"/>
      <c r="EP50" s="181"/>
      <c r="EQ50" s="181"/>
      <c r="ER50" s="181"/>
      <c r="ES50" s="181"/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1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1"/>
      <c r="GF50" s="206"/>
      <c r="GG50" s="181"/>
      <c r="GH50" s="181"/>
      <c r="GI50" s="181"/>
      <c r="GJ50" s="181"/>
      <c r="GK50" s="181"/>
      <c r="GL50" s="181"/>
      <c r="GM50" s="181"/>
      <c r="GN50" s="181"/>
      <c r="GO50" s="181"/>
      <c r="GP50" s="181"/>
      <c r="GQ50" s="181"/>
      <c r="GR50" s="181"/>
      <c r="GS50" s="181"/>
      <c r="GT50" s="181"/>
      <c r="GU50" s="181"/>
      <c r="GV50" s="181"/>
      <c r="GW50" s="181"/>
      <c r="GX50" s="181"/>
      <c r="GY50" s="181"/>
      <c r="GZ50" s="181"/>
      <c r="HA50" s="181"/>
      <c r="HB50" s="181"/>
      <c r="HC50" s="181"/>
      <c r="HD50" s="181"/>
      <c r="HE50" s="181"/>
      <c r="HF50" s="181"/>
      <c r="HG50" s="181"/>
      <c r="HH50" s="181"/>
      <c r="HI50" s="181"/>
      <c r="HJ50" s="181"/>
      <c r="HK50" s="181"/>
      <c r="HL50" s="181"/>
      <c r="HM50" s="181"/>
      <c r="HN50" s="181"/>
      <c r="HO50" s="181"/>
      <c r="HP50" s="181"/>
      <c r="HQ50" s="181"/>
      <c r="HR50" s="181"/>
      <c r="HS50" s="181"/>
      <c r="HT50" s="181"/>
      <c r="HU50" s="181"/>
      <c r="HV50" s="181"/>
      <c r="HW50" s="181"/>
      <c r="HX50" s="181"/>
      <c r="HY50" s="181"/>
      <c r="HZ50" s="181"/>
      <c r="IA50" s="181"/>
      <c r="IB50" s="181"/>
      <c r="IC50" s="181"/>
      <c r="ID50" s="181"/>
      <c r="IE50" s="181"/>
      <c r="IF50" s="181"/>
      <c r="IG50" s="181"/>
      <c r="IH50" s="181"/>
      <c r="II50" s="181"/>
      <c r="IJ50" s="181"/>
    </row>
    <row r="51" spans="1:244" ht="15" customHeight="1">
      <c r="A51" s="6"/>
      <c r="B51" s="6"/>
      <c r="C51" s="22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W51" s="181"/>
      <c r="AX51" s="181"/>
      <c r="AY51" s="181"/>
      <c r="AZ51" s="181"/>
      <c r="BA51" s="205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206"/>
      <c r="GG51" s="181"/>
      <c r="GH51" s="181"/>
      <c r="GI51" s="181"/>
      <c r="GJ51" s="181"/>
      <c r="GK51" s="181"/>
      <c r="GL51" s="181"/>
      <c r="GM51" s="181"/>
      <c r="GN51" s="181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1"/>
      <c r="HS51" s="181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  <c r="IE51" s="181"/>
      <c r="IF51" s="181"/>
      <c r="IG51" s="181"/>
      <c r="IH51" s="181"/>
      <c r="II51" s="181"/>
      <c r="IJ51" s="181"/>
    </row>
    <row r="52" spans="1:244" ht="15" customHeight="1">
      <c r="A52" s="6"/>
      <c r="B52" s="6"/>
      <c r="C52" s="22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W52" s="181"/>
      <c r="AX52" s="181"/>
      <c r="AY52" s="181"/>
      <c r="AZ52" s="181"/>
      <c r="BA52" s="205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1"/>
      <c r="EE52" s="181"/>
      <c r="EF52" s="181"/>
      <c r="EG52" s="181"/>
      <c r="EH52" s="181"/>
      <c r="EI52" s="181"/>
      <c r="EJ52" s="181"/>
      <c r="EK52" s="181"/>
      <c r="EL52" s="181"/>
      <c r="EM52" s="181"/>
      <c r="EN52" s="181"/>
      <c r="EO52" s="181"/>
      <c r="EP52" s="181"/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  <c r="GF52" s="206"/>
      <c r="GG52" s="181"/>
      <c r="GH52" s="181"/>
      <c r="GI52" s="181"/>
      <c r="GJ52" s="181"/>
      <c r="GK52" s="181"/>
      <c r="GL52" s="181"/>
      <c r="GM52" s="181"/>
      <c r="GN52" s="181"/>
      <c r="GO52" s="181"/>
      <c r="GP52" s="181"/>
      <c r="GQ52" s="181"/>
      <c r="GR52" s="181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  <c r="HE52" s="181"/>
      <c r="HF52" s="181"/>
      <c r="HG52" s="181"/>
      <c r="HH52" s="181"/>
      <c r="HI52" s="181"/>
      <c r="HJ52" s="181"/>
      <c r="HK52" s="181"/>
      <c r="HL52" s="181"/>
      <c r="HM52" s="181"/>
      <c r="HN52" s="181"/>
      <c r="HO52" s="181"/>
      <c r="HP52" s="181"/>
      <c r="HQ52" s="181"/>
      <c r="HR52" s="181"/>
      <c r="HS52" s="181"/>
      <c r="HT52" s="181"/>
      <c r="HU52" s="181"/>
      <c r="HV52" s="181"/>
      <c r="HW52" s="181"/>
      <c r="HX52" s="181"/>
      <c r="HY52" s="181"/>
      <c r="HZ52" s="181"/>
      <c r="IA52" s="181"/>
      <c r="IB52" s="181"/>
      <c r="IC52" s="181"/>
      <c r="ID52" s="181"/>
      <c r="IE52" s="181"/>
      <c r="IF52" s="181"/>
      <c r="IG52" s="181"/>
      <c r="IH52" s="181"/>
      <c r="II52" s="181"/>
      <c r="IJ52" s="181"/>
    </row>
    <row r="53" spans="1:244" ht="15" customHeight="1">
      <c r="A53" s="6"/>
      <c r="B53" s="6"/>
      <c r="C53" s="22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W53" s="181"/>
      <c r="AX53" s="181"/>
      <c r="AY53" s="181"/>
      <c r="AZ53" s="181"/>
      <c r="BA53" s="205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1"/>
      <c r="FI53" s="181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1"/>
      <c r="GF53" s="206"/>
      <c r="GG53" s="181"/>
      <c r="GH53" s="181"/>
      <c r="GI53" s="181"/>
      <c r="GJ53" s="181"/>
      <c r="GK53" s="181"/>
      <c r="GL53" s="181"/>
      <c r="GM53" s="181"/>
      <c r="GN53" s="181"/>
      <c r="GO53" s="181"/>
      <c r="GP53" s="181"/>
      <c r="GQ53" s="181"/>
      <c r="GR53" s="181"/>
      <c r="GS53" s="181"/>
      <c r="GT53" s="181"/>
      <c r="GU53" s="181"/>
      <c r="GV53" s="181"/>
      <c r="GW53" s="181"/>
      <c r="GX53" s="181"/>
      <c r="GY53" s="181"/>
      <c r="GZ53" s="181"/>
      <c r="HA53" s="181"/>
      <c r="HB53" s="181"/>
      <c r="HC53" s="181"/>
      <c r="HD53" s="181"/>
      <c r="HE53" s="181"/>
      <c r="HF53" s="181"/>
      <c r="HG53" s="181"/>
      <c r="HH53" s="181"/>
      <c r="HI53" s="181"/>
      <c r="HJ53" s="181"/>
      <c r="HK53" s="181"/>
      <c r="HL53" s="181"/>
      <c r="HM53" s="181"/>
      <c r="HN53" s="181"/>
      <c r="HO53" s="181"/>
      <c r="HP53" s="181"/>
      <c r="HQ53" s="181"/>
      <c r="HR53" s="181"/>
      <c r="HS53" s="181"/>
      <c r="HT53" s="181"/>
      <c r="HU53" s="181"/>
      <c r="HV53" s="181"/>
      <c r="HW53" s="181"/>
      <c r="HX53" s="181"/>
      <c r="HY53" s="181"/>
      <c r="HZ53" s="181"/>
      <c r="IA53" s="181"/>
      <c r="IB53" s="181"/>
      <c r="IC53" s="181"/>
      <c r="ID53" s="181"/>
      <c r="IE53" s="181"/>
      <c r="IF53" s="181"/>
      <c r="IG53" s="181"/>
      <c r="IH53" s="181"/>
      <c r="II53" s="181"/>
      <c r="IJ53" s="181"/>
    </row>
    <row r="54" spans="1:244" ht="15" customHeight="1">
      <c r="A54" s="6"/>
      <c r="B54" s="6"/>
      <c r="C54" s="22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W54" s="181"/>
      <c r="AX54" s="181"/>
      <c r="AY54" s="181"/>
      <c r="AZ54" s="181"/>
      <c r="BA54" s="205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206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1"/>
      <c r="HS54" s="181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</row>
    <row r="55" spans="1:244" ht="15" customHeight="1">
      <c r="A55" s="6"/>
      <c r="B55" s="6"/>
      <c r="C55" s="22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W55" s="181"/>
      <c r="AX55" s="181"/>
      <c r="AY55" s="181"/>
      <c r="AZ55" s="181"/>
      <c r="BA55" s="205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  <c r="GF55" s="206"/>
      <c r="GG55" s="181"/>
      <c r="GH55" s="181"/>
      <c r="GI55" s="181"/>
      <c r="GJ55" s="181"/>
      <c r="GK55" s="181"/>
      <c r="GL55" s="181"/>
      <c r="GM55" s="181"/>
      <c r="GN55" s="181"/>
      <c r="GO55" s="181"/>
      <c r="GP55" s="181"/>
      <c r="GQ55" s="181"/>
      <c r="GR55" s="181"/>
      <c r="GS55" s="181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1"/>
      <c r="HI55" s="181"/>
      <c r="HJ55" s="181"/>
      <c r="HK55" s="181"/>
      <c r="HL55" s="181"/>
      <c r="HM55" s="181"/>
      <c r="HN55" s="181"/>
      <c r="HO55" s="181"/>
      <c r="HP55" s="181"/>
      <c r="HQ55" s="181"/>
      <c r="HR55" s="181"/>
      <c r="HS55" s="181"/>
      <c r="HT55" s="181"/>
      <c r="HU55" s="181"/>
      <c r="HV55" s="181"/>
      <c r="HW55" s="181"/>
      <c r="HX55" s="181"/>
      <c r="HY55" s="181"/>
      <c r="HZ55" s="181"/>
      <c r="IA55" s="181"/>
      <c r="IB55" s="181"/>
      <c r="IC55" s="181"/>
      <c r="ID55" s="181"/>
      <c r="IE55" s="181"/>
      <c r="IF55" s="181"/>
      <c r="IG55" s="181"/>
      <c r="IH55" s="181"/>
      <c r="II55" s="181"/>
      <c r="IJ55" s="181"/>
    </row>
    <row r="56" spans="1:244" ht="15" customHeight="1">
      <c r="A56" s="6"/>
      <c r="B56" s="6"/>
      <c r="C56" s="22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W56" s="181"/>
      <c r="AX56" s="181"/>
      <c r="AY56" s="181"/>
      <c r="AZ56" s="181"/>
      <c r="BA56" s="205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1"/>
      <c r="EE56" s="181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  <c r="ER56" s="181"/>
      <c r="ES56" s="181"/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1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1"/>
      <c r="FV56" s="181"/>
      <c r="FW56" s="181"/>
      <c r="FX56" s="181"/>
      <c r="FY56" s="181"/>
      <c r="FZ56" s="181"/>
      <c r="GA56" s="181"/>
      <c r="GB56" s="181"/>
      <c r="GC56" s="181"/>
      <c r="GD56" s="181"/>
      <c r="GE56" s="181"/>
      <c r="GF56" s="206"/>
      <c r="GG56" s="181"/>
      <c r="GH56" s="181"/>
      <c r="GI56" s="181"/>
      <c r="GJ56" s="181"/>
      <c r="GK56" s="181"/>
      <c r="GL56" s="181"/>
      <c r="GM56" s="181"/>
      <c r="GN56" s="181"/>
      <c r="GO56" s="181"/>
      <c r="GP56" s="181"/>
      <c r="GQ56" s="181"/>
      <c r="GR56" s="181"/>
      <c r="GS56" s="181"/>
      <c r="GT56" s="181"/>
      <c r="GU56" s="181"/>
      <c r="GV56" s="181"/>
      <c r="GW56" s="181"/>
      <c r="GX56" s="181"/>
      <c r="GY56" s="181"/>
      <c r="GZ56" s="181"/>
      <c r="HA56" s="181"/>
      <c r="HB56" s="181"/>
      <c r="HC56" s="181"/>
      <c r="HD56" s="181"/>
      <c r="HE56" s="181"/>
      <c r="HF56" s="181"/>
      <c r="HG56" s="181"/>
      <c r="HH56" s="181"/>
      <c r="HI56" s="181"/>
      <c r="HJ56" s="181"/>
      <c r="HK56" s="181"/>
      <c r="HL56" s="181"/>
      <c r="HM56" s="181"/>
      <c r="HN56" s="181"/>
      <c r="HO56" s="181"/>
      <c r="HP56" s="181"/>
      <c r="HQ56" s="181"/>
      <c r="HR56" s="181"/>
      <c r="HS56" s="181"/>
      <c r="HT56" s="181"/>
      <c r="HU56" s="181"/>
      <c r="HV56" s="181"/>
      <c r="HW56" s="181"/>
      <c r="HX56" s="181"/>
      <c r="HY56" s="181"/>
      <c r="HZ56" s="181"/>
      <c r="IA56" s="181"/>
      <c r="IB56" s="181"/>
      <c r="IC56" s="181"/>
      <c r="ID56" s="181"/>
      <c r="IE56" s="181"/>
      <c r="IF56" s="181"/>
      <c r="IG56" s="181"/>
      <c r="IH56" s="181"/>
      <c r="II56" s="181"/>
      <c r="IJ56" s="181"/>
    </row>
    <row r="57" spans="1:244" ht="15" customHeight="1">
      <c r="A57" s="6"/>
      <c r="B57" s="6"/>
      <c r="C57" s="22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W57" s="181"/>
      <c r="AX57" s="181"/>
      <c r="AY57" s="181"/>
      <c r="AZ57" s="181"/>
      <c r="BA57" s="205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/>
      <c r="DY57" s="181"/>
      <c r="DZ57" s="181"/>
      <c r="EA57" s="181"/>
      <c r="EB57" s="181"/>
      <c r="EC57" s="181"/>
      <c r="ED57" s="181"/>
      <c r="EE57" s="181"/>
      <c r="EF57" s="181"/>
      <c r="EG57" s="181"/>
      <c r="EH57" s="181"/>
      <c r="EI57" s="181"/>
      <c r="EJ57" s="181"/>
      <c r="EK57" s="181"/>
      <c r="EL57" s="181"/>
      <c r="EM57" s="181"/>
      <c r="EN57" s="181"/>
      <c r="EO57" s="181"/>
      <c r="EP57" s="181"/>
      <c r="EQ57" s="181"/>
      <c r="ER57" s="181"/>
      <c r="ES57" s="181"/>
      <c r="ET57" s="181"/>
      <c r="EU57" s="181"/>
      <c r="EV57" s="181"/>
      <c r="EW57" s="181"/>
      <c r="EX57" s="181"/>
      <c r="EY57" s="181"/>
      <c r="EZ57" s="181"/>
      <c r="FA57" s="181"/>
      <c r="FB57" s="181"/>
      <c r="FC57" s="181"/>
      <c r="FD57" s="181"/>
      <c r="FE57" s="181"/>
      <c r="FF57" s="181"/>
      <c r="FG57" s="181"/>
      <c r="FH57" s="181"/>
      <c r="FI57" s="181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1"/>
      <c r="FV57" s="181"/>
      <c r="FW57" s="181"/>
      <c r="FX57" s="181"/>
      <c r="FY57" s="181"/>
      <c r="FZ57" s="181"/>
      <c r="GA57" s="181"/>
      <c r="GB57" s="181"/>
      <c r="GC57" s="181"/>
      <c r="GD57" s="181"/>
      <c r="GE57" s="181"/>
      <c r="GF57" s="206"/>
      <c r="GG57" s="181"/>
      <c r="GH57" s="181"/>
      <c r="GI57" s="181"/>
      <c r="GJ57" s="181"/>
      <c r="GK57" s="181"/>
      <c r="GL57" s="181"/>
      <c r="GM57" s="181"/>
      <c r="GN57" s="181"/>
      <c r="GO57" s="181"/>
      <c r="GP57" s="181"/>
      <c r="GQ57" s="181"/>
      <c r="GR57" s="181"/>
      <c r="GS57" s="181"/>
      <c r="GT57" s="181"/>
      <c r="GU57" s="181"/>
      <c r="GV57" s="181"/>
      <c r="GW57" s="181"/>
      <c r="GX57" s="181"/>
      <c r="GY57" s="181"/>
      <c r="GZ57" s="181"/>
      <c r="HA57" s="181"/>
      <c r="HB57" s="181"/>
      <c r="HC57" s="181"/>
      <c r="HD57" s="181"/>
      <c r="HE57" s="181"/>
      <c r="HF57" s="181"/>
      <c r="HG57" s="181"/>
      <c r="HH57" s="181"/>
      <c r="HI57" s="181"/>
      <c r="HJ57" s="181"/>
      <c r="HK57" s="181"/>
      <c r="HL57" s="181"/>
      <c r="HM57" s="181"/>
      <c r="HN57" s="181"/>
      <c r="HO57" s="181"/>
      <c r="HP57" s="181"/>
      <c r="HQ57" s="181"/>
      <c r="HR57" s="181"/>
      <c r="HS57" s="181"/>
      <c r="HT57" s="181"/>
      <c r="HU57" s="181"/>
      <c r="HV57" s="181"/>
      <c r="HW57" s="181"/>
      <c r="HX57" s="181"/>
      <c r="HY57" s="181"/>
      <c r="HZ57" s="181"/>
      <c r="IA57" s="181"/>
      <c r="IB57" s="181"/>
      <c r="IC57" s="181"/>
      <c r="ID57" s="181"/>
      <c r="IE57" s="181"/>
      <c r="IF57" s="181"/>
      <c r="IG57" s="181"/>
      <c r="IH57" s="181"/>
      <c r="II57" s="181"/>
      <c r="IJ57" s="181"/>
    </row>
    <row r="58" spans="1:244" ht="15" customHeight="1">
      <c r="A58" s="6"/>
      <c r="B58" s="6"/>
      <c r="C58" s="22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W58" s="181"/>
      <c r="AX58" s="181"/>
      <c r="AY58" s="181"/>
      <c r="AZ58" s="181"/>
      <c r="BA58" s="205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  <c r="ER58" s="181"/>
      <c r="ES58" s="181"/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1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1"/>
      <c r="GF58" s="206"/>
      <c r="GG58" s="181"/>
      <c r="GH58" s="181"/>
      <c r="GI58" s="181"/>
      <c r="GJ58" s="181"/>
      <c r="GK58" s="181"/>
      <c r="GL58" s="181"/>
      <c r="GM58" s="181"/>
      <c r="GN58" s="181"/>
      <c r="GO58" s="181"/>
      <c r="GP58" s="181"/>
      <c r="GQ58" s="181"/>
      <c r="GR58" s="181"/>
      <c r="GS58" s="181"/>
      <c r="GT58" s="181"/>
      <c r="GU58" s="181"/>
      <c r="GV58" s="181"/>
      <c r="GW58" s="181"/>
      <c r="GX58" s="181"/>
      <c r="GY58" s="181"/>
      <c r="GZ58" s="181"/>
      <c r="HA58" s="181"/>
      <c r="HB58" s="181"/>
      <c r="HC58" s="181"/>
      <c r="HD58" s="181"/>
      <c r="HE58" s="181"/>
      <c r="HF58" s="181"/>
      <c r="HG58" s="181"/>
      <c r="HH58" s="181"/>
      <c r="HI58" s="181"/>
      <c r="HJ58" s="181"/>
      <c r="HK58" s="181"/>
      <c r="HL58" s="181"/>
      <c r="HM58" s="181"/>
      <c r="HN58" s="181"/>
      <c r="HO58" s="181"/>
      <c r="HP58" s="181"/>
      <c r="HQ58" s="181"/>
      <c r="HR58" s="181"/>
      <c r="HS58" s="181"/>
      <c r="HT58" s="181"/>
      <c r="HU58" s="181"/>
      <c r="HV58" s="181"/>
      <c r="HW58" s="181"/>
      <c r="HX58" s="181"/>
      <c r="HY58" s="181"/>
      <c r="HZ58" s="181"/>
      <c r="IA58" s="181"/>
      <c r="IB58" s="181"/>
      <c r="IC58" s="181"/>
      <c r="ID58" s="181"/>
      <c r="IE58" s="181"/>
      <c r="IF58" s="181"/>
      <c r="IG58" s="181"/>
      <c r="IH58" s="181"/>
      <c r="II58" s="181"/>
      <c r="IJ58" s="181"/>
    </row>
    <row r="59" spans="1:244" ht="15" customHeight="1">
      <c r="A59" s="6"/>
      <c r="B59" s="6"/>
      <c r="C59" s="22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W59" s="181"/>
      <c r="AX59" s="181"/>
      <c r="AY59" s="181"/>
      <c r="AZ59" s="181"/>
      <c r="BA59" s="205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1"/>
      <c r="GF59" s="206"/>
      <c r="GG59" s="181"/>
      <c r="GH59" s="181"/>
      <c r="GI59" s="181"/>
      <c r="GJ59" s="181"/>
      <c r="GK59" s="181"/>
      <c r="GL59" s="181"/>
      <c r="GM59" s="181"/>
      <c r="GN59" s="181"/>
      <c r="GO59" s="181"/>
      <c r="GP59" s="181"/>
      <c r="GQ59" s="181"/>
      <c r="GR59" s="181"/>
      <c r="GS59" s="181"/>
      <c r="GT59" s="181"/>
      <c r="GU59" s="181"/>
      <c r="GV59" s="181"/>
      <c r="GW59" s="181"/>
      <c r="GX59" s="181"/>
      <c r="GY59" s="181"/>
      <c r="GZ59" s="181"/>
      <c r="HA59" s="181"/>
      <c r="HB59" s="181"/>
      <c r="HC59" s="181"/>
      <c r="HD59" s="181"/>
      <c r="HE59" s="181"/>
      <c r="HF59" s="181"/>
      <c r="HG59" s="181"/>
      <c r="HH59" s="181"/>
      <c r="HI59" s="181"/>
      <c r="HJ59" s="181"/>
      <c r="HK59" s="181"/>
      <c r="HL59" s="181"/>
      <c r="HM59" s="181"/>
      <c r="HN59" s="181"/>
      <c r="HO59" s="181"/>
      <c r="HP59" s="181"/>
      <c r="HQ59" s="181"/>
      <c r="HR59" s="181"/>
      <c r="HS59" s="181"/>
      <c r="HT59" s="181"/>
      <c r="HU59" s="181"/>
      <c r="HV59" s="181"/>
      <c r="HW59" s="181"/>
      <c r="HX59" s="181"/>
      <c r="HY59" s="181"/>
      <c r="HZ59" s="181"/>
      <c r="IA59" s="181"/>
      <c r="IB59" s="181"/>
      <c r="IC59" s="181"/>
      <c r="ID59" s="181"/>
      <c r="IE59" s="181"/>
      <c r="IF59" s="181"/>
      <c r="IG59" s="181"/>
      <c r="IH59" s="181"/>
      <c r="II59" s="181"/>
      <c r="IJ59" s="181"/>
    </row>
    <row r="60" spans="1:244" ht="15" customHeight="1">
      <c r="A60" s="6"/>
      <c r="B60" s="6"/>
      <c r="C60" s="22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W60" s="181"/>
      <c r="AX60" s="181"/>
      <c r="AY60" s="181"/>
      <c r="AZ60" s="181"/>
      <c r="BA60" s="205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1"/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1"/>
      <c r="FJ60" s="181"/>
      <c r="FK60" s="181"/>
      <c r="FL60" s="181"/>
      <c r="FM60" s="181"/>
      <c r="FN60" s="181"/>
      <c r="FO60" s="181"/>
      <c r="FP60" s="181"/>
      <c r="FQ60" s="181"/>
      <c r="FR60" s="181"/>
      <c r="FS60" s="181"/>
      <c r="FT60" s="181"/>
      <c r="FU60" s="181"/>
      <c r="FV60" s="181"/>
      <c r="FW60" s="181"/>
      <c r="FX60" s="181"/>
      <c r="FY60" s="181"/>
      <c r="FZ60" s="181"/>
      <c r="GA60" s="181"/>
      <c r="GB60" s="181"/>
      <c r="GC60" s="181"/>
      <c r="GD60" s="181"/>
      <c r="GE60" s="181"/>
      <c r="GF60" s="206"/>
      <c r="GG60" s="181"/>
      <c r="GH60" s="181"/>
      <c r="GI60" s="181"/>
      <c r="GJ60" s="181"/>
      <c r="GK60" s="181"/>
      <c r="GL60" s="181"/>
      <c r="GM60" s="181"/>
      <c r="GN60" s="181"/>
      <c r="GO60" s="181"/>
      <c r="GP60" s="181"/>
      <c r="GQ60" s="181"/>
      <c r="GR60" s="181"/>
      <c r="GS60" s="181"/>
      <c r="GT60" s="181"/>
      <c r="GU60" s="181"/>
      <c r="GV60" s="181"/>
      <c r="GW60" s="181"/>
      <c r="GX60" s="181"/>
      <c r="GY60" s="181"/>
      <c r="GZ60" s="181"/>
      <c r="HA60" s="181"/>
      <c r="HB60" s="181"/>
      <c r="HC60" s="181"/>
      <c r="HD60" s="181"/>
      <c r="HE60" s="181"/>
      <c r="HF60" s="181"/>
      <c r="HG60" s="181"/>
      <c r="HH60" s="181"/>
      <c r="HI60" s="181"/>
      <c r="HJ60" s="181"/>
      <c r="HK60" s="181"/>
      <c r="HL60" s="181"/>
      <c r="HM60" s="181"/>
      <c r="HN60" s="181"/>
      <c r="HO60" s="181"/>
      <c r="HP60" s="181"/>
      <c r="HQ60" s="181"/>
      <c r="HR60" s="181"/>
      <c r="HS60" s="181"/>
      <c r="HT60" s="181"/>
      <c r="HU60" s="181"/>
      <c r="HV60" s="181"/>
      <c r="HW60" s="181"/>
      <c r="HX60" s="181"/>
      <c r="HY60" s="181"/>
      <c r="HZ60" s="181"/>
      <c r="IA60" s="181"/>
      <c r="IB60" s="181"/>
      <c r="IC60" s="181"/>
      <c r="ID60" s="181"/>
      <c r="IE60" s="181"/>
      <c r="IF60" s="181"/>
      <c r="IG60" s="181"/>
      <c r="IH60" s="181"/>
      <c r="II60" s="181"/>
      <c r="IJ60" s="181"/>
    </row>
    <row r="61" spans="1:244" ht="15" customHeight="1">
      <c r="A61" s="6"/>
      <c r="B61" s="6"/>
      <c r="C61" s="22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W61" s="181"/>
      <c r="AX61" s="181"/>
      <c r="AY61" s="181"/>
      <c r="AZ61" s="181"/>
      <c r="BA61" s="205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  <c r="EB61" s="181"/>
      <c r="EC61" s="181"/>
      <c r="ED61" s="181"/>
      <c r="EE61" s="181"/>
      <c r="EF61" s="181"/>
      <c r="EG61" s="181"/>
      <c r="EH61" s="181"/>
      <c r="EI61" s="181"/>
      <c r="EJ61" s="181"/>
      <c r="EK61" s="181"/>
      <c r="EL61" s="181"/>
      <c r="EM61" s="181"/>
      <c r="EN61" s="181"/>
      <c r="EO61" s="181"/>
      <c r="EP61" s="181"/>
      <c r="EQ61" s="181"/>
      <c r="ER61" s="181"/>
      <c r="ES61" s="181"/>
      <c r="ET61" s="181"/>
      <c r="EU61" s="181"/>
      <c r="EV61" s="181"/>
      <c r="EW61" s="181"/>
      <c r="EX61" s="181"/>
      <c r="EY61" s="181"/>
      <c r="EZ61" s="181"/>
      <c r="FA61" s="181"/>
      <c r="FB61" s="181"/>
      <c r="FC61" s="181"/>
      <c r="FD61" s="181"/>
      <c r="FE61" s="181"/>
      <c r="FF61" s="181"/>
      <c r="FG61" s="181"/>
      <c r="FH61" s="181"/>
      <c r="FI61" s="181"/>
      <c r="FJ61" s="181"/>
      <c r="FK61" s="181"/>
      <c r="FL61" s="181"/>
      <c r="FM61" s="181"/>
      <c r="FN61" s="181"/>
      <c r="FO61" s="181"/>
      <c r="FP61" s="181"/>
      <c r="FQ61" s="181"/>
      <c r="FR61" s="181"/>
      <c r="FS61" s="181"/>
      <c r="FT61" s="181"/>
      <c r="FU61" s="181"/>
      <c r="FV61" s="181"/>
      <c r="FW61" s="181"/>
      <c r="FX61" s="181"/>
      <c r="FY61" s="181"/>
      <c r="FZ61" s="181"/>
      <c r="GA61" s="181"/>
      <c r="GB61" s="181"/>
      <c r="GC61" s="181"/>
      <c r="GD61" s="181"/>
      <c r="GE61" s="181"/>
      <c r="GF61" s="206"/>
      <c r="GG61" s="181"/>
      <c r="GH61" s="181"/>
      <c r="GI61" s="181"/>
      <c r="GJ61" s="181"/>
      <c r="GK61" s="181"/>
      <c r="GL61" s="181"/>
      <c r="GM61" s="181"/>
      <c r="GN61" s="181"/>
      <c r="GO61" s="181"/>
      <c r="GP61" s="181"/>
      <c r="GQ61" s="181"/>
      <c r="GR61" s="181"/>
      <c r="GS61" s="181"/>
      <c r="GT61" s="181"/>
      <c r="GU61" s="181"/>
      <c r="GV61" s="181"/>
      <c r="GW61" s="181"/>
      <c r="GX61" s="181"/>
      <c r="GY61" s="181"/>
      <c r="GZ61" s="181"/>
      <c r="HA61" s="181"/>
      <c r="HB61" s="181"/>
      <c r="HC61" s="181"/>
      <c r="HD61" s="181"/>
      <c r="HE61" s="181"/>
      <c r="HF61" s="181"/>
      <c r="HG61" s="181"/>
      <c r="HH61" s="181"/>
      <c r="HI61" s="181"/>
      <c r="HJ61" s="181"/>
      <c r="HK61" s="181"/>
      <c r="HL61" s="181"/>
      <c r="HM61" s="181"/>
      <c r="HN61" s="181"/>
      <c r="HO61" s="181"/>
      <c r="HP61" s="181"/>
      <c r="HQ61" s="181"/>
      <c r="HR61" s="181"/>
      <c r="HS61" s="181"/>
      <c r="HT61" s="181"/>
      <c r="HU61" s="181"/>
      <c r="HV61" s="181"/>
      <c r="HW61" s="181"/>
      <c r="HX61" s="181"/>
      <c r="HY61" s="181"/>
      <c r="HZ61" s="181"/>
      <c r="IA61" s="181"/>
      <c r="IB61" s="181"/>
      <c r="IC61" s="181"/>
      <c r="ID61" s="181"/>
      <c r="IE61" s="181"/>
      <c r="IF61" s="181"/>
      <c r="IG61" s="181"/>
      <c r="IH61" s="181"/>
      <c r="II61" s="181"/>
      <c r="IJ61" s="181"/>
    </row>
    <row r="62" spans="1:244" ht="15" customHeight="1">
      <c r="A62" s="6"/>
      <c r="B62" s="6"/>
      <c r="C62" s="22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W62" s="181"/>
      <c r="AX62" s="181"/>
      <c r="AY62" s="181"/>
      <c r="AZ62" s="181"/>
      <c r="BA62" s="205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  <c r="BT62" s="181"/>
      <c r="BU62" s="181"/>
      <c r="BV62" s="181"/>
      <c r="BW62" s="181"/>
      <c r="BX62" s="181"/>
      <c r="BY62" s="181"/>
      <c r="BZ62" s="181"/>
      <c r="CA62" s="181"/>
      <c r="CB62" s="181"/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1"/>
      <c r="DZ62" s="181"/>
      <c r="EA62" s="181"/>
      <c r="EB62" s="181"/>
      <c r="EC62" s="181"/>
      <c r="ED62" s="181"/>
      <c r="EE62" s="181"/>
      <c r="EF62" s="181"/>
      <c r="EG62" s="181"/>
      <c r="EH62" s="181"/>
      <c r="EI62" s="181"/>
      <c r="EJ62" s="181"/>
      <c r="EK62" s="181"/>
      <c r="EL62" s="181"/>
      <c r="EM62" s="181"/>
      <c r="EN62" s="181"/>
      <c r="EO62" s="181"/>
      <c r="EP62" s="181"/>
      <c r="EQ62" s="181"/>
      <c r="ER62" s="181"/>
      <c r="ES62" s="181"/>
      <c r="ET62" s="181"/>
      <c r="EU62" s="181"/>
      <c r="EV62" s="181"/>
      <c r="EW62" s="181"/>
      <c r="EX62" s="181"/>
      <c r="EY62" s="181"/>
      <c r="EZ62" s="181"/>
      <c r="FA62" s="181"/>
      <c r="FB62" s="181"/>
      <c r="FC62" s="181"/>
      <c r="FD62" s="181"/>
      <c r="FE62" s="181"/>
      <c r="FF62" s="181"/>
      <c r="FG62" s="181"/>
      <c r="FH62" s="181"/>
      <c r="FI62" s="181"/>
      <c r="FJ62" s="181"/>
      <c r="FK62" s="181"/>
      <c r="FL62" s="181"/>
      <c r="FM62" s="181"/>
      <c r="FN62" s="181"/>
      <c r="FO62" s="181"/>
      <c r="FP62" s="181"/>
      <c r="FQ62" s="181"/>
      <c r="FR62" s="181"/>
      <c r="FS62" s="181"/>
      <c r="FT62" s="181"/>
      <c r="FU62" s="181"/>
      <c r="FV62" s="181"/>
      <c r="FW62" s="181"/>
      <c r="FX62" s="181"/>
      <c r="FY62" s="181"/>
      <c r="FZ62" s="181"/>
      <c r="GA62" s="181"/>
      <c r="GB62" s="181"/>
      <c r="GC62" s="181"/>
      <c r="GD62" s="181"/>
      <c r="GE62" s="181"/>
      <c r="GF62" s="206"/>
      <c r="GG62" s="181"/>
      <c r="GH62" s="181"/>
      <c r="GI62" s="181"/>
      <c r="GJ62" s="181"/>
      <c r="GK62" s="181"/>
      <c r="GL62" s="181"/>
      <c r="GM62" s="181"/>
      <c r="GN62" s="181"/>
      <c r="GO62" s="181"/>
      <c r="GP62" s="181"/>
      <c r="GQ62" s="181"/>
      <c r="GR62" s="181"/>
      <c r="GS62" s="181"/>
      <c r="GT62" s="181"/>
      <c r="GU62" s="181"/>
      <c r="GV62" s="181"/>
      <c r="GW62" s="181"/>
      <c r="GX62" s="181"/>
      <c r="GY62" s="181"/>
      <c r="GZ62" s="181"/>
      <c r="HA62" s="181"/>
      <c r="HB62" s="181"/>
      <c r="HC62" s="181"/>
      <c r="HD62" s="181"/>
      <c r="HE62" s="181"/>
      <c r="HF62" s="181"/>
      <c r="HG62" s="181"/>
      <c r="HH62" s="181"/>
      <c r="HI62" s="181"/>
      <c r="HJ62" s="181"/>
      <c r="HK62" s="181"/>
      <c r="HL62" s="181"/>
      <c r="HM62" s="181"/>
      <c r="HN62" s="181"/>
      <c r="HO62" s="181"/>
      <c r="HP62" s="181"/>
      <c r="HQ62" s="181"/>
      <c r="HR62" s="181"/>
      <c r="HS62" s="181"/>
      <c r="HT62" s="181"/>
      <c r="HU62" s="181"/>
      <c r="HV62" s="181"/>
      <c r="HW62" s="181"/>
      <c r="HX62" s="181"/>
      <c r="HY62" s="181"/>
      <c r="HZ62" s="181"/>
      <c r="IA62" s="181"/>
      <c r="IB62" s="181"/>
      <c r="IC62" s="181"/>
      <c r="ID62" s="181"/>
      <c r="IE62" s="181"/>
      <c r="IF62" s="181"/>
      <c r="IG62" s="181"/>
      <c r="IH62" s="181"/>
      <c r="II62" s="181"/>
      <c r="IJ62" s="181"/>
    </row>
    <row r="63" spans="1:244" ht="15" customHeight="1">
      <c r="A63" s="6"/>
      <c r="B63" s="6"/>
      <c r="C63" s="22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W63" s="181"/>
      <c r="AX63" s="181"/>
      <c r="AY63" s="181"/>
      <c r="AZ63" s="181"/>
      <c r="BA63" s="205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206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</row>
    <row r="64" spans="1:244" ht="15" customHeight="1">
      <c r="A64" s="6"/>
      <c r="B64" s="6"/>
      <c r="C64" s="22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W64" s="181"/>
      <c r="AX64" s="181"/>
      <c r="AY64" s="181"/>
      <c r="AZ64" s="181"/>
      <c r="BA64" s="205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206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</row>
    <row r="65" spans="1:244" ht="15" customHeight="1">
      <c r="A65" s="6"/>
      <c r="B65" s="6"/>
      <c r="C65" s="22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W65" s="181"/>
      <c r="AX65" s="181"/>
      <c r="AY65" s="181"/>
      <c r="AZ65" s="181"/>
      <c r="BA65" s="205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206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</row>
    <row r="66" spans="1:244" ht="15" customHeight="1">
      <c r="A66" s="6"/>
      <c r="B66" s="6"/>
      <c r="C66" s="22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W66" s="181"/>
      <c r="AX66" s="181"/>
      <c r="AY66" s="181"/>
      <c r="AZ66" s="181"/>
      <c r="BA66" s="205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  <c r="EB66" s="181"/>
      <c r="EC66" s="181"/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/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/>
      <c r="FG66" s="181"/>
      <c r="FH66" s="181"/>
      <c r="FI66" s="181"/>
      <c r="FJ66" s="181"/>
      <c r="FK66" s="181"/>
      <c r="FL66" s="181"/>
      <c r="FM66" s="181"/>
      <c r="FN66" s="181"/>
      <c r="FO66" s="181"/>
      <c r="FP66" s="181"/>
      <c r="FQ66" s="181"/>
      <c r="FR66" s="181"/>
      <c r="FS66" s="181"/>
      <c r="FT66" s="181"/>
      <c r="FU66" s="181"/>
      <c r="FV66" s="181"/>
      <c r="FW66" s="181"/>
      <c r="FX66" s="181"/>
      <c r="FY66" s="181"/>
      <c r="FZ66" s="181"/>
      <c r="GA66" s="181"/>
      <c r="GB66" s="181"/>
      <c r="GC66" s="181"/>
      <c r="GD66" s="181"/>
      <c r="GE66" s="181"/>
      <c r="GF66" s="206"/>
      <c r="GG66" s="181"/>
      <c r="GH66" s="181"/>
      <c r="GI66" s="181"/>
      <c r="GJ66" s="181"/>
      <c r="GK66" s="181"/>
      <c r="GL66" s="181"/>
      <c r="GM66" s="181"/>
      <c r="GN66" s="181"/>
      <c r="GO66" s="181"/>
      <c r="GP66" s="181"/>
      <c r="GQ66" s="181"/>
      <c r="GR66" s="181"/>
      <c r="GS66" s="181"/>
      <c r="GT66" s="181"/>
      <c r="GU66" s="181"/>
      <c r="GV66" s="181"/>
      <c r="GW66" s="181"/>
      <c r="GX66" s="181"/>
      <c r="GY66" s="181"/>
      <c r="GZ66" s="181"/>
      <c r="HA66" s="181"/>
      <c r="HB66" s="181"/>
      <c r="HC66" s="181"/>
      <c r="HD66" s="181"/>
      <c r="HE66" s="181"/>
      <c r="HF66" s="181"/>
      <c r="HG66" s="181"/>
      <c r="HH66" s="181"/>
      <c r="HI66" s="181"/>
      <c r="HJ66" s="181"/>
      <c r="HK66" s="181"/>
      <c r="HL66" s="181"/>
      <c r="HM66" s="181"/>
      <c r="HN66" s="181"/>
      <c r="HO66" s="181"/>
      <c r="HP66" s="181"/>
      <c r="HQ66" s="181"/>
      <c r="HR66" s="181"/>
      <c r="HS66" s="181"/>
      <c r="HT66" s="181"/>
      <c r="HU66" s="181"/>
      <c r="HV66" s="181"/>
      <c r="HW66" s="181"/>
      <c r="HX66" s="181"/>
      <c r="HY66" s="181"/>
      <c r="HZ66" s="181"/>
      <c r="IA66" s="181"/>
      <c r="IB66" s="181"/>
      <c r="IC66" s="181"/>
      <c r="ID66" s="181"/>
      <c r="IE66" s="181"/>
      <c r="IF66" s="181"/>
      <c r="IG66" s="181"/>
      <c r="IH66" s="181"/>
      <c r="II66" s="181"/>
      <c r="IJ66" s="181"/>
    </row>
    <row r="67" spans="1:244" ht="15" customHeight="1">
      <c r="A67" s="6"/>
      <c r="B67" s="6"/>
      <c r="C67" s="22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W67" s="181"/>
      <c r="AX67" s="181"/>
      <c r="AY67" s="181"/>
      <c r="AZ67" s="181"/>
      <c r="BA67" s="205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  <c r="FH67" s="181"/>
      <c r="FI67" s="181"/>
      <c r="FJ67" s="181"/>
      <c r="FK67" s="181"/>
      <c r="FL67" s="181"/>
      <c r="FM67" s="181"/>
      <c r="FN67" s="181"/>
      <c r="FO67" s="181"/>
      <c r="FP67" s="181"/>
      <c r="FQ67" s="181"/>
      <c r="FR67" s="181"/>
      <c r="FS67" s="181"/>
      <c r="FT67" s="181"/>
      <c r="FU67" s="181"/>
      <c r="FV67" s="181"/>
      <c r="FW67" s="181"/>
      <c r="FX67" s="181"/>
      <c r="FY67" s="181"/>
      <c r="FZ67" s="181"/>
      <c r="GA67" s="181"/>
      <c r="GB67" s="181"/>
      <c r="GC67" s="181"/>
      <c r="GD67" s="181"/>
      <c r="GE67" s="181"/>
      <c r="GF67" s="206"/>
      <c r="GG67" s="181"/>
      <c r="GH67" s="181"/>
      <c r="GI67" s="181"/>
      <c r="GJ67" s="181"/>
      <c r="GK67" s="181"/>
      <c r="GL67" s="181"/>
      <c r="GM67" s="181"/>
      <c r="GN67" s="181"/>
      <c r="GO67" s="181"/>
      <c r="GP67" s="181"/>
      <c r="GQ67" s="181"/>
      <c r="GR67" s="181"/>
      <c r="GS67" s="181"/>
      <c r="GT67" s="181"/>
      <c r="GU67" s="181"/>
      <c r="GV67" s="181"/>
      <c r="GW67" s="181"/>
      <c r="GX67" s="181"/>
      <c r="GY67" s="181"/>
      <c r="GZ67" s="181"/>
      <c r="HA67" s="181"/>
      <c r="HB67" s="181"/>
      <c r="HC67" s="181"/>
      <c r="HD67" s="181"/>
      <c r="HE67" s="181"/>
      <c r="HF67" s="181"/>
      <c r="HG67" s="181"/>
      <c r="HH67" s="181"/>
      <c r="HI67" s="181"/>
      <c r="HJ67" s="181"/>
      <c r="HK67" s="181"/>
      <c r="HL67" s="181"/>
      <c r="HM67" s="181"/>
      <c r="HN67" s="181"/>
      <c r="HO67" s="181"/>
      <c r="HP67" s="181"/>
      <c r="HQ67" s="181"/>
      <c r="HR67" s="181"/>
      <c r="HS67" s="181"/>
      <c r="HT67" s="181"/>
      <c r="HU67" s="181"/>
      <c r="HV67" s="181"/>
      <c r="HW67" s="181"/>
      <c r="HX67" s="181"/>
      <c r="HY67" s="181"/>
      <c r="HZ67" s="181"/>
      <c r="IA67" s="181"/>
      <c r="IB67" s="181"/>
      <c r="IC67" s="181"/>
      <c r="ID67" s="181"/>
      <c r="IE67" s="181"/>
      <c r="IF67" s="181"/>
      <c r="IG67" s="181"/>
      <c r="IH67" s="181"/>
      <c r="II67" s="181"/>
      <c r="IJ67" s="181"/>
    </row>
    <row r="68" spans="1:244" ht="15" customHeight="1">
      <c r="A68" s="6"/>
      <c r="B68" s="6"/>
      <c r="C68" s="22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W68" s="181"/>
      <c r="AX68" s="181"/>
      <c r="AY68" s="181"/>
      <c r="AZ68" s="181"/>
      <c r="BA68" s="205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206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</row>
    <row r="69" spans="1:244" ht="15" customHeight="1">
      <c r="A69" s="6"/>
      <c r="B69" s="6"/>
      <c r="C69" s="22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W69" s="181"/>
      <c r="AX69" s="181"/>
      <c r="AY69" s="181"/>
      <c r="AZ69" s="181"/>
      <c r="BA69" s="205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181"/>
      <c r="DW69" s="181"/>
      <c r="DX69" s="181"/>
      <c r="DY69" s="181"/>
      <c r="DZ69" s="181"/>
      <c r="EA69" s="181"/>
      <c r="EB69" s="181"/>
      <c r="EC69" s="181"/>
      <c r="ED69" s="181"/>
      <c r="EE69" s="181"/>
      <c r="EF69" s="181"/>
      <c r="EG69" s="181"/>
      <c r="EH69" s="181"/>
      <c r="EI69" s="181"/>
      <c r="EJ69" s="181"/>
      <c r="EK69" s="181"/>
      <c r="EL69" s="181"/>
      <c r="EM69" s="181"/>
      <c r="EN69" s="181"/>
      <c r="EO69" s="181"/>
      <c r="EP69" s="181"/>
      <c r="EQ69" s="181"/>
      <c r="ER69" s="181"/>
      <c r="ES69" s="181"/>
      <c r="ET69" s="181"/>
      <c r="EU69" s="181"/>
      <c r="EV69" s="181"/>
      <c r="EW69" s="181"/>
      <c r="EX69" s="181"/>
      <c r="EY69" s="181"/>
      <c r="EZ69" s="181"/>
      <c r="FA69" s="181"/>
      <c r="FB69" s="181"/>
      <c r="FC69" s="181"/>
      <c r="FD69" s="181"/>
      <c r="FE69" s="181"/>
      <c r="FF69" s="181"/>
      <c r="FG69" s="181"/>
      <c r="FH69" s="181"/>
      <c r="FI69" s="181"/>
      <c r="FJ69" s="181"/>
      <c r="FK69" s="181"/>
      <c r="FL69" s="181"/>
      <c r="FM69" s="181"/>
      <c r="FN69" s="181"/>
      <c r="FO69" s="181"/>
      <c r="FP69" s="181"/>
      <c r="FQ69" s="181"/>
      <c r="FR69" s="181"/>
      <c r="FS69" s="181"/>
      <c r="FT69" s="181"/>
      <c r="FU69" s="181"/>
      <c r="FV69" s="181"/>
      <c r="FW69" s="181"/>
      <c r="FX69" s="181"/>
      <c r="FY69" s="181"/>
      <c r="FZ69" s="181"/>
      <c r="GA69" s="181"/>
      <c r="GB69" s="181"/>
      <c r="GC69" s="181"/>
      <c r="GD69" s="181"/>
      <c r="GE69" s="181"/>
      <c r="GF69" s="206"/>
      <c r="GG69" s="181"/>
      <c r="GH69" s="181"/>
      <c r="GI69" s="181"/>
      <c r="GJ69" s="181"/>
      <c r="GK69" s="181"/>
      <c r="GL69" s="181"/>
      <c r="GM69" s="181"/>
      <c r="GN69" s="181"/>
      <c r="GO69" s="181"/>
      <c r="GP69" s="181"/>
      <c r="GQ69" s="181"/>
      <c r="GR69" s="181"/>
      <c r="GS69" s="181"/>
      <c r="GT69" s="181"/>
      <c r="GU69" s="181"/>
      <c r="GV69" s="181"/>
      <c r="GW69" s="181"/>
      <c r="GX69" s="181"/>
      <c r="GY69" s="181"/>
      <c r="GZ69" s="181"/>
      <c r="HA69" s="181"/>
      <c r="HB69" s="181"/>
      <c r="HC69" s="181"/>
      <c r="HD69" s="181"/>
      <c r="HE69" s="181"/>
      <c r="HF69" s="181"/>
      <c r="HG69" s="181"/>
      <c r="HH69" s="181"/>
      <c r="HI69" s="181"/>
      <c r="HJ69" s="181"/>
      <c r="HK69" s="181"/>
      <c r="HL69" s="181"/>
      <c r="HM69" s="181"/>
      <c r="HN69" s="181"/>
      <c r="HO69" s="181"/>
      <c r="HP69" s="181"/>
      <c r="HQ69" s="181"/>
      <c r="HR69" s="181"/>
      <c r="HS69" s="181"/>
      <c r="HT69" s="181"/>
      <c r="HU69" s="181"/>
      <c r="HV69" s="181"/>
      <c r="HW69" s="181"/>
      <c r="HX69" s="181"/>
      <c r="HY69" s="181"/>
      <c r="HZ69" s="181"/>
      <c r="IA69" s="181"/>
      <c r="IB69" s="181"/>
      <c r="IC69" s="181"/>
      <c r="ID69" s="181"/>
      <c r="IE69" s="181"/>
      <c r="IF69" s="181"/>
      <c r="IG69" s="181"/>
      <c r="IH69" s="181"/>
      <c r="II69" s="181"/>
      <c r="IJ69" s="181"/>
    </row>
    <row r="70" spans="1:244" ht="15" customHeight="1">
      <c r="A70" s="6"/>
      <c r="B70" s="6"/>
      <c r="C70" s="22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W70" s="181"/>
      <c r="AX70" s="181"/>
      <c r="AY70" s="181"/>
      <c r="AZ70" s="181"/>
      <c r="BA70" s="205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1"/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1"/>
      <c r="EE70" s="181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1"/>
      <c r="ES70" s="181"/>
      <c r="ET70" s="181"/>
      <c r="EU70" s="181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1"/>
      <c r="FG70" s="181"/>
      <c r="FH70" s="181"/>
      <c r="FI70" s="181"/>
      <c r="FJ70" s="181"/>
      <c r="FK70" s="181"/>
      <c r="FL70" s="181"/>
      <c r="FM70" s="181"/>
      <c r="FN70" s="181"/>
      <c r="FO70" s="181"/>
      <c r="FP70" s="181"/>
      <c r="FQ70" s="181"/>
      <c r="FR70" s="181"/>
      <c r="FS70" s="181"/>
      <c r="FT70" s="181"/>
      <c r="FU70" s="181"/>
      <c r="FV70" s="181"/>
      <c r="FW70" s="181"/>
      <c r="FX70" s="181"/>
      <c r="FY70" s="181"/>
      <c r="FZ70" s="181"/>
      <c r="GA70" s="181"/>
      <c r="GB70" s="181"/>
      <c r="GC70" s="181"/>
      <c r="GD70" s="181"/>
      <c r="GE70" s="181"/>
      <c r="GF70" s="206"/>
      <c r="GG70" s="181"/>
      <c r="GH70" s="181"/>
      <c r="GI70" s="181"/>
      <c r="GJ70" s="181"/>
      <c r="GK70" s="181"/>
      <c r="GL70" s="181"/>
      <c r="GM70" s="181"/>
      <c r="GN70" s="181"/>
      <c r="GO70" s="181"/>
      <c r="GP70" s="181"/>
      <c r="GQ70" s="181"/>
      <c r="GR70" s="181"/>
      <c r="GS70" s="181"/>
      <c r="GT70" s="181"/>
      <c r="GU70" s="181"/>
      <c r="GV70" s="181"/>
      <c r="GW70" s="181"/>
      <c r="GX70" s="181"/>
      <c r="GY70" s="181"/>
      <c r="GZ70" s="181"/>
      <c r="HA70" s="181"/>
      <c r="HB70" s="181"/>
      <c r="HC70" s="181"/>
      <c r="HD70" s="181"/>
      <c r="HE70" s="181"/>
      <c r="HF70" s="181"/>
      <c r="HG70" s="181"/>
      <c r="HH70" s="181"/>
      <c r="HI70" s="181"/>
      <c r="HJ70" s="181"/>
      <c r="HK70" s="181"/>
      <c r="HL70" s="181"/>
      <c r="HM70" s="181"/>
      <c r="HN70" s="181"/>
      <c r="HO70" s="181"/>
      <c r="HP70" s="181"/>
      <c r="HQ70" s="181"/>
      <c r="HR70" s="181"/>
      <c r="HS70" s="181"/>
      <c r="HT70" s="181"/>
      <c r="HU70" s="181"/>
      <c r="HV70" s="181"/>
      <c r="HW70" s="181"/>
      <c r="HX70" s="181"/>
      <c r="HY70" s="181"/>
      <c r="HZ70" s="181"/>
      <c r="IA70" s="181"/>
      <c r="IB70" s="181"/>
      <c r="IC70" s="181"/>
      <c r="ID70" s="181"/>
      <c r="IE70" s="181"/>
      <c r="IF70" s="181"/>
      <c r="IG70" s="181"/>
      <c r="IH70" s="181"/>
      <c r="II70" s="181"/>
      <c r="IJ70" s="181"/>
    </row>
    <row r="71" spans="1:244" ht="15" customHeight="1">
      <c r="A71" s="6"/>
      <c r="B71" s="6"/>
      <c r="C71" s="22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W71" s="181"/>
      <c r="AX71" s="181"/>
      <c r="AY71" s="181"/>
      <c r="AZ71" s="181"/>
      <c r="BA71" s="205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1"/>
      <c r="DQ71" s="181"/>
      <c r="DR71" s="181"/>
      <c r="DS71" s="181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1"/>
      <c r="EE71" s="181"/>
      <c r="EF71" s="181"/>
      <c r="EG71" s="181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1"/>
      <c r="ES71" s="181"/>
      <c r="ET71" s="181"/>
      <c r="EU71" s="181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1"/>
      <c r="FG71" s="181"/>
      <c r="FH71" s="181"/>
      <c r="FI71" s="181"/>
      <c r="FJ71" s="181"/>
      <c r="FK71" s="181"/>
      <c r="FL71" s="181"/>
      <c r="FM71" s="181"/>
      <c r="FN71" s="181"/>
      <c r="FO71" s="181"/>
      <c r="FP71" s="181"/>
      <c r="FQ71" s="181"/>
      <c r="FR71" s="181"/>
      <c r="FS71" s="181"/>
      <c r="FT71" s="181"/>
      <c r="FU71" s="181"/>
      <c r="FV71" s="181"/>
      <c r="FW71" s="181"/>
      <c r="FX71" s="181"/>
      <c r="FY71" s="181"/>
      <c r="FZ71" s="181"/>
      <c r="GA71" s="181"/>
      <c r="GB71" s="181"/>
      <c r="GC71" s="181"/>
      <c r="GD71" s="181"/>
      <c r="GE71" s="181"/>
      <c r="GF71" s="206"/>
      <c r="GG71" s="181"/>
      <c r="GH71" s="181"/>
      <c r="GI71" s="181"/>
      <c r="GJ71" s="181"/>
      <c r="GK71" s="181"/>
      <c r="GL71" s="181"/>
      <c r="GM71" s="181"/>
      <c r="GN71" s="181"/>
      <c r="GO71" s="181"/>
      <c r="GP71" s="181"/>
      <c r="GQ71" s="181"/>
      <c r="GR71" s="181"/>
      <c r="GS71" s="181"/>
      <c r="GT71" s="181"/>
      <c r="GU71" s="181"/>
      <c r="GV71" s="181"/>
      <c r="GW71" s="181"/>
      <c r="GX71" s="181"/>
      <c r="GY71" s="181"/>
      <c r="GZ71" s="181"/>
      <c r="HA71" s="181"/>
      <c r="HB71" s="181"/>
      <c r="HC71" s="181"/>
      <c r="HD71" s="181"/>
      <c r="HE71" s="181"/>
      <c r="HF71" s="181"/>
      <c r="HG71" s="181"/>
      <c r="HH71" s="181"/>
      <c r="HI71" s="181"/>
      <c r="HJ71" s="181"/>
      <c r="HK71" s="181"/>
      <c r="HL71" s="181"/>
      <c r="HM71" s="181"/>
      <c r="HN71" s="181"/>
      <c r="HO71" s="181"/>
      <c r="HP71" s="181"/>
      <c r="HQ71" s="181"/>
      <c r="HR71" s="181"/>
      <c r="HS71" s="181"/>
      <c r="HT71" s="181"/>
      <c r="HU71" s="181"/>
      <c r="HV71" s="181"/>
      <c r="HW71" s="181"/>
      <c r="HX71" s="181"/>
      <c r="HY71" s="181"/>
      <c r="HZ71" s="181"/>
      <c r="IA71" s="181"/>
      <c r="IB71" s="181"/>
      <c r="IC71" s="181"/>
      <c r="ID71" s="181"/>
      <c r="IE71" s="181"/>
      <c r="IF71" s="181"/>
      <c r="IG71" s="181"/>
      <c r="IH71" s="181"/>
      <c r="II71" s="181"/>
      <c r="IJ71" s="181"/>
    </row>
    <row r="72" spans="1:244" ht="15" customHeight="1">
      <c r="A72" s="6"/>
      <c r="B72" s="6"/>
      <c r="C72" s="22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W72" s="181"/>
      <c r="AX72" s="181"/>
      <c r="AY72" s="181"/>
      <c r="AZ72" s="181"/>
      <c r="BA72" s="205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1"/>
      <c r="FG72" s="181"/>
      <c r="FH72" s="181"/>
      <c r="FI72" s="181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1"/>
      <c r="FU72" s="181"/>
      <c r="FV72" s="181"/>
      <c r="FW72" s="181"/>
      <c r="FX72" s="181"/>
      <c r="FY72" s="181"/>
      <c r="FZ72" s="181"/>
      <c r="GA72" s="181"/>
      <c r="GB72" s="181"/>
      <c r="GC72" s="181"/>
      <c r="GD72" s="181"/>
      <c r="GE72" s="181"/>
      <c r="GF72" s="206"/>
      <c r="GG72" s="181"/>
      <c r="GH72" s="181"/>
      <c r="GI72" s="181"/>
      <c r="GJ72" s="181"/>
      <c r="GK72" s="181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1"/>
      <c r="GW72" s="181"/>
      <c r="GX72" s="181"/>
      <c r="GY72" s="181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1"/>
      <c r="HK72" s="181"/>
      <c r="HL72" s="181"/>
      <c r="HM72" s="181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1"/>
      <c r="HY72" s="181"/>
      <c r="HZ72" s="181"/>
      <c r="IA72" s="181"/>
      <c r="IB72" s="181"/>
      <c r="IC72" s="181"/>
      <c r="ID72" s="181"/>
      <c r="IE72" s="181"/>
      <c r="IF72" s="181"/>
      <c r="IG72" s="181"/>
      <c r="IH72" s="181"/>
      <c r="II72" s="181"/>
      <c r="IJ72" s="181"/>
    </row>
    <row r="73" spans="1:244" ht="15" customHeight="1">
      <c r="A73" s="6"/>
      <c r="B73" s="6"/>
      <c r="C73" s="22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W73" s="181"/>
      <c r="AX73" s="181"/>
      <c r="AY73" s="181"/>
      <c r="AZ73" s="181"/>
      <c r="BA73" s="205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1"/>
      <c r="DQ73" s="181"/>
      <c r="DR73" s="181"/>
      <c r="DS73" s="181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1"/>
      <c r="ES73" s="181"/>
      <c r="ET73" s="181"/>
      <c r="EU73" s="181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1"/>
      <c r="FG73" s="181"/>
      <c r="FH73" s="181"/>
      <c r="FI73" s="181"/>
      <c r="FJ73" s="181"/>
      <c r="FK73" s="181"/>
      <c r="FL73" s="181"/>
      <c r="FM73" s="181"/>
      <c r="FN73" s="181"/>
      <c r="FO73" s="181"/>
      <c r="FP73" s="181"/>
      <c r="FQ73" s="181"/>
      <c r="FR73" s="181"/>
      <c r="FS73" s="181"/>
      <c r="FT73" s="181"/>
      <c r="FU73" s="181"/>
      <c r="FV73" s="181"/>
      <c r="FW73" s="181"/>
      <c r="FX73" s="181"/>
      <c r="FY73" s="181"/>
      <c r="FZ73" s="181"/>
      <c r="GA73" s="181"/>
      <c r="GB73" s="181"/>
      <c r="GC73" s="181"/>
      <c r="GD73" s="181"/>
      <c r="GE73" s="181"/>
      <c r="GF73" s="206"/>
      <c r="GG73" s="181"/>
      <c r="GH73" s="181"/>
      <c r="GI73" s="181"/>
      <c r="GJ73" s="181"/>
      <c r="GK73" s="181"/>
      <c r="GL73" s="181"/>
      <c r="GM73" s="181"/>
      <c r="GN73" s="181"/>
      <c r="GO73" s="181"/>
      <c r="GP73" s="181"/>
      <c r="GQ73" s="181"/>
      <c r="GR73" s="181"/>
      <c r="GS73" s="181"/>
      <c r="GT73" s="181"/>
      <c r="GU73" s="181"/>
      <c r="GV73" s="181"/>
      <c r="GW73" s="181"/>
      <c r="GX73" s="181"/>
      <c r="GY73" s="181"/>
      <c r="GZ73" s="181"/>
      <c r="HA73" s="181"/>
      <c r="HB73" s="181"/>
      <c r="HC73" s="181"/>
      <c r="HD73" s="181"/>
      <c r="HE73" s="181"/>
      <c r="HF73" s="181"/>
      <c r="HG73" s="181"/>
      <c r="HH73" s="181"/>
      <c r="HI73" s="181"/>
      <c r="HJ73" s="181"/>
      <c r="HK73" s="181"/>
      <c r="HL73" s="181"/>
      <c r="HM73" s="181"/>
      <c r="HN73" s="181"/>
      <c r="HO73" s="181"/>
      <c r="HP73" s="181"/>
      <c r="HQ73" s="181"/>
      <c r="HR73" s="181"/>
      <c r="HS73" s="181"/>
      <c r="HT73" s="181"/>
      <c r="HU73" s="181"/>
      <c r="HV73" s="181"/>
      <c r="HW73" s="181"/>
      <c r="HX73" s="181"/>
      <c r="HY73" s="181"/>
      <c r="HZ73" s="181"/>
      <c r="IA73" s="181"/>
      <c r="IB73" s="181"/>
      <c r="IC73" s="181"/>
      <c r="ID73" s="181"/>
      <c r="IE73" s="181"/>
      <c r="IF73" s="181"/>
      <c r="IG73" s="181"/>
      <c r="IH73" s="181"/>
      <c r="II73" s="181"/>
      <c r="IJ73" s="181"/>
    </row>
    <row r="74" spans="1:244" ht="15" customHeight="1">
      <c r="A74" s="6"/>
      <c r="B74" s="6"/>
      <c r="C74" s="22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W74" s="181"/>
      <c r="AX74" s="181"/>
      <c r="AY74" s="181"/>
      <c r="AZ74" s="181"/>
      <c r="BA74" s="205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1"/>
      <c r="GD74" s="181"/>
      <c r="GE74" s="181"/>
      <c r="GF74" s="206"/>
      <c r="GG74" s="181"/>
      <c r="GH74" s="181"/>
      <c r="GI74" s="181"/>
      <c r="GJ74" s="181"/>
      <c r="GK74" s="181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1"/>
      <c r="GW74" s="181"/>
      <c r="GX74" s="181"/>
      <c r="GY74" s="181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1"/>
      <c r="HK74" s="181"/>
      <c r="HL74" s="181"/>
      <c r="HM74" s="181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1"/>
      <c r="HY74" s="181"/>
      <c r="HZ74" s="181"/>
      <c r="IA74" s="181"/>
      <c r="IB74" s="181"/>
      <c r="IC74" s="181"/>
      <c r="ID74" s="181"/>
      <c r="IE74" s="181"/>
      <c r="IF74" s="181"/>
      <c r="IG74" s="181"/>
      <c r="IH74" s="181"/>
      <c r="II74" s="181"/>
      <c r="IJ74" s="181"/>
    </row>
    <row r="75" spans="1:244" ht="15" customHeight="1">
      <c r="A75" s="6"/>
      <c r="B75" s="6"/>
      <c r="C75" s="22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W75" s="181"/>
      <c r="AX75" s="181"/>
      <c r="AY75" s="181"/>
      <c r="AZ75" s="181"/>
      <c r="BA75" s="205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1"/>
      <c r="DQ75" s="181"/>
      <c r="DR75" s="181"/>
      <c r="DS75" s="181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1"/>
      <c r="EE75" s="181"/>
      <c r="EF75" s="181"/>
      <c r="EG75" s="181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1"/>
      <c r="FG75" s="181"/>
      <c r="FH75" s="181"/>
      <c r="FI75" s="181"/>
      <c r="FJ75" s="181"/>
      <c r="FK75" s="181"/>
      <c r="FL75" s="181"/>
      <c r="FM75" s="181"/>
      <c r="FN75" s="181"/>
      <c r="FO75" s="181"/>
      <c r="FP75" s="181"/>
      <c r="FQ75" s="181"/>
      <c r="FR75" s="181"/>
      <c r="FS75" s="181"/>
      <c r="FT75" s="181"/>
      <c r="FU75" s="181"/>
      <c r="FV75" s="181"/>
      <c r="FW75" s="181"/>
      <c r="FX75" s="181"/>
      <c r="FY75" s="181"/>
      <c r="FZ75" s="181"/>
      <c r="GA75" s="181"/>
      <c r="GB75" s="181"/>
      <c r="GC75" s="181"/>
      <c r="GD75" s="181"/>
      <c r="GE75" s="181"/>
      <c r="GF75" s="206"/>
      <c r="GG75" s="181"/>
      <c r="GH75" s="181"/>
      <c r="GI75" s="181"/>
      <c r="GJ75" s="181"/>
      <c r="GK75" s="181"/>
      <c r="GL75" s="181"/>
      <c r="GM75" s="181"/>
      <c r="GN75" s="181"/>
      <c r="GO75" s="181"/>
      <c r="GP75" s="181"/>
      <c r="GQ75" s="181"/>
      <c r="GR75" s="181"/>
      <c r="GS75" s="181"/>
      <c r="GT75" s="181"/>
      <c r="GU75" s="181"/>
      <c r="GV75" s="181"/>
      <c r="GW75" s="181"/>
      <c r="GX75" s="181"/>
      <c r="GY75" s="181"/>
      <c r="GZ75" s="181"/>
      <c r="HA75" s="181"/>
      <c r="HB75" s="181"/>
      <c r="HC75" s="181"/>
      <c r="HD75" s="181"/>
      <c r="HE75" s="181"/>
      <c r="HF75" s="181"/>
      <c r="HG75" s="181"/>
      <c r="HH75" s="181"/>
      <c r="HI75" s="181"/>
      <c r="HJ75" s="181"/>
      <c r="HK75" s="181"/>
      <c r="HL75" s="181"/>
      <c r="HM75" s="181"/>
      <c r="HN75" s="181"/>
      <c r="HO75" s="181"/>
      <c r="HP75" s="181"/>
      <c r="HQ75" s="181"/>
      <c r="HR75" s="181"/>
      <c r="HS75" s="181"/>
      <c r="HT75" s="181"/>
      <c r="HU75" s="181"/>
      <c r="HV75" s="181"/>
      <c r="HW75" s="181"/>
      <c r="HX75" s="181"/>
      <c r="HY75" s="181"/>
      <c r="HZ75" s="181"/>
      <c r="IA75" s="181"/>
      <c r="IB75" s="181"/>
      <c r="IC75" s="181"/>
      <c r="ID75" s="181"/>
      <c r="IE75" s="181"/>
      <c r="IF75" s="181"/>
      <c r="IG75" s="181"/>
      <c r="IH75" s="181"/>
      <c r="II75" s="181"/>
      <c r="IJ75" s="181"/>
    </row>
    <row r="76" spans="1:244" ht="15" customHeight="1">
      <c r="A76" s="6"/>
      <c r="B76" s="6"/>
      <c r="C76" s="22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GF76" s="229"/>
    </row>
    <row r="77" spans="1:244" ht="15" customHeight="1">
      <c r="A77" s="6"/>
      <c r="B77" s="6"/>
      <c r="C77" s="22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244" ht="15" customHeight="1">
      <c r="A78" s="6"/>
      <c r="B78" s="6"/>
      <c r="C78" s="22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244" ht="15" customHeight="1">
      <c r="A79" s="6"/>
      <c r="B79" s="6"/>
      <c r="C79" s="22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244">
      <c r="A80" s="6"/>
      <c r="B80" s="6"/>
      <c r="C80" s="22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>
      <c r="A81" s="6"/>
      <c r="B81" s="6"/>
      <c r="C81" s="22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>
      <c r="A82" s="6"/>
      <c r="B82" s="6"/>
      <c r="C82" s="22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>
      <c r="A83" s="6"/>
      <c r="B83" s="6"/>
      <c r="C83" s="22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>
      <c r="A84" s="6"/>
      <c r="B84" s="6"/>
      <c r="C84" s="22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>
      <c r="A85" s="6"/>
      <c r="B85" s="6"/>
      <c r="C85" s="22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>
      <c r="A86" s="6"/>
      <c r="B86" s="6"/>
      <c r="C86" s="22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>
      <c r="C87" s="230"/>
    </row>
    <row r="88" spans="1:34">
      <c r="C88" s="230"/>
    </row>
    <row r="89" spans="1:34">
      <c r="C89" s="230"/>
    </row>
    <row r="90" spans="1:34">
      <c r="C90" s="230"/>
    </row>
    <row r="91" spans="1:34">
      <c r="C91" s="230"/>
    </row>
    <row r="92" spans="1:34">
      <c r="C92" s="230"/>
    </row>
    <row r="93" spans="1:34">
      <c r="C93" s="230"/>
    </row>
    <row r="94" spans="1:34">
      <c r="C94" s="230"/>
    </row>
    <row r="95" spans="1:34">
      <c r="C95" s="230"/>
    </row>
    <row r="96" spans="1:34">
      <c r="C96" s="230"/>
    </row>
    <row r="97" spans="3:3">
      <c r="C97" s="230"/>
    </row>
    <row r="98" spans="3:3">
      <c r="C98" s="230"/>
    </row>
    <row r="99" spans="3:3">
      <c r="C99" s="230"/>
    </row>
    <row r="100" spans="3:3">
      <c r="C100" s="230"/>
    </row>
    <row r="101" spans="3:3">
      <c r="C101" s="230"/>
    </row>
    <row r="102" spans="3:3">
      <c r="C102" s="230"/>
    </row>
    <row r="103" spans="3:3">
      <c r="C103" s="230"/>
    </row>
    <row r="104" spans="3:3">
      <c r="C104" s="230"/>
    </row>
    <row r="105" spans="3:3">
      <c r="C105" s="230"/>
    </row>
    <row r="106" spans="3:3">
      <c r="C106" s="230"/>
    </row>
    <row r="107" spans="3:3">
      <c r="C107" s="230"/>
    </row>
    <row r="108" spans="3:3">
      <c r="C108" s="230"/>
    </row>
    <row r="109" spans="3:3">
      <c r="C109" s="230"/>
    </row>
    <row r="110" spans="3:3">
      <c r="C110" s="230"/>
    </row>
    <row r="111" spans="3:3">
      <c r="C111" s="230"/>
    </row>
    <row r="112" spans="3:3">
      <c r="C112" s="230"/>
    </row>
    <row r="113" spans="3:3">
      <c r="C113" s="230"/>
    </row>
    <row r="114" spans="3:3">
      <c r="C114" s="230"/>
    </row>
    <row r="115" spans="3:3">
      <c r="C115" s="230"/>
    </row>
    <row r="116" spans="3:3">
      <c r="C116" s="230"/>
    </row>
    <row r="117" spans="3:3">
      <c r="C117" s="230"/>
    </row>
    <row r="118" spans="3:3">
      <c r="C118" s="230"/>
    </row>
    <row r="119" spans="3:3">
      <c r="C119" s="230"/>
    </row>
    <row r="120" spans="3:3">
      <c r="C120" s="230"/>
    </row>
    <row r="121" spans="3:3">
      <c r="C121" s="230"/>
    </row>
    <row r="122" spans="3:3">
      <c r="C122" s="230"/>
    </row>
    <row r="123" spans="3:3">
      <c r="C123" s="230"/>
    </row>
    <row r="124" spans="3:3">
      <c r="C124" s="230"/>
    </row>
    <row r="125" spans="3:3">
      <c r="C125" s="230"/>
    </row>
    <row r="126" spans="3:3">
      <c r="C126" s="230"/>
    </row>
    <row r="127" spans="3:3">
      <c r="C127" s="230"/>
    </row>
    <row r="128" spans="3:3">
      <c r="C128" s="230"/>
    </row>
    <row r="129" spans="3:3">
      <c r="C129" s="230"/>
    </row>
    <row r="130" spans="3:3">
      <c r="C130" s="230"/>
    </row>
    <row r="131" spans="3:3">
      <c r="C131" s="230"/>
    </row>
    <row r="132" spans="3:3">
      <c r="C132" s="230"/>
    </row>
    <row r="133" spans="3:3">
      <c r="C133" s="230"/>
    </row>
    <row r="134" spans="3:3">
      <c r="C134" s="230"/>
    </row>
    <row r="135" spans="3:3">
      <c r="C135" s="230"/>
    </row>
    <row r="136" spans="3:3">
      <c r="C136" s="230"/>
    </row>
    <row r="137" spans="3:3">
      <c r="C137" s="230"/>
    </row>
    <row r="138" spans="3:3">
      <c r="C138" s="230"/>
    </row>
    <row r="139" spans="3:3">
      <c r="C139" s="230"/>
    </row>
    <row r="140" spans="3:3">
      <c r="C140" s="230"/>
    </row>
    <row r="141" spans="3:3">
      <c r="C141" s="230"/>
    </row>
    <row r="142" spans="3:3">
      <c r="C142" s="230"/>
    </row>
    <row r="143" spans="3:3">
      <c r="C143" s="230"/>
    </row>
    <row r="144" spans="3:3">
      <c r="C144" s="230"/>
    </row>
    <row r="145" spans="3:3">
      <c r="C145" s="230"/>
    </row>
    <row r="146" spans="3:3">
      <c r="C146" s="230"/>
    </row>
    <row r="147" spans="3:3">
      <c r="C147" s="230"/>
    </row>
    <row r="148" spans="3:3">
      <c r="C148" s="230"/>
    </row>
    <row r="149" spans="3:3">
      <c r="C149" s="230"/>
    </row>
    <row r="150" spans="3:3">
      <c r="C150" s="230"/>
    </row>
    <row r="151" spans="3:3">
      <c r="C151" s="230"/>
    </row>
    <row r="152" spans="3:3">
      <c r="C152" s="230"/>
    </row>
    <row r="153" spans="3:3">
      <c r="C153" s="230"/>
    </row>
    <row r="154" spans="3:3">
      <c r="C154" s="230"/>
    </row>
  </sheetData>
  <sheetProtection formatCells="0" formatColumns="0" formatRows="0" sort="0" autoFilter="0" pivotTables="0"/>
  <mergeCells count="46">
    <mergeCell ref="BB19:BF19"/>
    <mergeCell ref="N1:O1"/>
    <mergeCell ref="N2:O2"/>
    <mergeCell ref="I7:K7"/>
    <mergeCell ref="L18:M18"/>
    <mergeCell ref="H8:L8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W530"/>
  <sheetViews>
    <sheetView topLeftCell="E313" workbookViewId="0">
      <selection activeCell="O337" sqref="O337"/>
    </sheetView>
  </sheetViews>
  <sheetFormatPr defaultColWidth="9.140625" defaultRowHeight="12.75"/>
  <cols>
    <col min="1" max="1" width="2" style="140" customWidth="1"/>
    <col min="2" max="2" width="62" style="140" customWidth="1"/>
    <col min="3" max="3" width="63.140625" style="140" customWidth="1"/>
    <col min="4" max="4" width="41.7109375" style="140" customWidth="1"/>
    <col min="5" max="5" width="20" style="140" customWidth="1"/>
    <col min="6" max="6" width="8.5703125" style="140" customWidth="1"/>
    <col min="7" max="7" width="7.85546875" style="140" customWidth="1"/>
    <col min="8" max="8" width="6.42578125" style="140" customWidth="1"/>
    <col min="9" max="9" width="9" style="140" bestFit="1" customWidth="1"/>
    <col min="10" max="10" width="6.42578125" style="140" customWidth="1"/>
    <col min="11" max="11" width="9.28515625" style="140" customWidth="1"/>
    <col min="12" max="12" width="7.42578125" style="140" customWidth="1"/>
    <col min="13" max="13" width="17" style="140" customWidth="1"/>
    <col min="14" max="14" width="8.85546875" style="140" customWidth="1"/>
    <col min="15" max="15" width="83.140625" style="140" customWidth="1"/>
    <col min="16" max="16" width="6.42578125" style="140" customWidth="1"/>
    <col min="17" max="17" width="5.42578125" style="140" customWidth="1"/>
    <col min="18" max="18" width="6.42578125" style="140" customWidth="1"/>
    <col min="19" max="19" width="2.7109375" style="140" customWidth="1"/>
    <col min="20" max="20" width="6.5703125" style="140" customWidth="1"/>
    <col min="21" max="21" width="5.7109375" style="140" customWidth="1"/>
    <col min="22" max="22" width="11.7109375" style="19" customWidth="1"/>
    <col min="23" max="16384" width="9.140625" style="19"/>
  </cols>
  <sheetData>
    <row r="1" spans="1:3">
      <c r="A1" s="139">
        <v>2</v>
      </c>
      <c r="B1" s="140" t="s">
        <v>252</v>
      </c>
    </row>
    <row r="3" spans="1:3">
      <c r="B3" s="638" t="s">
        <v>197</v>
      </c>
      <c r="C3" s="638"/>
    </row>
    <row r="5" spans="1:3" ht="15" customHeight="1">
      <c r="B5" s="140" t="s">
        <v>200</v>
      </c>
      <c r="C5" s="140" t="s">
        <v>198</v>
      </c>
    </row>
    <row r="6" spans="1:3">
      <c r="B6" s="140" t="s">
        <v>201</v>
      </c>
      <c r="C6" s="140" t="s">
        <v>199</v>
      </c>
    </row>
    <row r="8" spans="1:3">
      <c r="B8" s="140" t="s">
        <v>209</v>
      </c>
      <c r="C8" s="140" t="s">
        <v>378</v>
      </c>
    </row>
    <row r="9" spans="1:3">
      <c r="B9" s="140" t="s">
        <v>207</v>
      </c>
      <c r="C9" s="140" t="s">
        <v>208</v>
      </c>
    </row>
    <row r="10" spans="1:3">
      <c r="B10" s="140" t="s">
        <v>214</v>
      </c>
      <c r="C10" s="140" t="s">
        <v>216</v>
      </c>
    </row>
    <row r="11" spans="1:3">
      <c r="B11" s="140" t="s">
        <v>215</v>
      </c>
      <c r="C11" s="140" t="s">
        <v>213</v>
      </c>
    </row>
    <row r="12" spans="1:3">
      <c r="B12" s="140" t="s">
        <v>217</v>
      </c>
      <c r="C12" s="140" t="s">
        <v>218</v>
      </c>
    </row>
    <row r="13" spans="1:3">
      <c r="B13" s="140" t="s">
        <v>212</v>
      </c>
      <c r="C13" s="140" t="s">
        <v>379</v>
      </c>
    </row>
    <row r="14" spans="1:3">
      <c r="B14" s="140" t="s">
        <v>380</v>
      </c>
      <c r="C14" s="140" t="s">
        <v>381</v>
      </c>
    </row>
    <row r="15" spans="1:3">
      <c r="B15" s="140" t="s">
        <v>210</v>
      </c>
      <c r="C15" s="140" t="s">
        <v>211</v>
      </c>
    </row>
    <row r="16" spans="1:3">
      <c r="B16" s="140" t="s">
        <v>202</v>
      </c>
      <c r="C16" s="140" t="s">
        <v>203</v>
      </c>
    </row>
    <row r="17" spans="2:3" ht="15" customHeight="1">
      <c r="B17" s="140" t="s">
        <v>204</v>
      </c>
      <c r="C17" s="140" t="s">
        <v>291</v>
      </c>
    </row>
    <row r="18" spans="2:3">
      <c r="B18" s="140" t="s">
        <v>382</v>
      </c>
      <c r="C18" s="140" t="s">
        <v>383</v>
      </c>
    </row>
    <row r="19" spans="2:3">
      <c r="B19" s="140" t="s">
        <v>292</v>
      </c>
      <c r="C19" s="140" t="s">
        <v>293</v>
      </c>
    </row>
    <row r="21" spans="2:3">
      <c r="B21" s="140" t="s">
        <v>222</v>
      </c>
      <c r="C21" s="140" t="s">
        <v>223</v>
      </c>
    </row>
    <row r="22" spans="2:3">
      <c r="B22" s="140" t="s">
        <v>205</v>
      </c>
      <c r="C22" s="140" t="s">
        <v>206</v>
      </c>
    </row>
    <row r="24" spans="2:3">
      <c r="B24" s="140" t="s">
        <v>332</v>
      </c>
    </row>
    <row r="25" spans="2:3">
      <c r="B25" s="140" t="s">
        <v>221</v>
      </c>
    </row>
    <row r="27" spans="2:3">
      <c r="B27" s="141" t="s">
        <v>173</v>
      </c>
    </row>
    <row r="28" spans="2:3">
      <c r="B28" s="141" t="s">
        <v>172</v>
      </c>
    </row>
    <row r="30" spans="2:3">
      <c r="B30" s="140" t="s">
        <v>219</v>
      </c>
    </row>
    <row r="31" spans="2:3">
      <c r="B31" s="140" t="s">
        <v>220</v>
      </c>
    </row>
    <row r="37" spans="2:20">
      <c r="B37" s="638" t="s">
        <v>245</v>
      </c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</row>
    <row r="40" spans="2:20" ht="12.75" customHeight="1">
      <c r="B40" s="643" t="s">
        <v>240</v>
      </c>
      <c r="C40" s="643"/>
      <c r="D40" s="644" t="s">
        <v>246</v>
      </c>
      <c r="E40" s="644"/>
      <c r="F40" s="643" t="s">
        <v>241</v>
      </c>
      <c r="G40" s="643"/>
      <c r="H40" s="643"/>
      <c r="I40" s="43" t="s">
        <v>242</v>
      </c>
      <c r="J40" s="643" t="s">
        <v>243</v>
      </c>
      <c r="K40" s="643"/>
      <c r="L40" s="643"/>
      <c r="M40" s="643" t="s">
        <v>244</v>
      </c>
      <c r="N40" s="643"/>
      <c r="O40" s="643"/>
      <c r="P40" s="643"/>
    </row>
    <row r="41" spans="2:20">
      <c r="B41" s="643"/>
      <c r="C41" s="643"/>
      <c r="D41" s="644"/>
      <c r="E41" s="644"/>
      <c r="F41" s="142">
        <v>2008</v>
      </c>
      <c r="G41" s="143">
        <v>2009</v>
      </c>
      <c r="H41" s="143">
        <v>2010</v>
      </c>
      <c r="I41" s="143">
        <v>2011</v>
      </c>
      <c r="J41" s="143">
        <v>2012</v>
      </c>
      <c r="K41" s="143">
        <v>2013</v>
      </c>
      <c r="L41" s="143">
        <v>2014</v>
      </c>
      <c r="M41" s="143">
        <v>2011</v>
      </c>
      <c r="N41" s="143">
        <v>2012</v>
      </c>
      <c r="O41" s="143">
        <v>2013</v>
      </c>
      <c r="P41" s="143">
        <v>2014</v>
      </c>
    </row>
    <row r="42" spans="2:20" ht="12.75" customHeight="1">
      <c r="B42" s="642" t="s">
        <v>224</v>
      </c>
      <c r="C42" s="144" t="s">
        <v>225</v>
      </c>
      <c r="D42" s="639" t="s">
        <v>182</v>
      </c>
      <c r="E42" s="145" t="s">
        <v>183</v>
      </c>
      <c r="F42" s="639" t="s">
        <v>248</v>
      </c>
      <c r="G42" s="639"/>
      <c r="H42" s="639"/>
      <c r="I42" s="146" t="s">
        <v>249</v>
      </c>
      <c r="J42" s="641" t="s">
        <v>250</v>
      </c>
      <c r="K42" s="641"/>
      <c r="L42" s="641"/>
      <c r="M42" s="639" t="s">
        <v>251</v>
      </c>
      <c r="N42" s="639"/>
      <c r="O42" s="639"/>
      <c r="P42" s="639"/>
    </row>
    <row r="43" spans="2:20">
      <c r="B43" s="642"/>
      <c r="C43" s="147" t="s">
        <v>226</v>
      </c>
      <c r="D43" s="639"/>
      <c r="E43" s="145" t="s">
        <v>184</v>
      </c>
      <c r="G43" s="145"/>
      <c r="H43" s="145"/>
      <c r="I43" s="146"/>
      <c r="J43" s="145"/>
      <c r="K43" s="146"/>
      <c r="L43" s="145"/>
      <c r="M43" s="146"/>
      <c r="N43" s="145"/>
    </row>
    <row r="44" spans="2:20">
      <c r="B44" s="642"/>
      <c r="C44" s="144" t="s">
        <v>227</v>
      </c>
      <c r="D44" s="639"/>
      <c r="E44" s="145" t="s">
        <v>185</v>
      </c>
      <c r="F44" s="145"/>
      <c r="G44" s="146"/>
      <c r="H44" s="145"/>
      <c r="I44" s="146"/>
      <c r="J44" s="146"/>
      <c r="K44" s="146"/>
      <c r="L44" s="145"/>
      <c r="M44" s="145"/>
      <c r="N44" s="145"/>
    </row>
    <row r="45" spans="2:20">
      <c r="B45" s="642"/>
      <c r="C45" s="144" t="s">
        <v>228</v>
      </c>
      <c r="D45" s="639"/>
      <c r="E45" s="146" t="s">
        <v>186</v>
      </c>
      <c r="F45" s="146"/>
      <c r="G45" s="146"/>
      <c r="H45" s="146"/>
      <c r="I45" s="146"/>
      <c r="J45" s="146"/>
      <c r="K45" s="146"/>
      <c r="L45" s="146"/>
      <c r="M45" s="146"/>
      <c r="N45" s="146"/>
    </row>
    <row r="46" spans="2:20">
      <c r="B46" s="642"/>
      <c r="C46" s="144" t="s">
        <v>229</v>
      </c>
      <c r="D46" s="639"/>
      <c r="E46" s="146" t="s">
        <v>187</v>
      </c>
      <c r="F46" s="146"/>
      <c r="G46" s="146"/>
      <c r="H46" s="146"/>
      <c r="I46" s="146"/>
      <c r="J46" s="146"/>
      <c r="K46" s="146"/>
      <c r="L46" s="146"/>
      <c r="M46" s="146"/>
      <c r="N46" s="146"/>
    </row>
    <row r="47" spans="2:20">
      <c r="B47" s="642"/>
      <c r="C47" s="144" t="s">
        <v>230</v>
      </c>
      <c r="D47" s="639"/>
      <c r="E47" s="145" t="s">
        <v>188</v>
      </c>
      <c r="F47" s="146"/>
      <c r="G47" s="146"/>
      <c r="H47" s="146"/>
      <c r="I47" s="145"/>
      <c r="J47" s="145"/>
      <c r="K47" s="145"/>
      <c r="L47" s="145"/>
      <c r="M47" s="145"/>
      <c r="N47" s="145"/>
    </row>
    <row r="48" spans="2:20">
      <c r="B48" s="642"/>
      <c r="C48" s="144" t="s">
        <v>231</v>
      </c>
      <c r="D48" s="639"/>
      <c r="E48" s="146" t="s">
        <v>189</v>
      </c>
      <c r="F48" s="146"/>
      <c r="G48" s="146"/>
      <c r="H48" s="146"/>
      <c r="I48" s="146"/>
      <c r="J48" s="146"/>
      <c r="K48" s="146"/>
      <c r="L48" s="146"/>
      <c r="M48" s="146"/>
      <c r="N48" s="146"/>
    </row>
    <row r="49" spans="2:20">
      <c r="B49" s="642"/>
      <c r="C49" s="148" t="s">
        <v>232</v>
      </c>
      <c r="D49" s="639"/>
      <c r="E49" s="145" t="s">
        <v>247</v>
      </c>
      <c r="F49" s="146"/>
      <c r="G49" s="145"/>
      <c r="H49" s="145"/>
      <c r="I49" s="145"/>
      <c r="J49" s="145"/>
      <c r="K49" s="145"/>
      <c r="L49" s="145"/>
      <c r="M49" s="145"/>
      <c r="N49" s="145"/>
    </row>
    <row r="50" spans="2:20">
      <c r="B50" s="642"/>
      <c r="C50" s="144" t="s">
        <v>233</v>
      </c>
      <c r="D50" s="639"/>
      <c r="E50" s="146" t="s">
        <v>190</v>
      </c>
      <c r="F50" s="146"/>
      <c r="G50" s="146"/>
      <c r="H50" s="146"/>
      <c r="I50" s="146"/>
      <c r="J50" s="146"/>
      <c r="K50" s="146"/>
      <c r="L50" s="146"/>
      <c r="M50" s="146"/>
      <c r="N50" s="146"/>
    </row>
    <row r="51" spans="2:20">
      <c r="B51" s="642"/>
      <c r="C51" s="144" t="s">
        <v>398</v>
      </c>
      <c r="D51" s="639"/>
      <c r="E51" s="146" t="s">
        <v>399</v>
      </c>
      <c r="F51" s="146"/>
      <c r="G51" s="146"/>
      <c r="H51" s="146"/>
      <c r="I51" s="146"/>
      <c r="J51" s="146"/>
      <c r="K51" s="146"/>
      <c r="L51" s="146"/>
      <c r="M51" s="146"/>
      <c r="N51" s="146"/>
    </row>
    <row r="52" spans="2:20" ht="12.75" customHeight="1">
      <c r="B52" s="640" t="s">
        <v>234</v>
      </c>
      <c r="C52" s="149" t="s">
        <v>235</v>
      </c>
      <c r="D52" s="639" t="s">
        <v>191</v>
      </c>
      <c r="E52" s="146" t="s">
        <v>192</v>
      </c>
      <c r="F52" s="146"/>
      <c r="G52" s="146"/>
      <c r="H52" s="146"/>
      <c r="I52" s="146"/>
      <c r="J52" s="146"/>
      <c r="K52" s="146"/>
      <c r="L52" s="146"/>
      <c r="M52" s="146"/>
      <c r="N52" s="146"/>
    </row>
    <row r="53" spans="2:20">
      <c r="B53" s="640"/>
      <c r="C53" s="149" t="s">
        <v>236</v>
      </c>
      <c r="D53" s="639"/>
      <c r="E53" s="146" t="s">
        <v>193</v>
      </c>
      <c r="F53" s="146"/>
      <c r="G53" s="146"/>
      <c r="H53" s="146"/>
      <c r="I53" s="146"/>
      <c r="J53" s="146"/>
      <c r="K53" s="146"/>
      <c r="L53" s="146"/>
      <c r="M53" s="146"/>
      <c r="N53" s="146"/>
    </row>
    <row r="54" spans="2:20">
      <c r="B54" s="640"/>
      <c r="C54" s="149" t="s">
        <v>237</v>
      </c>
      <c r="D54" s="639"/>
      <c r="E54" s="146" t="s">
        <v>387</v>
      </c>
      <c r="F54" s="146"/>
      <c r="G54" s="146"/>
      <c r="H54" s="146"/>
      <c r="I54" s="146"/>
      <c r="J54" s="146"/>
      <c r="K54" s="145"/>
      <c r="L54" s="146"/>
      <c r="M54" s="146"/>
      <c r="N54" s="146"/>
    </row>
    <row r="55" spans="2:20">
      <c r="B55" s="640"/>
      <c r="C55" s="149" t="s">
        <v>388</v>
      </c>
      <c r="D55" s="639"/>
      <c r="E55" s="149" t="s">
        <v>390</v>
      </c>
      <c r="F55" s="146"/>
      <c r="G55" s="146"/>
      <c r="H55" s="146"/>
      <c r="I55" s="146"/>
      <c r="J55" s="146"/>
      <c r="K55" s="145"/>
      <c r="L55" s="146"/>
      <c r="M55" s="146"/>
      <c r="N55" s="146"/>
    </row>
    <row r="56" spans="2:20">
      <c r="B56" s="640"/>
      <c r="C56" s="149" t="s">
        <v>80</v>
      </c>
      <c r="D56" s="639"/>
      <c r="E56" s="146" t="s">
        <v>194</v>
      </c>
      <c r="F56" s="146"/>
      <c r="G56" s="145"/>
      <c r="H56" s="150"/>
      <c r="I56" s="150"/>
      <c r="J56" s="150"/>
      <c r="K56" s="150"/>
      <c r="L56" s="150"/>
      <c r="M56" s="150"/>
      <c r="N56" s="145"/>
    </row>
    <row r="57" spans="2:20">
      <c r="B57" s="640"/>
      <c r="C57" s="149" t="s">
        <v>238</v>
      </c>
      <c r="D57" s="639"/>
      <c r="E57" s="146" t="s">
        <v>195</v>
      </c>
      <c r="F57" s="146"/>
      <c r="G57" s="146"/>
      <c r="H57" s="146"/>
      <c r="I57" s="146"/>
      <c r="J57" s="150"/>
      <c r="K57" s="145"/>
      <c r="L57" s="146"/>
      <c r="M57" s="146"/>
      <c r="N57" s="146"/>
    </row>
    <row r="58" spans="2:20">
      <c r="B58" s="640"/>
      <c r="C58" s="149" t="s">
        <v>389</v>
      </c>
      <c r="D58" s="639"/>
      <c r="E58" s="146" t="s">
        <v>391</v>
      </c>
      <c r="F58" s="146"/>
      <c r="G58" s="146"/>
      <c r="H58" s="146"/>
      <c r="I58" s="146"/>
      <c r="J58" s="150"/>
      <c r="K58" s="145"/>
      <c r="L58" s="146"/>
      <c r="M58" s="146"/>
      <c r="N58" s="146"/>
    </row>
    <row r="59" spans="2:20">
      <c r="B59" s="640"/>
      <c r="C59" s="149" t="s">
        <v>239</v>
      </c>
      <c r="D59" s="639"/>
      <c r="E59" s="146" t="s">
        <v>196</v>
      </c>
      <c r="F59" s="146"/>
      <c r="G59" s="146"/>
      <c r="H59" s="146"/>
      <c r="I59" s="146"/>
      <c r="J59" s="146"/>
      <c r="K59" s="146"/>
      <c r="L59" s="150"/>
      <c r="M59" s="146"/>
      <c r="N59" s="146"/>
    </row>
    <row r="60" spans="2:20">
      <c r="B60" s="140" t="s">
        <v>334</v>
      </c>
      <c r="D60" s="140" t="s">
        <v>333</v>
      </c>
    </row>
    <row r="62" spans="2:20">
      <c r="B62" s="638" t="s">
        <v>253</v>
      </c>
      <c r="C62" s="638"/>
      <c r="D62" s="638"/>
      <c r="E62" s="638"/>
      <c r="F62" s="638"/>
      <c r="G62" s="638"/>
      <c r="H62" s="638"/>
      <c r="I62" s="638"/>
      <c r="J62" s="638"/>
      <c r="K62" s="638"/>
      <c r="L62" s="638"/>
      <c r="M62" s="638"/>
      <c r="N62" s="638"/>
      <c r="O62" s="638"/>
      <c r="P62" s="638"/>
      <c r="Q62" s="638"/>
      <c r="R62" s="638"/>
      <c r="S62" s="638"/>
      <c r="T62" s="638"/>
    </row>
    <row r="66" spans="2:22">
      <c r="B66" s="140" t="s">
        <v>384</v>
      </c>
    </row>
    <row r="67" spans="2:22">
      <c r="B67" s="140" t="s">
        <v>385</v>
      </c>
      <c r="M67" s="140" t="s">
        <v>349</v>
      </c>
      <c r="O67" s="140" t="s">
        <v>401</v>
      </c>
    </row>
    <row r="68" spans="2:22">
      <c r="D68" s="151"/>
      <c r="E68" s="152"/>
      <c r="F68" s="151"/>
      <c r="G68" s="152"/>
      <c r="H68" s="151"/>
      <c r="I68" s="152"/>
      <c r="J68" s="151"/>
      <c r="K68" s="152"/>
      <c r="L68" s="151"/>
      <c r="M68" s="152" t="s">
        <v>348</v>
      </c>
      <c r="N68" s="151"/>
      <c r="O68" s="152" t="s">
        <v>402</v>
      </c>
      <c r="P68" s="151"/>
      <c r="Q68" s="152"/>
      <c r="R68" s="151"/>
      <c r="S68" s="152"/>
      <c r="T68" s="151"/>
    </row>
    <row r="69" spans="2:22">
      <c r="C69" s="133">
        <v>2006</v>
      </c>
      <c r="D69" s="133"/>
      <c r="E69" s="133">
        <v>2007</v>
      </c>
      <c r="F69" s="133"/>
      <c r="G69" s="133">
        <v>2008</v>
      </c>
      <c r="H69" s="133"/>
      <c r="I69" s="133">
        <v>2009</v>
      </c>
      <c r="J69" s="133"/>
      <c r="K69" s="133">
        <v>2010</v>
      </c>
      <c r="L69" s="133"/>
      <c r="M69" s="133">
        <v>2011</v>
      </c>
      <c r="N69" s="133"/>
      <c r="O69" s="133">
        <v>2012</v>
      </c>
      <c r="P69" s="133"/>
      <c r="Q69" s="133">
        <v>2013</v>
      </c>
      <c r="R69" s="133"/>
      <c r="S69" s="133">
        <v>2014</v>
      </c>
      <c r="T69" s="133"/>
      <c r="U69" s="140">
        <v>2015</v>
      </c>
    </row>
    <row r="70" spans="2:22">
      <c r="B70" s="134" t="s">
        <v>127</v>
      </c>
      <c r="C70" s="135" t="s">
        <v>264</v>
      </c>
      <c r="D70" s="135" t="s">
        <v>150</v>
      </c>
      <c r="E70" s="135" t="s">
        <v>264</v>
      </c>
      <c r="F70" s="135" t="s">
        <v>150</v>
      </c>
      <c r="G70" s="135" t="s">
        <v>264</v>
      </c>
      <c r="H70" s="135" t="s">
        <v>150</v>
      </c>
      <c r="I70" s="135" t="s">
        <v>264</v>
      </c>
      <c r="J70" s="135" t="s">
        <v>150</v>
      </c>
      <c r="K70" s="135" t="s">
        <v>264</v>
      </c>
      <c r="L70" s="135" t="s">
        <v>150</v>
      </c>
      <c r="M70" s="135" t="s">
        <v>264</v>
      </c>
      <c r="N70" s="135" t="s">
        <v>150</v>
      </c>
      <c r="O70" s="135" t="s">
        <v>264</v>
      </c>
      <c r="P70" s="135" t="s">
        <v>150</v>
      </c>
      <c r="Q70" s="135" t="s">
        <v>264</v>
      </c>
      <c r="R70" s="135" t="s">
        <v>150</v>
      </c>
      <c r="S70" s="135" t="s">
        <v>264</v>
      </c>
      <c r="T70" s="135" t="s">
        <v>150</v>
      </c>
      <c r="U70" s="135" t="s">
        <v>264</v>
      </c>
      <c r="V70" s="44" t="s">
        <v>150</v>
      </c>
    </row>
    <row r="71" spans="2:22">
      <c r="B71" s="134" t="s">
        <v>254</v>
      </c>
      <c r="C71" s="135" t="s">
        <v>264</v>
      </c>
      <c r="D71" s="135" t="s">
        <v>167</v>
      </c>
      <c r="E71" s="135" t="s">
        <v>264</v>
      </c>
      <c r="F71" s="135" t="s">
        <v>167</v>
      </c>
      <c r="G71" s="135" t="s">
        <v>264</v>
      </c>
      <c r="H71" s="135" t="s">
        <v>167</v>
      </c>
      <c r="I71" s="135" t="s">
        <v>264</v>
      </c>
      <c r="J71" s="135" t="s">
        <v>167</v>
      </c>
      <c r="K71" s="135" t="s">
        <v>264</v>
      </c>
      <c r="L71" s="135" t="s">
        <v>167</v>
      </c>
      <c r="M71" s="135" t="s">
        <v>264</v>
      </c>
      <c r="N71" s="135" t="s">
        <v>167</v>
      </c>
      <c r="O71" s="135" t="s">
        <v>264</v>
      </c>
      <c r="P71" s="135" t="s">
        <v>167</v>
      </c>
      <c r="Q71" s="135" t="s">
        <v>264</v>
      </c>
      <c r="R71" s="135" t="s">
        <v>167</v>
      </c>
      <c r="S71" s="135" t="s">
        <v>264</v>
      </c>
      <c r="T71" s="135" t="s">
        <v>167</v>
      </c>
      <c r="U71" s="135" t="s">
        <v>264</v>
      </c>
      <c r="V71" s="44" t="s">
        <v>167</v>
      </c>
    </row>
    <row r="72" spans="2:22">
      <c r="B72" s="136" t="s">
        <v>128</v>
      </c>
      <c r="C72" s="152" t="s">
        <v>1</v>
      </c>
      <c r="D72" s="153"/>
      <c r="E72" s="154"/>
      <c r="F72" s="153"/>
      <c r="G72" s="154"/>
      <c r="H72" s="153"/>
      <c r="I72" s="154"/>
      <c r="J72" s="153"/>
      <c r="K72" s="154"/>
      <c r="L72" s="153"/>
      <c r="M72" s="154"/>
      <c r="N72" s="153"/>
      <c r="O72" s="154"/>
      <c r="P72" s="153"/>
      <c r="Q72" s="154"/>
      <c r="R72" s="153"/>
      <c r="S72" s="154"/>
      <c r="T72" s="153"/>
    </row>
    <row r="73" spans="2:22">
      <c r="B73" s="136" t="s">
        <v>2</v>
      </c>
      <c r="C73" s="152" t="s">
        <v>168</v>
      </c>
      <c r="D73" s="151"/>
      <c r="E73" s="152"/>
      <c r="F73" s="151"/>
      <c r="G73" s="152"/>
      <c r="H73" s="151"/>
      <c r="I73" s="152"/>
      <c r="J73" s="151"/>
      <c r="K73" s="152"/>
      <c r="L73" s="151"/>
      <c r="M73" s="152"/>
      <c r="N73" s="151"/>
      <c r="O73" s="152"/>
      <c r="P73" s="151"/>
      <c r="Q73" s="152"/>
      <c r="R73" s="151"/>
      <c r="S73" s="152"/>
      <c r="T73" s="151"/>
    </row>
    <row r="74" spans="2:22">
      <c r="B74" s="137" t="s">
        <v>3</v>
      </c>
      <c r="C74" s="152" t="s">
        <v>69</v>
      </c>
      <c r="D74" s="151"/>
      <c r="E74" s="152"/>
      <c r="F74" s="151"/>
      <c r="G74" s="152"/>
      <c r="H74" s="151"/>
      <c r="I74" s="152"/>
      <c r="J74" s="151"/>
      <c r="K74" s="152"/>
      <c r="L74" s="151"/>
      <c r="M74" s="152"/>
      <c r="N74" s="151"/>
      <c r="O74" s="152"/>
      <c r="P74" s="151"/>
      <c r="Q74" s="152"/>
      <c r="R74" s="151"/>
      <c r="S74" s="152"/>
      <c r="T74" s="151"/>
    </row>
    <row r="75" spans="2:22">
      <c r="B75" s="136" t="s">
        <v>5</v>
      </c>
      <c r="C75" s="152" t="s">
        <v>255</v>
      </c>
      <c r="D75" s="151"/>
      <c r="E75" s="152"/>
      <c r="F75" s="151"/>
      <c r="G75" s="152"/>
      <c r="H75" s="151"/>
      <c r="I75" s="152"/>
      <c r="J75" s="151"/>
      <c r="K75" s="152"/>
      <c r="L75" s="151"/>
      <c r="M75" s="152"/>
      <c r="N75" s="151"/>
      <c r="O75" s="152"/>
      <c r="P75" s="151"/>
      <c r="Q75" s="152"/>
      <c r="R75" s="151"/>
      <c r="S75" s="152"/>
      <c r="T75" s="151"/>
    </row>
    <row r="76" spans="2:22">
      <c r="B76" s="136" t="s">
        <v>7</v>
      </c>
      <c r="C76" s="155" t="s">
        <v>8</v>
      </c>
      <c r="D76" s="151"/>
      <c r="E76" s="152"/>
      <c r="F76" s="151"/>
      <c r="G76" s="152"/>
      <c r="H76" s="151"/>
      <c r="I76" s="152"/>
      <c r="J76" s="151"/>
      <c r="K76" s="152"/>
      <c r="L76" s="151"/>
      <c r="M76" s="152"/>
      <c r="N76" s="151"/>
      <c r="O76" s="152"/>
      <c r="P76" s="151"/>
      <c r="Q76" s="152"/>
      <c r="R76" s="151"/>
      <c r="S76" s="152"/>
      <c r="T76" s="151"/>
    </row>
    <row r="77" spans="2:22">
      <c r="B77" s="136" t="s">
        <v>9</v>
      </c>
      <c r="C77" s="155" t="s">
        <v>10</v>
      </c>
      <c r="D77" s="153"/>
      <c r="E77" s="154"/>
      <c r="F77" s="153"/>
      <c r="G77" s="154"/>
      <c r="H77" s="153"/>
      <c r="I77" s="154"/>
      <c r="J77" s="153"/>
      <c r="K77" s="154"/>
      <c r="L77" s="153"/>
      <c r="M77" s="154"/>
      <c r="N77" s="153"/>
      <c r="O77" s="154"/>
      <c r="P77" s="153"/>
      <c r="Q77" s="154"/>
      <c r="R77" s="153"/>
      <c r="S77" s="154"/>
      <c r="T77" s="153"/>
    </row>
    <row r="78" spans="2:22">
      <c r="B78" s="136" t="s">
        <v>12</v>
      </c>
      <c r="C78" s="155" t="s">
        <v>13</v>
      </c>
      <c r="D78" s="153"/>
      <c r="E78" s="152"/>
      <c r="F78" s="153"/>
      <c r="G78" s="152"/>
      <c r="H78" s="153"/>
      <c r="I78" s="152"/>
      <c r="J78" s="153"/>
      <c r="K78" s="152"/>
      <c r="L78" s="153"/>
      <c r="M78" s="152"/>
      <c r="N78" s="153"/>
      <c r="O78" s="152"/>
      <c r="P78" s="153"/>
      <c r="Q78" s="152"/>
      <c r="R78" s="153"/>
      <c r="S78" s="152"/>
      <c r="T78" s="153"/>
    </row>
    <row r="79" spans="2:22">
      <c r="B79" s="136" t="s">
        <v>14</v>
      </c>
      <c r="C79" s="155" t="s">
        <v>15</v>
      </c>
      <c r="D79" s="153"/>
      <c r="E79" s="152"/>
      <c r="F79" s="153"/>
      <c r="G79" s="152"/>
      <c r="H79" s="153"/>
      <c r="I79" s="152"/>
      <c r="J79" s="153"/>
      <c r="K79" s="152"/>
      <c r="L79" s="153"/>
      <c r="M79" s="152"/>
      <c r="N79" s="153"/>
      <c r="O79" s="152"/>
      <c r="P79" s="153"/>
      <c r="Q79" s="152"/>
      <c r="R79" s="153"/>
      <c r="S79" s="152"/>
      <c r="T79" s="153"/>
    </row>
    <row r="80" spans="2:22">
      <c r="B80" s="136" t="s">
        <v>17</v>
      </c>
      <c r="C80" s="155" t="s">
        <v>18</v>
      </c>
      <c r="D80" s="153"/>
      <c r="E80" s="152"/>
      <c r="F80" s="153"/>
      <c r="G80" s="152"/>
      <c r="H80" s="153"/>
      <c r="I80" s="152"/>
      <c r="J80" s="153"/>
      <c r="K80" s="152"/>
      <c r="L80" s="153"/>
      <c r="M80" s="152"/>
      <c r="N80" s="153"/>
      <c r="O80" s="152"/>
      <c r="P80" s="153"/>
      <c r="Q80" s="152"/>
      <c r="R80" s="153"/>
      <c r="S80" s="152"/>
      <c r="T80" s="153"/>
    </row>
    <row r="81" spans="2:20">
      <c r="B81" s="136" t="s">
        <v>19</v>
      </c>
      <c r="C81" s="155" t="s">
        <v>20</v>
      </c>
      <c r="D81" s="153"/>
      <c r="E81" s="152"/>
      <c r="F81" s="153"/>
      <c r="G81" s="152"/>
      <c r="H81" s="153"/>
      <c r="I81" s="152"/>
      <c r="J81" s="153"/>
      <c r="K81" s="152"/>
      <c r="L81" s="153"/>
      <c r="M81" s="152"/>
      <c r="N81" s="153"/>
      <c r="O81" s="152"/>
      <c r="P81" s="153"/>
      <c r="Q81" s="152"/>
      <c r="R81" s="153"/>
      <c r="S81" s="152"/>
      <c r="T81" s="153"/>
    </row>
    <row r="82" spans="2:20">
      <c r="B82" s="136" t="s">
        <v>21</v>
      </c>
      <c r="C82" s="155" t="s">
        <v>22</v>
      </c>
      <c r="D82" s="153"/>
      <c r="E82" s="154"/>
      <c r="F82" s="153"/>
      <c r="G82" s="154"/>
      <c r="H82" s="153"/>
      <c r="I82" s="154"/>
      <c r="J82" s="153"/>
      <c r="K82" s="154"/>
      <c r="L82" s="153"/>
      <c r="M82" s="154"/>
      <c r="N82" s="153"/>
      <c r="O82" s="154"/>
      <c r="P82" s="153"/>
      <c r="Q82" s="154"/>
      <c r="R82" s="153"/>
      <c r="S82" s="154"/>
      <c r="T82" s="153"/>
    </row>
    <row r="83" spans="2:20">
      <c r="B83" s="136" t="s">
        <v>23</v>
      </c>
      <c r="C83" s="155" t="s">
        <v>24</v>
      </c>
      <c r="D83" s="153"/>
      <c r="E83" s="152"/>
      <c r="F83" s="153"/>
      <c r="G83" s="152"/>
      <c r="H83" s="153"/>
      <c r="I83" s="152"/>
      <c r="J83" s="153"/>
      <c r="K83" s="152"/>
      <c r="L83" s="153"/>
      <c r="M83" s="152"/>
      <c r="N83" s="153"/>
      <c r="O83" s="152"/>
      <c r="P83" s="153"/>
      <c r="Q83" s="152"/>
      <c r="R83" s="153"/>
      <c r="S83" s="152"/>
      <c r="T83" s="153"/>
    </row>
    <row r="84" spans="2:20">
      <c r="B84" s="136" t="s">
        <v>25</v>
      </c>
      <c r="C84" s="155" t="s">
        <v>26</v>
      </c>
      <c r="D84" s="153"/>
      <c r="E84" s="152"/>
      <c r="F84" s="153"/>
      <c r="G84" s="152"/>
      <c r="H84" s="153"/>
      <c r="I84" s="152"/>
      <c r="J84" s="153"/>
      <c r="K84" s="152"/>
      <c r="L84" s="153"/>
      <c r="M84" s="152"/>
      <c r="N84" s="153"/>
      <c r="O84" s="152"/>
      <c r="P84" s="153"/>
      <c r="Q84" s="152"/>
      <c r="R84" s="153"/>
      <c r="S84" s="152"/>
      <c r="T84" s="153"/>
    </row>
    <row r="85" spans="2:20">
      <c r="B85" s="136" t="s">
        <v>27</v>
      </c>
      <c r="C85" s="155" t="s">
        <v>28</v>
      </c>
      <c r="D85" s="153"/>
      <c r="E85" s="152"/>
      <c r="F85" s="153"/>
      <c r="G85" s="152"/>
      <c r="H85" s="153"/>
      <c r="I85" s="152"/>
      <c r="J85" s="153"/>
      <c r="K85" s="152"/>
      <c r="L85" s="153"/>
      <c r="M85" s="152"/>
      <c r="N85" s="153"/>
      <c r="O85" s="152"/>
      <c r="P85" s="153"/>
      <c r="Q85" s="152"/>
      <c r="R85" s="153"/>
      <c r="S85" s="152"/>
      <c r="T85" s="153"/>
    </row>
    <row r="86" spans="2:20">
      <c r="B86" s="136" t="s">
        <v>29</v>
      </c>
      <c r="C86" s="155" t="s">
        <v>30</v>
      </c>
      <c r="D86" s="153"/>
      <c r="E86" s="152"/>
      <c r="F86" s="153"/>
      <c r="G86" s="152"/>
      <c r="H86" s="153"/>
      <c r="I86" s="152"/>
      <c r="J86" s="153"/>
      <c r="K86" s="152"/>
      <c r="L86" s="153"/>
      <c r="M86" s="152"/>
      <c r="N86" s="153"/>
      <c r="O86" s="152"/>
      <c r="P86" s="153"/>
      <c r="Q86" s="152"/>
      <c r="R86" s="153"/>
      <c r="S86" s="152"/>
      <c r="T86" s="153"/>
    </row>
    <row r="87" spans="2:20">
      <c r="B87" s="136" t="s">
        <v>31</v>
      </c>
      <c r="C87" s="155" t="s">
        <v>176</v>
      </c>
      <c r="D87" s="153"/>
      <c r="E87" s="152"/>
      <c r="F87" s="153"/>
      <c r="G87" s="152"/>
      <c r="H87" s="153"/>
      <c r="I87" s="152"/>
      <c r="J87" s="153"/>
      <c r="K87" s="152"/>
      <c r="L87" s="153"/>
      <c r="M87" s="152"/>
      <c r="N87" s="153"/>
      <c r="O87" s="152"/>
      <c r="P87" s="153"/>
      <c r="Q87" s="152"/>
      <c r="R87" s="153"/>
      <c r="S87" s="152"/>
      <c r="T87" s="153"/>
    </row>
    <row r="88" spans="2:20">
      <c r="B88" s="136" t="s">
        <v>32</v>
      </c>
      <c r="C88" s="141" t="s">
        <v>33</v>
      </c>
      <c r="D88" s="153"/>
      <c r="E88" s="152"/>
      <c r="F88" s="153"/>
      <c r="G88" s="152"/>
      <c r="H88" s="153"/>
      <c r="I88" s="152"/>
      <c r="J88" s="153"/>
      <c r="K88" s="152"/>
      <c r="L88" s="153"/>
      <c r="M88" s="152"/>
      <c r="N88" s="153"/>
      <c r="O88" s="152"/>
      <c r="P88" s="153"/>
      <c r="Q88" s="152"/>
      <c r="R88" s="153"/>
      <c r="S88" s="152"/>
      <c r="T88" s="153"/>
    </row>
    <row r="89" spans="2:20">
      <c r="B89" s="136" t="s">
        <v>34</v>
      </c>
      <c r="C89" s="141" t="s">
        <v>35</v>
      </c>
      <c r="D89" s="153"/>
      <c r="E89" s="154"/>
      <c r="F89" s="153"/>
      <c r="G89" s="154"/>
      <c r="H89" s="153"/>
      <c r="I89" s="154"/>
      <c r="J89" s="153"/>
      <c r="K89" s="154"/>
      <c r="L89" s="153"/>
      <c r="M89" s="154"/>
      <c r="N89" s="153"/>
      <c r="O89" s="154"/>
      <c r="P89" s="153"/>
      <c r="Q89" s="154"/>
      <c r="R89" s="153"/>
      <c r="S89" s="154"/>
      <c r="T89" s="153"/>
    </row>
    <row r="90" spans="2:20">
      <c r="B90" s="136" t="s">
        <v>37</v>
      </c>
      <c r="C90" s="141" t="s">
        <v>38</v>
      </c>
      <c r="D90" s="153"/>
      <c r="E90" s="152"/>
      <c r="F90" s="153"/>
      <c r="G90" s="152"/>
      <c r="H90" s="153"/>
      <c r="I90" s="152"/>
      <c r="J90" s="153"/>
      <c r="K90" s="152"/>
      <c r="L90" s="153"/>
      <c r="M90" s="152"/>
      <c r="N90" s="153"/>
      <c r="O90" s="152"/>
      <c r="P90" s="153"/>
      <c r="Q90" s="152"/>
      <c r="R90" s="153"/>
      <c r="S90" s="152"/>
      <c r="T90" s="153"/>
    </row>
    <row r="91" spans="2:20">
      <c r="B91" s="136" t="s">
        <v>39</v>
      </c>
      <c r="C91" s="141" t="s">
        <v>169</v>
      </c>
      <c r="D91" s="153"/>
      <c r="E91" s="152"/>
      <c r="F91" s="153"/>
      <c r="G91" s="152"/>
      <c r="H91" s="153"/>
      <c r="I91" s="152"/>
      <c r="J91" s="153"/>
      <c r="K91" s="152"/>
      <c r="L91" s="153"/>
      <c r="M91" s="152"/>
      <c r="N91" s="153"/>
      <c r="O91" s="152"/>
      <c r="P91" s="153"/>
      <c r="Q91" s="152"/>
      <c r="R91" s="153"/>
      <c r="S91" s="152"/>
      <c r="T91" s="153"/>
    </row>
    <row r="92" spans="2:20">
      <c r="B92" s="136" t="s">
        <v>40</v>
      </c>
      <c r="C92" s="141" t="s">
        <v>41</v>
      </c>
      <c r="D92" s="153"/>
      <c r="E92" s="152"/>
      <c r="F92" s="153"/>
      <c r="G92" s="152"/>
      <c r="H92" s="153"/>
      <c r="I92" s="152"/>
      <c r="J92" s="153"/>
      <c r="K92" s="152"/>
      <c r="L92" s="153"/>
      <c r="M92" s="152"/>
      <c r="N92" s="153"/>
      <c r="O92" s="152"/>
      <c r="P92" s="153"/>
      <c r="Q92" s="152"/>
      <c r="R92" s="153"/>
      <c r="S92" s="152"/>
      <c r="T92" s="153"/>
    </row>
    <row r="93" spans="2:20">
      <c r="B93" s="136" t="s">
        <v>42</v>
      </c>
      <c r="C93" s="141" t="s">
        <v>43</v>
      </c>
      <c r="D93" s="153"/>
      <c r="E93" s="152"/>
      <c r="F93" s="153"/>
      <c r="G93" s="152"/>
      <c r="H93" s="153"/>
      <c r="I93" s="152"/>
      <c r="J93" s="153"/>
      <c r="K93" s="152"/>
      <c r="L93" s="153"/>
      <c r="M93" s="152"/>
      <c r="N93" s="153"/>
      <c r="O93" s="152"/>
      <c r="P93" s="153"/>
      <c r="Q93" s="152"/>
      <c r="R93" s="153"/>
      <c r="S93" s="152"/>
      <c r="T93" s="153"/>
    </row>
    <row r="94" spans="2:20">
      <c r="B94" s="136" t="s">
        <v>45</v>
      </c>
      <c r="C94" s="141" t="s">
        <v>46</v>
      </c>
      <c r="D94" s="153"/>
      <c r="E94" s="154"/>
      <c r="F94" s="153"/>
      <c r="G94" s="154"/>
      <c r="H94" s="153"/>
      <c r="I94" s="154"/>
      <c r="J94" s="153"/>
      <c r="K94" s="154"/>
      <c r="L94" s="153"/>
      <c r="M94" s="154"/>
      <c r="N94" s="153"/>
      <c r="O94" s="154"/>
      <c r="P94" s="153"/>
      <c r="Q94" s="154"/>
      <c r="R94" s="153"/>
      <c r="S94" s="154"/>
      <c r="T94" s="153"/>
    </row>
    <row r="95" spans="2:20">
      <c r="B95" s="136" t="s">
        <v>47</v>
      </c>
      <c r="C95" s="141" t="s">
        <v>48</v>
      </c>
      <c r="D95" s="153"/>
      <c r="E95" s="154"/>
      <c r="F95" s="153"/>
      <c r="G95" s="154"/>
      <c r="H95" s="153"/>
      <c r="I95" s="154"/>
      <c r="J95" s="153"/>
      <c r="K95" s="154"/>
      <c r="L95" s="153"/>
      <c r="M95" s="154"/>
      <c r="N95" s="153"/>
      <c r="O95" s="154"/>
      <c r="P95" s="153"/>
      <c r="Q95" s="154"/>
      <c r="R95" s="153"/>
      <c r="S95" s="154"/>
      <c r="T95" s="153"/>
    </row>
    <row r="96" spans="2:20">
      <c r="B96" s="136" t="s">
        <v>50</v>
      </c>
      <c r="C96" s="141" t="s">
        <v>170</v>
      </c>
      <c r="D96" s="153"/>
      <c r="E96" s="154"/>
      <c r="F96" s="153"/>
      <c r="G96" s="154"/>
      <c r="H96" s="153"/>
      <c r="I96" s="154"/>
      <c r="J96" s="153"/>
      <c r="K96" s="154"/>
      <c r="L96" s="153"/>
      <c r="M96" s="154"/>
      <c r="N96" s="153"/>
      <c r="O96" s="154"/>
      <c r="P96" s="153"/>
      <c r="Q96" s="154"/>
      <c r="R96" s="153"/>
      <c r="S96" s="154"/>
      <c r="T96" s="153"/>
    </row>
    <row r="97" spans="2:20">
      <c r="B97" s="136" t="s">
        <v>51</v>
      </c>
      <c r="C97" s="141" t="s">
        <v>52</v>
      </c>
      <c r="D97" s="151"/>
      <c r="E97" s="152"/>
      <c r="F97" s="151"/>
      <c r="G97" s="152"/>
      <c r="H97" s="151"/>
      <c r="I97" s="152"/>
      <c r="J97" s="151"/>
      <c r="K97" s="152"/>
      <c r="L97" s="151"/>
      <c r="M97" s="152"/>
      <c r="N97" s="151"/>
      <c r="O97" s="152"/>
      <c r="P97" s="151"/>
      <c r="Q97" s="152"/>
      <c r="R97" s="151"/>
      <c r="S97" s="152"/>
      <c r="T97" s="151"/>
    </row>
    <row r="98" spans="2:20">
      <c r="B98" s="136" t="s">
        <v>53</v>
      </c>
      <c r="C98" s="141" t="s">
        <v>54</v>
      </c>
      <c r="D98" s="151"/>
      <c r="E98" s="152"/>
      <c r="F98" s="151"/>
      <c r="G98" s="152"/>
      <c r="H98" s="151"/>
      <c r="I98" s="152"/>
      <c r="J98" s="151"/>
      <c r="K98" s="152"/>
      <c r="L98" s="151"/>
      <c r="M98" s="152"/>
      <c r="N98" s="151"/>
      <c r="O98" s="152"/>
      <c r="P98" s="151"/>
      <c r="Q98" s="152"/>
      <c r="R98" s="151"/>
      <c r="S98" s="152"/>
      <c r="T98" s="151"/>
    </row>
    <row r="99" spans="2:20">
      <c r="B99" s="136" t="s">
        <v>55</v>
      </c>
      <c r="C99" s="141" t="s">
        <v>56</v>
      </c>
      <c r="D99" s="151"/>
      <c r="E99" s="152"/>
      <c r="F99" s="151"/>
      <c r="G99" s="152"/>
      <c r="H99" s="151"/>
      <c r="I99" s="152"/>
      <c r="J99" s="151"/>
      <c r="K99" s="152"/>
      <c r="L99" s="151"/>
      <c r="M99" s="152"/>
      <c r="N99" s="151"/>
      <c r="O99" s="152"/>
      <c r="P99" s="151"/>
      <c r="Q99" s="152"/>
      <c r="R99" s="151"/>
      <c r="S99" s="152"/>
      <c r="T99" s="151"/>
    </row>
    <row r="100" spans="2:20">
      <c r="B100" s="136" t="s">
        <v>57</v>
      </c>
      <c r="C100" s="141" t="s">
        <v>58</v>
      </c>
      <c r="D100" s="151"/>
      <c r="E100" s="152"/>
      <c r="F100" s="151"/>
      <c r="G100" s="152"/>
      <c r="H100" s="151"/>
      <c r="I100" s="152"/>
      <c r="J100" s="151"/>
      <c r="K100" s="152"/>
      <c r="L100" s="151"/>
      <c r="M100" s="152"/>
      <c r="N100" s="151"/>
      <c r="O100" s="152"/>
      <c r="P100" s="151"/>
      <c r="Q100" s="152"/>
      <c r="R100" s="151"/>
      <c r="S100" s="152"/>
      <c r="T100" s="151"/>
    </row>
    <row r="101" spans="2:20">
      <c r="B101" s="136" t="s">
        <v>59</v>
      </c>
      <c r="C101" s="141" t="s">
        <v>60</v>
      </c>
      <c r="D101" s="151"/>
      <c r="E101" s="152"/>
      <c r="F101" s="151"/>
      <c r="G101" s="152"/>
      <c r="H101" s="151"/>
      <c r="I101" s="152"/>
      <c r="J101" s="151"/>
      <c r="K101" s="152"/>
      <c r="L101" s="151"/>
      <c r="M101" s="152"/>
      <c r="N101" s="151"/>
      <c r="O101" s="152"/>
      <c r="P101" s="151"/>
      <c r="Q101" s="152"/>
      <c r="R101" s="151"/>
      <c r="S101" s="152"/>
      <c r="T101" s="151"/>
    </row>
    <row r="102" spans="2:20">
      <c r="B102" s="136" t="s">
        <v>53</v>
      </c>
      <c r="C102" s="141" t="s">
        <v>54</v>
      </c>
      <c r="D102" s="151"/>
      <c r="E102" s="152"/>
      <c r="F102" s="151"/>
      <c r="G102" s="152"/>
      <c r="H102" s="151"/>
      <c r="I102" s="152"/>
      <c r="J102" s="151"/>
      <c r="K102" s="152"/>
      <c r="L102" s="151"/>
      <c r="M102" s="152"/>
      <c r="N102" s="151"/>
      <c r="O102" s="152"/>
      <c r="P102" s="151"/>
      <c r="Q102" s="152"/>
      <c r="R102" s="151"/>
      <c r="S102" s="152"/>
      <c r="T102" s="151"/>
    </row>
    <row r="103" spans="2:20">
      <c r="B103" s="136" t="s">
        <v>256</v>
      </c>
      <c r="C103" s="141" t="s">
        <v>61</v>
      </c>
      <c r="D103" s="151"/>
      <c r="E103" s="152"/>
      <c r="F103" s="151"/>
      <c r="G103" s="152"/>
      <c r="H103" s="151"/>
      <c r="I103" s="152"/>
      <c r="J103" s="151"/>
      <c r="K103" s="152"/>
      <c r="L103" s="151"/>
      <c r="M103" s="152"/>
      <c r="N103" s="151"/>
      <c r="O103" s="152"/>
      <c r="P103" s="151"/>
      <c r="Q103" s="152"/>
      <c r="R103" s="151"/>
      <c r="S103" s="152"/>
      <c r="T103" s="151"/>
    </row>
    <row r="104" spans="2:20">
      <c r="B104" s="136" t="s">
        <v>62</v>
      </c>
      <c r="C104" s="141" t="s">
        <v>351</v>
      </c>
      <c r="D104" s="151"/>
      <c r="E104" s="152"/>
      <c r="F104" s="151"/>
      <c r="G104" s="152"/>
      <c r="H104" s="151"/>
      <c r="I104" s="152"/>
      <c r="J104" s="151"/>
      <c r="K104" s="152"/>
      <c r="L104" s="151"/>
      <c r="M104" s="152"/>
      <c r="N104" s="151"/>
      <c r="O104" s="152"/>
      <c r="P104" s="151"/>
      <c r="Q104" s="152"/>
      <c r="R104" s="151"/>
      <c r="S104" s="152"/>
      <c r="T104" s="151"/>
    </row>
    <row r="105" spans="2:20">
      <c r="B105" s="136" t="s">
        <v>126</v>
      </c>
      <c r="C105" s="141" t="s">
        <v>171</v>
      </c>
      <c r="D105" s="151"/>
      <c r="E105" s="152"/>
      <c r="F105" s="151"/>
      <c r="G105" s="152"/>
      <c r="H105" s="151"/>
      <c r="I105" s="152"/>
      <c r="J105" s="151"/>
      <c r="K105" s="152"/>
      <c r="L105" s="151"/>
      <c r="M105" s="152"/>
      <c r="N105" s="151"/>
      <c r="O105" s="152"/>
      <c r="P105" s="151"/>
      <c r="Q105" s="152"/>
      <c r="R105" s="151"/>
      <c r="S105" s="152"/>
      <c r="T105" s="151"/>
    </row>
    <row r="106" spans="2:20">
      <c r="B106" s="138" t="s">
        <v>63</v>
      </c>
      <c r="C106" s="141" t="s">
        <v>352</v>
      </c>
      <c r="D106" s="151"/>
      <c r="E106" s="152"/>
      <c r="F106" s="151"/>
      <c r="G106" s="152"/>
      <c r="H106" s="151"/>
      <c r="I106" s="152"/>
      <c r="J106" s="151"/>
      <c r="K106" s="152"/>
      <c r="L106" s="151"/>
      <c r="M106" s="152"/>
      <c r="N106" s="151"/>
      <c r="O106" s="152"/>
      <c r="P106" s="151"/>
      <c r="Q106" s="152"/>
      <c r="R106" s="151"/>
      <c r="S106" s="152"/>
      <c r="T106" s="151"/>
    </row>
    <row r="107" spans="2:20">
      <c r="B107" s="138" t="s">
        <v>64</v>
      </c>
      <c r="C107" s="141" t="s">
        <v>65</v>
      </c>
      <c r="D107" s="151"/>
      <c r="E107" s="152"/>
      <c r="F107" s="151"/>
      <c r="G107" s="152"/>
      <c r="H107" s="151"/>
      <c r="I107" s="152"/>
      <c r="J107" s="151"/>
      <c r="K107" s="152"/>
      <c r="L107" s="151"/>
      <c r="M107" s="152"/>
      <c r="N107" s="151"/>
      <c r="O107" s="152"/>
      <c r="P107" s="151"/>
      <c r="Q107" s="152"/>
      <c r="R107" s="151"/>
      <c r="S107" s="152"/>
      <c r="T107" s="151"/>
    </row>
    <row r="108" spans="2:20">
      <c r="B108" s="138" t="s">
        <v>66</v>
      </c>
      <c r="C108" s="141" t="s">
        <v>67</v>
      </c>
      <c r="D108" s="151"/>
      <c r="E108" s="152"/>
      <c r="F108" s="151"/>
      <c r="G108" s="152"/>
      <c r="H108" s="151"/>
      <c r="I108" s="152"/>
      <c r="J108" s="151"/>
      <c r="K108" s="152"/>
      <c r="L108" s="151"/>
      <c r="M108" s="152"/>
      <c r="N108" s="151"/>
      <c r="O108" s="152"/>
      <c r="P108" s="151"/>
      <c r="Q108" s="152"/>
      <c r="R108" s="151"/>
      <c r="S108" s="152"/>
      <c r="T108" s="151"/>
    </row>
    <row r="109" spans="2:20">
      <c r="B109" s="138" t="s">
        <v>68</v>
      </c>
      <c r="C109" s="141" t="s">
        <v>69</v>
      </c>
      <c r="D109" s="151"/>
      <c r="E109" s="152"/>
      <c r="F109" s="151"/>
      <c r="G109" s="152"/>
      <c r="H109" s="151"/>
      <c r="I109" s="152"/>
      <c r="J109" s="151"/>
      <c r="K109" s="152"/>
      <c r="L109" s="151"/>
      <c r="M109" s="152"/>
      <c r="N109" s="151"/>
      <c r="O109" s="152"/>
      <c r="P109" s="151"/>
      <c r="Q109" s="152"/>
      <c r="R109" s="151"/>
      <c r="S109" s="152"/>
      <c r="T109" s="151"/>
    </row>
    <row r="110" spans="2:20">
      <c r="B110" s="138" t="s">
        <v>70</v>
      </c>
      <c r="C110" s="141" t="s">
        <v>71</v>
      </c>
      <c r="D110" s="151"/>
      <c r="E110" s="152"/>
      <c r="F110" s="151"/>
      <c r="G110" s="152"/>
      <c r="H110" s="151"/>
      <c r="I110" s="152"/>
      <c r="J110" s="151"/>
      <c r="K110" s="152"/>
      <c r="L110" s="151"/>
      <c r="M110" s="152"/>
      <c r="N110" s="151"/>
      <c r="O110" s="152"/>
      <c r="P110" s="151"/>
      <c r="Q110" s="152"/>
      <c r="R110" s="151"/>
      <c r="S110" s="152"/>
      <c r="T110" s="151"/>
    </row>
    <row r="111" spans="2:20">
      <c r="B111" s="138" t="s">
        <v>72</v>
      </c>
      <c r="C111" s="141" t="s">
        <v>73</v>
      </c>
      <c r="D111" s="151"/>
      <c r="E111" s="152"/>
      <c r="F111" s="151"/>
      <c r="G111" s="152"/>
      <c r="H111" s="151"/>
      <c r="I111" s="152"/>
      <c r="J111" s="151"/>
      <c r="K111" s="152"/>
      <c r="L111" s="151"/>
      <c r="M111" s="152"/>
      <c r="N111" s="151"/>
      <c r="O111" s="152"/>
      <c r="P111" s="151"/>
      <c r="Q111" s="152"/>
      <c r="R111" s="151"/>
      <c r="S111" s="152"/>
      <c r="T111" s="151"/>
    </row>
    <row r="112" spans="2:20">
      <c r="B112" s="138" t="s">
        <v>129</v>
      </c>
      <c r="C112" s="141" t="s">
        <v>180</v>
      </c>
      <c r="D112" s="153"/>
      <c r="E112" s="154"/>
      <c r="F112" s="153"/>
      <c r="G112" s="154"/>
      <c r="H112" s="153"/>
      <c r="I112" s="154"/>
      <c r="J112" s="153"/>
      <c r="K112" s="154"/>
      <c r="L112" s="153"/>
      <c r="M112" s="154"/>
      <c r="N112" s="153"/>
      <c r="O112" s="154"/>
      <c r="P112" s="153"/>
      <c r="Q112" s="154"/>
      <c r="R112" s="153"/>
      <c r="S112" s="154"/>
      <c r="T112" s="153"/>
    </row>
    <row r="113" spans="2:20">
      <c r="B113" s="138" t="s">
        <v>75</v>
      </c>
      <c r="C113" s="141" t="s">
        <v>76</v>
      </c>
      <c r="D113" s="151"/>
      <c r="E113" s="152"/>
      <c r="F113" s="151"/>
      <c r="G113" s="152"/>
      <c r="H113" s="151"/>
      <c r="I113" s="152"/>
      <c r="J113" s="151"/>
      <c r="K113" s="152"/>
      <c r="L113" s="151"/>
      <c r="M113" s="152"/>
      <c r="N113" s="151"/>
      <c r="O113" s="152"/>
      <c r="P113" s="151"/>
      <c r="Q113" s="152"/>
      <c r="R113" s="151"/>
      <c r="S113" s="152"/>
      <c r="T113" s="151"/>
    </row>
    <row r="114" spans="2:20">
      <c r="B114" s="138" t="s">
        <v>77</v>
      </c>
      <c r="C114" s="141" t="s">
        <v>78</v>
      </c>
      <c r="D114" s="151"/>
      <c r="E114" s="152"/>
      <c r="F114" s="151"/>
      <c r="G114" s="152"/>
      <c r="H114" s="151"/>
      <c r="I114" s="152"/>
      <c r="J114" s="151"/>
      <c r="K114" s="152"/>
      <c r="L114" s="151"/>
      <c r="M114" s="152"/>
      <c r="N114" s="151"/>
      <c r="O114" s="152"/>
      <c r="P114" s="151"/>
      <c r="Q114" s="152"/>
      <c r="R114" s="151"/>
      <c r="S114" s="152"/>
      <c r="T114" s="151"/>
    </row>
    <row r="115" spans="2:20">
      <c r="B115" s="138" t="s">
        <v>79</v>
      </c>
      <c r="C115" s="141" t="s">
        <v>151</v>
      </c>
      <c r="D115" s="151"/>
      <c r="E115" s="152"/>
      <c r="F115" s="151"/>
      <c r="G115" s="152"/>
      <c r="H115" s="151"/>
      <c r="I115" s="152"/>
      <c r="J115" s="151"/>
      <c r="K115" s="152"/>
      <c r="L115" s="151"/>
      <c r="M115" s="152"/>
      <c r="N115" s="151"/>
      <c r="O115" s="152"/>
      <c r="P115" s="151"/>
      <c r="Q115" s="152"/>
      <c r="R115" s="151"/>
      <c r="S115" s="152"/>
      <c r="T115" s="151"/>
    </row>
    <row r="116" spans="2:20">
      <c r="B116" s="138" t="s">
        <v>80</v>
      </c>
      <c r="C116" s="141" t="s">
        <v>81</v>
      </c>
      <c r="D116" s="151"/>
      <c r="E116" s="152"/>
      <c r="F116" s="151"/>
      <c r="G116" s="152"/>
      <c r="H116" s="151"/>
      <c r="I116" s="152"/>
      <c r="J116" s="151"/>
      <c r="K116" s="152"/>
      <c r="L116" s="151"/>
      <c r="M116" s="152"/>
      <c r="N116" s="151"/>
      <c r="O116" s="152"/>
      <c r="P116" s="151"/>
      <c r="Q116" s="152"/>
      <c r="R116" s="151"/>
      <c r="S116" s="152"/>
      <c r="T116" s="151"/>
    </row>
    <row r="117" spans="2:20">
      <c r="B117" s="138" t="s">
        <v>82</v>
      </c>
      <c r="C117" s="141" t="s">
        <v>83</v>
      </c>
      <c r="D117" s="151"/>
      <c r="E117" s="152"/>
      <c r="F117" s="151"/>
      <c r="G117" s="152"/>
      <c r="H117" s="151"/>
      <c r="I117" s="152"/>
      <c r="J117" s="151"/>
      <c r="K117" s="152"/>
      <c r="L117" s="151"/>
      <c r="M117" s="152"/>
      <c r="N117" s="151"/>
      <c r="O117" s="152"/>
      <c r="P117" s="151"/>
      <c r="Q117" s="152"/>
      <c r="R117" s="151"/>
      <c r="S117" s="152"/>
      <c r="T117" s="151"/>
    </row>
    <row r="118" spans="2:20">
      <c r="B118" s="138" t="s">
        <v>84</v>
      </c>
      <c r="C118" s="141" t="s">
        <v>85</v>
      </c>
      <c r="D118" s="153"/>
      <c r="E118" s="154"/>
      <c r="F118" s="153"/>
      <c r="G118" s="154"/>
      <c r="H118" s="153"/>
      <c r="I118" s="154"/>
      <c r="J118" s="153"/>
      <c r="K118" s="154"/>
      <c r="L118" s="153"/>
      <c r="M118" s="154"/>
      <c r="N118" s="153"/>
      <c r="O118" s="154"/>
      <c r="P118" s="153"/>
      <c r="Q118" s="154"/>
      <c r="R118" s="153"/>
      <c r="S118" s="154"/>
      <c r="T118" s="153"/>
    </row>
    <row r="119" spans="2:20">
      <c r="B119" s="138" t="s">
        <v>86</v>
      </c>
      <c r="C119" s="141" t="s">
        <v>353</v>
      </c>
      <c r="D119" s="151"/>
      <c r="E119" s="152"/>
      <c r="F119" s="151"/>
      <c r="G119" s="152"/>
      <c r="H119" s="151"/>
      <c r="I119" s="152"/>
      <c r="J119" s="151"/>
      <c r="K119" s="152"/>
      <c r="L119" s="151"/>
      <c r="M119" s="152"/>
      <c r="N119" s="151"/>
      <c r="O119" s="152"/>
      <c r="P119" s="151"/>
      <c r="Q119" s="152"/>
      <c r="R119" s="151"/>
      <c r="S119" s="152"/>
      <c r="T119" s="151"/>
    </row>
    <row r="120" spans="2:20">
      <c r="B120" s="138" t="s">
        <v>130</v>
      </c>
      <c r="C120" s="141" t="s">
        <v>181</v>
      </c>
      <c r="D120" s="151"/>
      <c r="E120" s="152"/>
      <c r="F120" s="151"/>
      <c r="G120" s="152"/>
      <c r="H120" s="151"/>
      <c r="I120" s="152"/>
      <c r="J120" s="151"/>
      <c r="K120" s="152"/>
      <c r="L120" s="151"/>
      <c r="M120" s="152"/>
      <c r="N120" s="151"/>
      <c r="O120" s="152"/>
      <c r="P120" s="151"/>
      <c r="Q120" s="152"/>
      <c r="R120" s="151"/>
      <c r="S120" s="152"/>
      <c r="T120" s="151"/>
    </row>
    <row r="121" spans="2:20">
      <c r="B121" s="138" t="s">
        <v>87</v>
      </c>
      <c r="C121" s="141" t="s">
        <v>88</v>
      </c>
      <c r="D121" s="151"/>
      <c r="E121" s="152"/>
      <c r="F121" s="151"/>
      <c r="G121" s="152"/>
      <c r="H121" s="151"/>
      <c r="I121" s="152"/>
      <c r="J121" s="151"/>
      <c r="K121" s="152"/>
      <c r="L121" s="151"/>
      <c r="M121" s="152"/>
      <c r="N121" s="151"/>
      <c r="O121" s="152"/>
      <c r="P121" s="151"/>
      <c r="Q121" s="152"/>
      <c r="R121" s="151"/>
      <c r="S121" s="152"/>
      <c r="T121" s="151"/>
    </row>
    <row r="122" spans="2:20">
      <c r="B122" s="138" t="s">
        <v>89</v>
      </c>
      <c r="C122" s="141" t="s">
        <v>90</v>
      </c>
      <c r="D122" s="151"/>
      <c r="E122" s="152"/>
      <c r="F122" s="151"/>
      <c r="G122" s="152"/>
      <c r="H122" s="151"/>
      <c r="I122" s="152"/>
      <c r="J122" s="151"/>
      <c r="K122" s="152"/>
      <c r="L122" s="151"/>
      <c r="M122" s="152"/>
      <c r="N122" s="151"/>
      <c r="O122" s="152"/>
      <c r="P122" s="151"/>
      <c r="Q122" s="152"/>
      <c r="R122" s="151"/>
      <c r="S122" s="152"/>
      <c r="T122" s="151"/>
    </row>
    <row r="123" spans="2:20">
      <c r="B123" s="138" t="s">
        <v>91</v>
      </c>
      <c r="C123" s="141" t="s">
        <v>92</v>
      </c>
      <c r="D123" s="151"/>
      <c r="E123" s="152"/>
      <c r="F123" s="151"/>
      <c r="G123" s="152"/>
      <c r="H123" s="151"/>
      <c r="I123" s="152"/>
      <c r="J123" s="151"/>
      <c r="K123" s="152"/>
      <c r="L123" s="151"/>
      <c r="M123" s="152"/>
      <c r="N123" s="151"/>
      <c r="O123" s="152"/>
      <c r="P123" s="151"/>
      <c r="Q123" s="152"/>
      <c r="R123" s="151"/>
      <c r="S123" s="152"/>
      <c r="T123" s="151"/>
    </row>
    <row r="124" spans="2:20">
      <c r="B124" s="138" t="s">
        <v>93</v>
      </c>
      <c r="C124" s="141" t="s">
        <v>94</v>
      </c>
      <c r="D124" s="153"/>
      <c r="E124" s="154"/>
      <c r="F124" s="153"/>
      <c r="G124" s="154"/>
      <c r="H124" s="153"/>
      <c r="I124" s="154"/>
      <c r="J124" s="153"/>
      <c r="K124" s="154"/>
      <c r="L124" s="153"/>
      <c r="M124" s="154"/>
      <c r="N124" s="153"/>
      <c r="O124" s="154"/>
      <c r="P124" s="153"/>
      <c r="Q124" s="154"/>
      <c r="R124" s="153"/>
      <c r="S124" s="154"/>
      <c r="T124" s="153"/>
    </row>
    <row r="125" spans="2:20">
      <c r="B125" s="138" t="s">
        <v>95</v>
      </c>
      <c r="C125" s="141" t="s">
        <v>96</v>
      </c>
      <c r="D125" s="153"/>
      <c r="E125" s="154"/>
      <c r="F125" s="153"/>
      <c r="G125" s="154"/>
      <c r="H125" s="153"/>
      <c r="I125" s="154"/>
      <c r="J125" s="153"/>
      <c r="K125" s="154"/>
      <c r="L125" s="153"/>
      <c r="M125" s="154"/>
      <c r="N125" s="153"/>
      <c r="O125" s="154"/>
      <c r="P125" s="153"/>
      <c r="Q125" s="154"/>
      <c r="R125" s="153"/>
      <c r="S125" s="154"/>
      <c r="T125" s="153"/>
    </row>
    <row r="126" spans="2:20">
      <c r="B126" s="138" t="s">
        <v>97</v>
      </c>
      <c r="C126" s="141" t="s">
        <v>98</v>
      </c>
      <c r="D126" s="153"/>
      <c r="E126" s="154"/>
      <c r="F126" s="153"/>
      <c r="G126" s="154"/>
      <c r="H126" s="153"/>
      <c r="I126" s="154"/>
      <c r="J126" s="153"/>
      <c r="K126" s="154"/>
      <c r="L126" s="153"/>
      <c r="M126" s="154"/>
      <c r="N126" s="153"/>
      <c r="O126" s="154"/>
      <c r="P126" s="153"/>
      <c r="Q126" s="154"/>
      <c r="R126" s="153"/>
      <c r="S126" s="154"/>
      <c r="T126" s="153"/>
    </row>
    <row r="127" spans="2:20">
      <c r="B127" s="138" t="s">
        <v>100</v>
      </c>
      <c r="C127" s="141" t="s">
        <v>101</v>
      </c>
      <c r="D127" s="153"/>
      <c r="E127" s="154"/>
      <c r="F127" s="153"/>
      <c r="G127" s="154"/>
      <c r="H127" s="153"/>
      <c r="I127" s="154"/>
      <c r="J127" s="153"/>
      <c r="K127" s="154"/>
      <c r="L127" s="153"/>
      <c r="M127" s="154"/>
      <c r="N127" s="153"/>
      <c r="O127" s="154"/>
      <c r="P127" s="153"/>
      <c r="Q127" s="154"/>
      <c r="R127" s="153"/>
      <c r="S127" s="154"/>
      <c r="T127" s="153"/>
    </row>
    <row r="128" spans="2:20">
      <c r="B128" s="138" t="s">
        <v>102</v>
      </c>
      <c r="C128" s="141" t="s">
        <v>103</v>
      </c>
      <c r="D128" s="153"/>
      <c r="E128" s="154"/>
      <c r="F128" s="153"/>
      <c r="G128" s="154"/>
      <c r="H128" s="153"/>
      <c r="I128" s="154"/>
      <c r="J128" s="153"/>
      <c r="K128" s="154"/>
      <c r="L128" s="153"/>
      <c r="M128" s="154"/>
      <c r="N128" s="153"/>
      <c r="O128" s="154"/>
      <c r="P128" s="153"/>
      <c r="Q128" s="154"/>
      <c r="R128" s="153"/>
      <c r="S128" s="154"/>
      <c r="T128" s="153"/>
    </row>
    <row r="129" spans="2:20">
      <c r="B129" s="138" t="s">
        <v>104</v>
      </c>
      <c r="C129" s="141" t="s">
        <v>105</v>
      </c>
      <c r="D129" s="153"/>
      <c r="E129" s="154"/>
      <c r="F129" s="153"/>
      <c r="G129" s="154"/>
      <c r="H129" s="153"/>
      <c r="I129" s="154"/>
      <c r="J129" s="153"/>
      <c r="K129" s="154"/>
      <c r="L129" s="153"/>
      <c r="M129" s="154"/>
      <c r="N129" s="153"/>
      <c r="O129" s="154"/>
      <c r="P129" s="153"/>
      <c r="Q129" s="154"/>
      <c r="R129" s="153"/>
      <c r="S129" s="154"/>
      <c r="T129" s="153"/>
    </row>
    <row r="130" spans="2:20">
      <c r="B130" s="138" t="s">
        <v>106</v>
      </c>
      <c r="C130" s="141" t="s">
        <v>107</v>
      </c>
      <c r="D130" s="153"/>
      <c r="E130" s="154"/>
      <c r="F130" s="153"/>
      <c r="G130" s="154"/>
      <c r="H130" s="153"/>
      <c r="I130" s="154"/>
      <c r="J130" s="153"/>
      <c r="K130" s="154"/>
      <c r="L130" s="153"/>
      <c r="M130" s="154"/>
      <c r="N130" s="153"/>
      <c r="O130" s="154"/>
      <c r="P130" s="153"/>
      <c r="Q130" s="154"/>
      <c r="R130" s="153"/>
      <c r="S130" s="154"/>
      <c r="T130" s="153"/>
    </row>
    <row r="131" spans="2:20">
      <c r="B131" s="138" t="s">
        <v>108</v>
      </c>
      <c r="C131" s="141" t="s">
        <v>174</v>
      </c>
      <c r="D131" s="153"/>
      <c r="E131" s="154"/>
      <c r="F131" s="153"/>
      <c r="G131" s="154"/>
      <c r="H131" s="153"/>
      <c r="I131" s="154"/>
      <c r="J131" s="153"/>
      <c r="K131" s="154"/>
      <c r="L131" s="153"/>
      <c r="M131" s="154"/>
      <c r="N131" s="153"/>
      <c r="O131" s="154"/>
      <c r="P131" s="153"/>
      <c r="Q131" s="154"/>
      <c r="R131" s="153"/>
      <c r="S131" s="154"/>
      <c r="T131" s="153"/>
    </row>
    <row r="132" spans="2:20">
      <c r="B132" s="138" t="s">
        <v>109</v>
      </c>
      <c r="C132" s="141" t="s">
        <v>175</v>
      </c>
      <c r="D132" s="151"/>
      <c r="E132" s="152"/>
      <c r="F132" s="151"/>
      <c r="G132" s="152"/>
      <c r="H132" s="151"/>
      <c r="I132" s="152"/>
      <c r="J132" s="151"/>
      <c r="K132" s="152"/>
      <c r="L132" s="151"/>
      <c r="M132" s="152"/>
      <c r="N132" s="151"/>
      <c r="O132" s="152"/>
      <c r="P132" s="151"/>
      <c r="Q132" s="152"/>
      <c r="R132" s="151"/>
      <c r="S132" s="152"/>
      <c r="T132" s="151"/>
    </row>
    <row r="133" spans="2:20">
      <c r="B133" s="138" t="s">
        <v>131</v>
      </c>
      <c r="C133" s="141" t="s">
        <v>177</v>
      </c>
      <c r="D133" s="151"/>
      <c r="E133" s="152"/>
      <c r="F133" s="151"/>
      <c r="G133" s="152"/>
      <c r="H133" s="151"/>
      <c r="I133" s="152"/>
      <c r="J133" s="151"/>
      <c r="K133" s="152"/>
      <c r="L133" s="151"/>
      <c r="M133" s="152"/>
      <c r="N133" s="151"/>
      <c r="O133" s="152"/>
      <c r="P133" s="151"/>
      <c r="Q133" s="152"/>
      <c r="R133" s="151"/>
      <c r="S133" s="152"/>
      <c r="T133" s="151"/>
    </row>
    <row r="134" spans="2:20">
      <c r="B134" s="138" t="s">
        <v>111</v>
      </c>
      <c r="C134" s="141" t="s">
        <v>112</v>
      </c>
      <c r="D134" s="151"/>
      <c r="E134" s="152"/>
      <c r="F134" s="151"/>
      <c r="G134" s="152"/>
      <c r="H134" s="151"/>
      <c r="I134" s="152"/>
      <c r="J134" s="151"/>
      <c r="K134" s="152"/>
      <c r="L134" s="151"/>
      <c r="M134" s="152"/>
      <c r="N134" s="151"/>
      <c r="O134" s="152"/>
      <c r="P134" s="151"/>
      <c r="Q134" s="152"/>
      <c r="R134" s="151"/>
      <c r="S134" s="152"/>
      <c r="T134" s="151"/>
    </row>
    <row r="135" spans="2:20">
      <c r="B135" s="138" t="s">
        <v>118</v>
      </c>
      <c r="C135" s="141" t="s">
        <v>119</v>
      </c>
      <c r="D135" s="151"/>
      <c r="E135" s="152"/>
      <c r="F135" s="151"/>
      <c r="G135" s="152"/>
      <c r="H135" s="151"/>
      <c r="I135" s="152"/>
      <c r="J135" s="151"/>
      <c r="K135" s="152"/>
      <c r="L135" s="151"/>
      <c r="M135" s="152"/>
      <c r="N135" s="151"/>
      <c r="O135" s="152"/>
      <c r="P135" s="151"/>
      <c r="Q135" s="152"/>
      <c r="R135" s="151"/>
      <c r="S135" s="152"/>
      <c r="T135" s="151"/>
    </row>
    <row r="136" spans="2:20">
      <c r="B136" s="138" t="s">
        <v>152</v>
      </c>
      <c r="C136" s="141" t="s">
        <v>178</v>
      </c>
      <c r="D136" s="153"/>
      <c r="E136" s="154"/>
      <c r="F136" s="153"/>
      <c r="G136" s="154"/>
      <c r="H136" s="153"/>
      <c r="I136" s="154"/>
      <c r="J136" s="153"/>
      <c r="K136" s="154"/>
      <c r="L136" s="153"/>
      <c r="M136" s="154"/>
      <c r="N136" s="153"/>
      <c r="O136" s="154"/>
      <c r="P136" s="153"/>
      <c r="Q136" s="154"/>
      <c r="R136" s="153"/>
      <c r="S136" s="154"/>
      <c r="T136" s="153"/>
    </row>
    <row r="137" spans="2:20">
      <c r="B137" s="138" t="s">
        <v>132</v>
      </c>
      <c r="C137" s="141" t="s">
        <v>120</v>
      </c>
      <c r="D137" s="153"/>
      <c r="E137" s="154"/>
      <c r="F137" s="153"/>
      <c r="G137" s="154"/>
      <c r="H137" s="153"/>
      <c r="I137" s="154"/>
      <c r="J137" s="153"/>
      <c r="K137" s="154"/>
      <c r="L137" s="153"/>
      <c r="M137" s="154"/>
      <c r="N137" s="153"/>
      <c r="O137" s="154"/>
      <c r="P137" s="153"/>
      <c r="Q137" s="154"/>
      <c r="R137" s="153"/>
      <c r="S137" s="154"/>
      <c r="T137" s="153"/>
    </row>
    <row r="138" spans="2:20">
      <c r="B138" s="138" t="s">
        <v>133</v>
      </c>
      <c r="C138" s="141" t="s">
        <v>179</v>
      </c>
      <c r="D138" s="151"/>
      <c r="E138" s="152"/>
      <c r="F138" s="151"/>
      <c r="G138" s="152"/>
      <c r="H138" s="151"/>
      <c r="I138" s="152"/>
      <c r="J138" s="151"/>
      <c r="K138" s="152"/>
      <c r="L138" s="151"/>
      <c r="M138" s="152"/>
      <c r="N138" s="151"/>
      <c r="O138" s="152"/>
      <c r="P138" s="151"/>
      <c r="Q138" s="152"/>
      <c r="R138" s="151"/>
      <c r="S138" s="152"/>
      <c r="T138" s="151"/>
    </row>
    <row r="139" spans="2:20">
      <c r="B139" s="138" t="s">
        <v>0</v>
      </c>
      <c r="C139" s="141" t="s">
        <v>134</v>
      </c>
      <c r="D139" s="151"/>
      <c r="E139" s="152"/>
      <c r="F139" s="151"/>
      <c r="G139" s="152"/>
      <c r="H139" s="151"/>
      <c r="I139" s="152"/>
      <c r="J139" s="151"/>
      <c r="K139" s="152"/>
      <c r="L139" s="151"/>
      <c r="M139" s="152"/>
      <c r="N139" s="151"/>
      <c r="O139" s="152"/>
      <c r="P139" s="151"/>
      <c r="Q139" s="152"/>
      <c r="R139" s="151"/>
      <c r="S139" s="152"/>
      <c r="T139" s="151"/>
    </row>
    <row r="140" spans="2:20">
      <c r="B140" s="138" t="s">
        <v>135</v>
      </c>
      <c r="C140" s="141" t="s">
        <v>136</v>
      </c>
      <c r="D140" s="151"/>
      <c r="E140" s="152"/>
      <c r="F140" s="151"/>
      <c r="G140" s="152"/>
      <c r="H140" s="151"/>
      <c r="I140" s="152"/>
      <c r="J140" s="151"/>
      <c r="K140" s="152"/>
      <c r="L140" s="151"/>
      <c r="M140" s="152"/>
      <c r="N140" s="151"/>
      <c r="O140" s="152"/>
      <c r="P140" s="151"/>
      <c r="Q140" s="152"/>
      <c r="R140" s="151"/>
      <c r="S140" s="152"/>
      <c r="T140" s="151"/>
    </row>
    <row r="141" spans="2:20">
      <c r="B141" s="138" t="s">
        <v>137</v>
      </c>
      <c r="C141" s="141" t="s">
        <v>138</v>
      </c>
      <c r="D141" s="151"/>
      <c r="E141" s="152"/>
      <c r="F141" s="151"/>
      <c r="G141" s="152"/>
      <c r="H141" s="151"/>
      <c r="I141" s="152"/>
      <c r="J141" s="151"/>
      <c r="K141" s="152"/>
      <c r="L141" s="151"/>
      <c r="M141" s="152"/>
      <c r="N141" s="151"/>
      <c r="O141" s="152"/>
      <c r="P141" s="151"/>
      <c r="Q141" s="152"/>
      <c r="R141" s="151"/>
      <c r="S141" s="152"/>
      <c r="T141" s="151"/>
    </row>
    <row r="142" spans="2:20">
      <c r="B142" s="138" t="s">
        <v>116</v>
      </c>
      <c r="C142" s="141" t="s">
        <v>139</v>
      </c>
    </row>
    <row r="143" spans="2:20">
      <c r="B143" s="138" t="s">
        <v>113</v>
      </c>
      <c r="C143" s="141" t="s">
        <v>140</v>
      </c>
    </row>
    <row r="144" spans="2:20">
      <c r="B144" s="138" t="s">
        <v>141</v>
      </c>
      <c r="C144" s="141" t="s">
        <v>142</v>
      </c>
    </row>
    <row r="145" spans="2:22">
      <c r="B145" s="138" t="s">
        <v>121</v>
      </c>
      <c r="C145" s="141" t="s">
        <v>143</v>
      </c>
    </row>
    <row r="146" spans="2:22">
      <c r="B146" s="138" t="s">
        <v>144</v>
      </c>
      <c r="C146" s="141" t="s">
        <v>145</v>
      </c>
    </row>
    <row r="147" spans="2:22">
      <c r="B147" s="138" t="s">
        <v>122</v>
      </c>
      <c r="C147" s="141" t="s">
        <v>146</v>
      </c>
    </row>
    <row r="148" spans="2:22">
      <c r="B148" s="138" t="s">
        <v>123</v>
      </c>
      <c r="C148" s="141" t="s">
        <v>147</v>
      </c>
    </row>
    <row r="149" spans="2:22">
      <c r="B149" s="138" t="s">
        <v>330</v>
      </c>
      <c r="C149" s="141" t="s">
        <v>148</v>
      </c>
    </row>
    <row r="150" spans="2:22">
      <c r="B150" s="138" t="s">
        <v>125</v>
      </c>
      <c r="C150" s="141" t="s">
        <v>149</v>
      </c>
    </row>
    <row r="151" spans="2:22">
      <c r="B151" s="140" t="s">
        <v>267</v>
      </c>
      <c r="C151" s="140" t="s">
        <v>268</v>
      </c>
    </row>
    <row r="154" spans="2:22">
      <c r="B154" s="638" t="s">
        <v>257</v>
      </c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</row>
    <row r="158" spans="2:22">
      <c r="C158" s="140">
        <v>2006</v>
      </c>
      <c r="E158" s="140">
        <v>2007</v>
      </c>
      <c r="G158" s="140">
        <v>2008</v>
      </c>
      <c r="I158" s="140">
        <v>2009</v>
      </c>
      <c r="K158" s="140">
        <v>2010</v>
      </c>
      <c r="M158" s="140">
        <v>2011</v>
      </c>
      <c r="O158" s="140">
        <v>2012</v>
      </c>
      <c r="Q158" s="140">
        <v>2013</v>
      </c>
      <c r="S158" s="140">
        <v>2014</v>
      </c>
      <c r="U158" s="140">
        <v>2015</v>
      </c>
    </row>
    <row r="159" spans="2:22">
      <c r="B159" s="140" t="s">
        <v>260</v>
      </c>
      <c r="C159" s="140" t="s">
        <v>264</v>
      </c>
      <c r="D159" s="140" t="s">
        <v>154</v>
      </c>
      <c r="E159" s="140" t="s">
        <v>264</v>
      </c>
      <c r="F159" s="140" t="s">
        <v>154</v>
      </c>
      <c r="G159" s="140" t="s">
        <v>264</v>
      </c>
      <c r="H159" s="140" t="s">
        <v>154</v>
      </c>
      <c r="I159" s="140" t="s">
        <v>264</v>
      </c>
      <c r="J159" s="140" t="s">
        <v>154</v>
      </c>
      <c r="K159" s="140" t="s">
        <v>264</v>
      </c>
      <c r="L159" s="140" t="s">
        <v>154</v>
      </c>
      <c r="M159" s="140" t="s">
        <v>264</v>
      </c>
      <c r="N159" s="140" t="s">
        <v>154</v>
      </c>
      <c r="O159" s="140" t="s">
        <v>264</v>
      </c>
      <c r="P159" s="140" t="s">
        <v>154</v>
      </c>
      <c r="Q159" s="140" t="s">
        <v>264</v>
      </c>
      <c r="R159" s="140" t="s">
        <v>154</v>
      </c>
      <c r="S159" s="140" t="s">
        <v>264</v>
      </c>
      <c r="T159" s="140" t="s">
        <v>154</v>
      </c>
      <c r="U159" s="140" t="s">
        <v>264</v>
      </c>
      <c r="V159" s="19" t="s">
        <v>154</v>
      </c>
    </row>
    <row r="160" spans="2:22">
      <c r="B160" s="140" t="s">
        <v>259</v>
      </c>
      <c r="C160" s="140" t="s">
        <v>264</v>
      </c>
      <c r="D160" s="140" t="s">
        <v>258</v>
      </c>
      <c r="E160" s="140" t="s">
        <v>264</v>
      </c>
      <c r="F160" s="140" t="s">
        <v>258</v>
      </c>
      <c r="G160" s="140" t="s">
        <v>264</v>
      </c>
      <c r="H160" s="140" t="s">
        <v>258</v>
      </c>
      <c r="I160" s="140" t="s">
        <v>264</v>
      </c>
      <c r="J160" s="140" t="s">
        <v>258</v>
      </c>
      <c r="K160" s="140" t="s">
        <v>264</v>
      </c>
      <c r="L160" s="140" t="s">
        <v>258</v>
      </c>
      <c r="M160" s="140" t="s">
        <v>264</v>
      </c>
      <c r="N160" s="140" t="s">
        <v>258</v>
      </c>
      <c r="O160" s="140" t="s">
        <v>264</v>
      </c>
      <c r="P160" s="140" t="s">
        <v>258</v>
      </c>
      <c r="Q160" s="140" t="s">
        <v>264</v>
      </c>
      <c r="R160" s="140" t="s">
        <v>258</v>
      </c>
      <c r="S160" s="140" t="s">
        <v>264</v>
      </c>
      <c r="T160" s="140" t="s">
        <v>258</v>
      </c>
      <c r="U160" s="140" t="s">
        <v>264</v>
      </c>
      <c r="V160" s="19" t="s">
        <v>258</v>
      </c>
    </row>
    <row r="161" spans="2:3">
      <c r="B161" s="140" t="s">
        <v>262</v>
      </c>
      <c r="C161" s="140" t="s">
        <v>261</v>
      </c>
    </row>
    <row r="162" spans="2:3">
      <c r="B162" s="140" t="s">
        <v>128</v>
      </c>
      <c r="C162" s="140" t="s">
        <v>1</v>
      </c>
    </row>
    <row r="163" spans="2:3">
      <c r="B163" s="140" t="s">
        <v>2</v>
      </c>
      <c r="C163" s="140" t="s">
        <v>168</v>
      </c>
    </row>
    <row r="164" spans="2:3">
      <c r="B164" s="140" t="s">
        <v>3</v>
      </c>
      <c r="C164" s="140" t="s">
        <v>4</v>
      </c>
    </row>
    <row r="165" spans="2:3">
      <c r="B165" s="140" t="s">
        <v>5</v>
      </c>
      <c r="C165" s="140" t="s">
        <v>6</v>
      </c>
    </row>
    <row r="166" spans="2:3">
      <c r="B166" s="140" t="s">
        <v>7</v>
      </c>
      <c r="C166" s="140" t="s">
        <v>8</v>
      </c>
    </row>
    <row r="167" spans="2:3">
      <c r="B167" s="140" t="s">
        <v>9</v>
      </c>
      <c r="C167" s="140" t="s">
        <v>10</v>
      </c>
    </row>
    <row r="168" spans="2:3">
      <c r="B168" s="140" t="s">
        <v>11</v>
      </c>
      <c r="C168" s="140" t="s">
        <v>265</v>
      </c>
    </row>
    <row r="169" spans="2:3">
      <c r="B169" s="140" t="s">
        <v>12</v>
      </c>
      <c r="C169" s="140" t="s">
        <v>13</v>
      </c>
    </row>
    <row r="170" spans="2:3">
      <c r="B170" s="140" t="s">
        <v>14</v>
      </c>
      <c r="C170" s="140" t="s">
        <v>15</v>
      </c>
    </row>
    <row r="171" spans="2:3">
      <c r="B171" s="140" t="s">
        <v>16</v>
      </c>
      <c r="C171" s="140" t="s">
        <v>18</v>
      </c>
    </row>
    <row r="172" spans="2:3">
      <c r="B172" s="140" t="s">
        <v>19</v>
      </c>
      <c r="C172" s="140" t="s">
        <v>20</v>
      </c>
    </row>
    <row r="173" spans="2:3">
      <c r="B173" s="140" t="s">
        <v>21</v>
      </c>
      <c r="C173" s="140" t="s">
        <v>22</v>
      </c>
    </row>
    <row r="174" spans="2:3">
      <c r="B174" s="140" t="s">
        <v>23</v>
      </c>
      <c r="C174" s="140" t="s">
        <v>24</v>
      </c>
    </row>
    <row r="175" spans="2:3">
      <c r="B175" s="140" t="s">
        <v>25</v>
      </c>
      <c r="C175" s="140" t="s">
        <v>26</v>
      </c>
    </row>
    <row r="176" spans="2:3">
      <c r="B176" s="140" t="s">
        <v>27</v>
      </c>
      <c r="C176" s="140" t="s">
        <v>28</v>
      </c>
    </row>
    <row r="177" spans="2:3">
      <c r="B177" s="140" t="s">
        <v>29</v>
      </c>
      <c r="C177" s="140" t="s">
        <v>30</v>
      </c>
    </row>
    <row r="178" spans="2:3">
      <c r="B178" s="140" t="s">
        <v>31</v>
      </c>
      <c r="C178" s="140" t="s">
        <v>176</v>
      </c>
    </row>
    <row r="179" spans="2:3">
      <c r="B179" s="140" t="s">
        <v>32</v>
      </c>
      <c r="C179" s="140" t="s">
        <v>33</v>
      </c>
    </row>
    <row r="180" spans="2:3">
      <c r="B180" s="140" t="s">
        <v>34</v>
      </c>
      <c r="C180" s="140" t="s">
        <v>269</v>
      </c>
    </row>
    <row r="181" spans="2:3">
      <c r="B181" s="140" t="s">
        <v>36</v>
      </c>
      <c r="C181" s="140" t="s">
        <v>274</v>
      </c>
    </row>
    <row r="182" spans="2:3">
      <c r="B182" s="140" t="s">
        <v>37</v>
      </c>
      <c r="C182" s="140" t="s">
        <v>38</v>
      </c>
    </row>
    <row r="183" spans="2:3">
      <c r="B183" s="140" t="s">
        <v>39</v>
      </c>
      <c r="C183" s="140" t="s">
        <v>169</v>
      </c>
    </row>
    <row r="184" spans="2:3">
      <c r="B184" s="140" t="s">
        <v>40</v>
      </c>
      <c r="C184" s="140" t="s">
        <v>41</v>
      </c>
    </row>
    <row r="185" spans="2:3">
      <c r="B185" s="140" t="s">
        <v>42</v>
      </c>
      <c r="C185" s="140" t="s">
        <v>43</v>
      </c>
    </row>
    <row r="186" spans="2:3">
      <c r="B186" s="140" t="s">
        <v>163</v>
      </c>
      <c r="C186" s="140" t="s">
        <v>279</v>
      </c>
    </row>
    <row r="187" spans="2:3">
      <c r="B187" s="140" t="s">
        <v>44</v>
      </c>
      <c r="C187" s="140" t="s">
        <v>278</v>
      </c>
    </row>
    <row r="188" spans="2:3">
      <c r="B188" s="140" t="s">
        <v>45</v>
      </c>
      <c r="C188" s="140" t="s">
        <v>46</v>
      </c>
    </row>
    <row r="189" spans="2:3">
      <c r="B189" s="140" t="s">
        <v>47</v>
      </c>
      <c r="C189" s="140" t="s">
        <v>48</v>
      </c>
    </row>
    <row r="190" spans="2:3">
      <c r="B190" s="140" t="s">
        <v>49</v>
      </c>
      <c r="C190" s="140" t="s">
        <v>270</v>
      </c>
    </row>
    <row r="191" spans="2:3">
      <c r="B191" s="140" t="s">
        <v>50</v>
      </c>
      <c r="C191" s="140" t="s">
        <v>170</v>
      </c>
    </row>
    <row r="192" spans="2:3">
      <c r="B192" s="140" t="s">
        <v>51</v>
      </c>
      <c r="C192" s="140" t="s">
        <v>52</v>
      </c>
    </row>
    <row r="193" spans="2:3">
      <c r="B193" s="140" t="s">
        <v>53</v>
      </c>
      <c r="C193" s="140" t="s">
        <v>54</v>
      </c>
    </row>
    <row r="194" spans="2:3">
      <c r="B194" s="140" t="s">
        <v>55</v>
      </c>
      <c r="C194" s="140" t="s">
        <v>56</v>
      </c>
    </row>
    <row r="195" spans="2:3">
      <c r="B195" s="140" t="s">
        <v>57</v>
      </c>
      <c r="C195" s="140" t="s">
        <v>58</v>
      </c>
    </row>
    <row r="196" spans="2:3">
      <c r="B196" s="140" t="s">
        <v>59</v>
      </c>
      <c r="C196" s="140" t="s">
        <v>60</v>
      </c>
    </row>
    <row r="197" spans="2:3">
      <c r="B197" s="140" t="s">
        <v>53</v>
      </c>
      <c r="C197" s="140" t="s">
        <v>54</v>
      </c>
    </row>
    <row r="198" spans="2:3">
      <c r="B198" s="136" t="s">
        <v>256</v>
      </c>
      <c r="C198" s="140" t="s">
        <v>61</v>
      </c>
    </row>
    <row r="199" spans="2:3">
      <c r="B199" s="140" t="s">
        <v>123</v>
      </c>
      <c r="C199" s="140" t="s">
        <v>147</v>
      </c>
    </row>
    <row r="200" spans="2:3">
      <c r="B200" s="140" t="s">
        <v>62</v>
      </c>
      <c r="C200" s="140" t="s">
        <v>351</v>
      </c>
    </row>
    <row r="201" spans="2:3">
      <c r="B201" s="140" t="s">
        <v>263</v>
      </c>
      <c r="C201" s="140" t="s">
        <v>271</v>
      </c>
    </row>
    <row r="202" spans="2:3">
      <c r="B202" s="140" t="s">
        <v>63</v>
      </c>
      <c r="C202" s="140" t="s">
        <v>352</v>
      </c>
    </row>
    <row r="203" spans="2:3">
      <c r="B203" s="140" t="s">
        <v>64</v>
      </c>
      <c r="C203" s="140" t="s">
        <v>65</v>
      </c>
    </row>
    <row r="204" spans="2:3">
      <c r="B204" s="140" t="s">
        <v>66</v>
      </c>
      <c r="C204" s="140" t="s">
        <v>67</v>
      </c>
    </row>
    <row r="205" spans="2:3">
      <c r="B205" s="140" t="s">
        <v>68</v>
      </c>
      <c r="C205" s="140" t="s">
        <v>69</v>
      </c>
    </row>
    <row r="206" spans="2:3">
      <c r="B206" s="140" t="s">
        <v>70</v>
      </c>
      <c r="C206" s="140" t="s">
        <v>71</v>
      </c>
    </row>
    <row r="207" spans="2:3">
      <c r="B207" s="140" t="s">
        <v>72</v>
      </c>
      <c r="C207" s="140" t="s">
        <v>73</v>
      </c>
    </row>
    <row r="208" spans="2:3">
      <c r="B208" s="140" t="s">
        <v>74</v>
      </c>
      <c r="C208" s="140" t="s">
        <v>272</v>
      </c>
    </row>
    <row r="209" spans="2:3">
      <c r="B209" s="140" t="s">
        <v>75</v>
      </c>
      <c r="C209" s="140" t="s">
        <v>76</v>
      </c>
    </row>
    <row r="210" spans="2:3">
      <c r="B210" s="140" t="s">
        <v>77</v>
      </c>
      <c r="C210" s="140" t="s">
        <v>78</v>
      </c>
    </row>
    <row r="211" spans="2:3">
      <c r="B211" s="140" t="s">
        <v>79</v>
      </c>
      <c r="C211" s="140" t="s">
        <v>273</v>
      </c>
    </row>
    <row r="212" spans="2:3">
      <c r="B212" s="140" t="s">
        <v>80</v>
      </c>
      <c r="C212" s="140" t="s">
        <v>81</v>
      </c>
    </row>
    <row r="213" spans="2:3">
      <c r="B213" s="140" t="s">
        <v>82</v>
      </c>
      <c r="C213" s="140" t="s">
        <v>83</v>
      </c>
    </row>
    <row r="214" spans="2:3">
      <c r="B214" s="140" t="s">
        <v>84</v>
      </c>
      <c r="C214" s="140" t="s">
        <v>85</v>
      </c>
    </row>
    <row r="215" spans="2:3">
      <c r="B215" s="140" t="s">
        <v>86</v>
      </c>
      <c r="C215" s="140" t="s">
        <v>353</v>
      </c>
    </row>
    <row r="216" spans="2:3">
      <c r="B216" s="140" t="s">
        <v>87</v>
      </c>
      <c r="C216" s="140" t="s">
        <v>88</v>
      </c>
    </row>
    <row r="217" spans="2:3">
      <c r="B217" s="140" t="s">
        <v>89</v>
      </c>
      <c r="C217" s="140" t="s">
        <v>90</v>
      </c>
    </row>
    <row r="218" spans="2:3">
      <c r="B218" s="140" t="s">
        <v>91</v>
      </c>
      <c r="C218" s="140" t="s">
        <v>92</v>
      </c>
    </row>
    <row r="219" spans="2:3">
      <c r="B219" s="140" t="s">
        <v>93</v>
      </c>
      <c r="C219" s="140" t="s">
        <v>94</v>
      </c>
    </row>
    <row r="220" spans="2:3">
      <c r="B220" s="140" t="s">
        <v>95</v>
      </c>
      <c r="C220" s="140" t="s">
        <v>96</v>
      </c>
    </row>
    <row r="221" spans="2:3">
      <c r="B221" s="140" t="s">
        <v>97</v>
      </c>
      <c r="C221" s="140" t="s">
        <v>98</v>
      </c>
    </row>
    <row r="222" spans="2:3">
      <c r="B222" s="140" t="s">
        <v>99</v>
      </c>
      <c r="C222" s="140" t="s">
        <v>101</v>
      </c>
    </row>
    <row r="223" spans="2:3">
      <c r="B223" s="140" t="s">
        <v>102</v>
      </c>
      <c r="C223" s="140" t="s">
        <v>103</v>
      </c>
    </row>
    <row r="224" spans="2:3">
      <c r="B224" s="140" t="s">
        <v>104</v>
      </c>
      <c r="C224" s="140" t="s">
        <v>105</v>
      </c>
    </row>
    <row r="225" spans="2:3">
      <c r="B225" s="140" t="s">
        <v>106</v>
      </c>
      <c r="C225" s="140" t="s">
        <v>107</v>
      </c>
    </row>
    <row r="226" spans="2:3">
      <c r="B226" s="140" t="s">
        <v>108</v>
      </c>
      <c r="C226" s="141" t="s">
        <v>174</v>
      </c>
    </row>
    <row r="227" spans="2:3">
      <c r="B227" s="140" t="s">
        <v>109</v>
      </c>
      <c r="C227" s="141" t="s">
        <v>175</v>
      </c>
    </row>
    <row r="228" spans="2:3">
      <c r="B228" s="140" t="s">
        <v>164</v>
      </c>
      <c r="C228" s="140" t="s">
        <v>354</v>
      </c>
    </row>
    <row r="229" spans="2:3">
      <c r="B229" s="140" t="s">
        <v>110</v>
      </c>
      <c r="C229" s="141" t="s">
        <v>177</v>
      </c>
    </row>
    <row r="230" spans="2:3">
      <c r="B230" s="140" t="s">
        <v>111</v>
      </c>
      <c r="C230" s="140" t="s">
        <v>112</v>
      </c>
    </row>
    <row r="231" spans="2:3">
      <c r="B231" s="140" t="s">
        <v>113</v>
      </c>
      <c r="C231" s="140" t="s">
        <v>114</v>
      </c>
    </row>
    <row r="232" spans="2:3">
      <c r="B232" s="140" t="s">
        <v>115</v>
      </c>
      <c r="C232" s="140" t="s">
        <v>117</v>
      </c>
    </row>
    <row r="233" spans="2:3">
      <c r="B233" s="140" t="s">
        <v>118</v>
      </c>
      <c r="C233" s="140" t="s">
        <v>119</v>
      </c>
    </row>
    <row r="234" spans="2:3">
      <c r="B234" s="140" t="s">
        <v>152</v>
      </c>
      <c r="C234" s="141" t="s">
        <v>178</v>
      </c>
    </row>
    <row r="235" spans="2:3">
      <c r="B235" s="140" t="s">
        <v>266</v>
      </c>
      <c r="C235" s="140" t="s">
        <v>288</v>
      </c>
    </row>
    <row r="236" spans="2:3">
      <c r="B236" s="140" t="s">
        <v>133</v>
      </c>
      <c r="C236" s="141" t="s">
        <v>179</v>
      </c>
    </row>
    <row r="237" spans="2:3">
      <c r="B237" s="140" t="s">
        <v>0</v>
      </c>
      <c r="C237" s="141" t="s">
        <v>134</v>
      </c>
    </row>
    <row r="238" spans="2:3">
      <c r="B238" s="140" t="s">
        <v>159</v>
      </c>
      <c r="C238" s="141" t="s">
        <v>136</v>
      </c>
    </row>
    <row r="239" spans="2:3">
      <c r="B239" s="140" t="s">
        <v>160</v>
      </c>
      <c r="C239" s="141" t="s">
        <v>138</v>
      </c>
    </row>
    <row r="240" spans="2:3">
      <c r="B240" s="140" t="s">
        <v>161</v>
      </c>
      <c r="C240" s="141" t="s">
        <v>139</v>
      </c>
    </row>
    <row r="241" spans="2:21">
      <c r="B241" s="140" t="s">
        <v>113</v>
      </c>
      <c r="C241" s="141" t="s">
        <v>140</v>
      </c>
    </row>
    <row r="242" spans="2:21">
      <c r="B242" s="140" t="s">
        <v>141</v>
      </c>
      <c r="C242" s="141" t="s">
        <v>142</v>
      </c>
    </row>
    <row r="243" spans="2:21">
      <c r="B243" s="140" t="s">
        <v>121</v>
      </c>
      <c r="C243" s="141" t="s">
        <v>143</v>
      </c>
    </row>
    <row r="244" spans="2:21">
      <c r="B244" s="140" t="s">
        <v>144</v>
      </c>
      <c r="C244" s="141" t="s">
        <v>145</v>
      </c>
    </row>
    <row r="245" spans="2:21">
      <c r="B245" s="140" t="s">
        <v>122</v>
      </c>
      <c r="C245" s="141" t="s">
        <v>146</v>
      </c>
    </row>
    <row r="246" spans="2:21">
      <c r="B246" s="140" t="s">
        <v>124</v>
      </c>
      <c r="C246" s="141" t="s">
        <v>148</v>
      </c>
    </row>
    <row r="247" spans="2:21">
      <c r="B247" s="140" t="s">
        <v>123</v>
      </c>
      <c r="C247" s="134" t="s">
        <v>147</v>
      </c>
    </row>
    <row r="248" spans="2:21">
      <c r="B248" s="140" t="s">
        <v>165</v>
      </c>
      <c r="C248" s="134" t="s">
        <v>276</v>
      </c>
    </row>
    <row r="249" spans="2:21">
      <c r="B249" s="140" t="s">
        <v>166</v>
      </c>
      <c r="C249" s="134" t="s">
        <v>277</v>
      </c>
    </row>
    <row r="250" spans="2:21">
      <c r="B250" s="140" t="s">
        <v>267</v>
      </c>
      <c r="C250" s="140" t="s">
        <v>275</v>
      </c>
    </row>
    <row r="253" spans="2:21">
      <c r="B253" s="638" t="s">
        <v>280</v>
      </c>
      <c r="C253" s="638"/>
      <c r="D253" s="638"/>
      <c r="E253" s="638"/>
      <c r="F253" s="638"/>
      <c r="G253" s="638"/>
      <c r="H253" s="638"/>
      <c r="I253" s="638"/>
      <c r="J253" s="638"/>
      <c r="K253" s="638"/>
      <c r="L253" s="638"/>
      <c r="M253" s="638"/>
      <c r="N253" s="638"/>
      <c r="O253" s="638"/>
      <c r="P253" s="638"/>
      <c r="Q253" s="638"/>
      <c r="R253" s="638"/>
      <c r="S253" s="638"/>
      <c r="T253" s="638"/>
    </row>
    <row r="256" spans="2:21">
      <c r="C256" s="140">
        <v>2006</v>
      </c>
      <c r="E256" s="140">
        <v>2007</v>
      </c>
      <c r="G256" s="140">
        <v>2008</v>
      </c>
      <c r="I256" s="140">
        <v>2009</v>
      </c>
      <c r="K256" s="140">
        <v>2010</v>
      </c>
      <c r="M256" s="140">
        <v>2011</v>
      </c>
      <c r="O256" s="140">
        <v>2012</v>
      </c>
      <c r="Q256" s="140">
        <v>2013</v>
      </c>
      <c r="S256" s="140">
        <v>2014</v>
      </c>
      <c r="U256" s="140">
        <v>2015</v>
      </c>
    </row>
    <row r="257" spans="2:22">
      <c r="B257" s="140" t="s">
        <v>236</v>
      </c>
      <c r="C257" s="140" t="s">
        <v>264</v>
      </c>
      <c r="D257" s="140" t="s">
        <v>154</v>
      </c>
      <c r="E257" s="140" t="s">
        <v>264</v>
      </c>
      <c r="F257" s="140" t="s">
        <v>154</v>
      </c>
      <c r="G257" s="140" t="s">
        <v>264</v>
      </c>
      <c r="H257" s="140" t="s">
        <v>154</v>
      </c>
      <c r="I257" s="140" t="s">
        <v>264</v>
      </c>
      <c r="J257" s="140" t="s">
        <v>154</v>
      </c>
      <c r="K257" s="140" t="s">
        <v>264</v>
      </c>
      <c r="L257" s="140" t="s">
        <v>154</v>
      </c>
      <c r="M257" s="140" t="s">
        <v>264</v>
      </c>
      <c r="N257" s="140" t="s">
        <v>154</v>
      </c>
      <c r="O257" s="140" t="s">
        <v>264</v>
      </c>
      <c r="P257" s="140" t="s">
        <v>154</v>
      </c>
      <c r="Q257" s="140" t="s">
        <v>264</v>
      </c>
      <c r="R257" s="140" t="s">
        <v>154</v>
      </c>
      <c r="S257" s="140" t="s">
        <v>264</v>
      </c>
      <c r="T257" s="140" t="s">
        <v>154</v>
      </c>
      <c r="U257" s="140" t="s">
        <v>264</v>
      </c>
      <c r="V257" s="19" t="s">
        <v>154</v>
      </c>
    </row>
    <row r="258" spans="2:22">
      <c r="B258" s="140" t="s">
        <v>193</v>
      </c>
      <c r="C258" s="140" t="s">
        <v>264</v>
      </c>
      <c r="D258" s="140" t="s">
        <v>258</v>
      </c>
      <c r="E258" s="140" t="s">
        <v>264</v>
      </c>
      <c r="F258" s="140" t="s">
        <v>258</v>
      </c>
      <c r="G258" s="140" t="s">
        <v>264</v>
      </c>
      <c r="H258" s="140" t="s">
        <v>258</v>
      </c>
      <c r="I258" s="140" t="s">
        <v>264</v>
      </c>
      <c r="J258" s="140" t="s">
        <v>258</v>
      </c>
      <c r="K258" s="140" t="s">
        <v>264</v>
      </c>
      <c r="L258" s="140" t="s">
        <v>258</v>
      </c>
      <c r="M258" s="140" t="s">
        <v>264</v>
      </c>
      <c r="N258" s="140" t="s">
        <v>258</v>
      </c>
      <c r="O258" s="140" t="s">
        <v>264</v>
      </c>
      <c r="P258" s="140" t="s">
        <v>258</v>
      </c>
      <c r="Q258" s="140" t="s">
        <v>264</v>
      </c>
      <c r="R258" s="140" t="s">
        <v>258</v>
      </c>
      <c r="S258" s="140" t="s">
        <v>264</v>
      </c>
      <c r="T258" s="140" t="s">
        <v>258</v>
      </c>
      <c r="U258" s="140" t="s">
        <v>264</v>
      </c>
      <c r="V258" s="19" t="s">
        <v>258</v>
      </c>
    </row>
    <row r="259" spans="2:22">
      <c r="B259" s="140" t="s">
        <v>128</v>
      </c>
      <c r="C259" s="140" t="s">
        <v>1</v>
      </c>
    </row>
    <row r="260" spans="2:22">
      <c r="B260" s="140" t="s">
        <v>2</v>
      </c>
      <c r="C260" s="140" t="s">
        <v>168</v>
      </c>
    </row>
    <row r="261" spans="2:22">
      <c r="B261" s="140" t="s">
        <v>3</v>
      </c>
      <c r="C261" s="140" t="s">
        <v>4</v>
      </c>
    </row>
    <row r="262" spans="2:22">
      <c r="B262" s="140" t="s">
        <v>5</v>
      </c>
      <c r="C262" s="140" t="s">
        <v>6</v>
      </c>
    </row>
    <row r="263" spans="2:22">
      <c r="B263" s="140" t="s">
        <v>7</v>
      </c>
      <c r="C263" s="140" t="s">
        <v>8</v>
      </c>
    </row>
    <row r="264" spans="2:22">
      <c r="B264" s="140" t="s">
        <v>9</v>
      </c>
      <c r="C264" s="140" t="s">
        <v>10</v>
      </c>
    </row>
    <row r="265" spans="2:22">
      <c r="B265" s="140" t="s">
        <v>12</v>
      </c>
      <c r="C265" s="140" t="s">
        <v>13</v>
      </c>
    </row>
    <row r="266" spans="2:22">
      <c r="B266" s="140" t="s">
        <v>14</v>
      </c>
      <c r="C266" s="140" t="s">
        <v>15</v>
      </c>
    </row>
    <row r="267" spans="2:22">
      <c r="B267" s="140" t="s">
        <v>11</v>
      </c>
      <c r="C267" s="140" t="s">
        <v>283</v>
      </c>
    </row>
    <row r="268" spans="2:22">
      <c r="B268" s="140" t="s">
        <v>16</v>
      </c>
      <c r="C268" s="140" t="s">
        <v>18</v>
      </c>
    </row>
    <row r="269" spans="2:22">
      <c r="B269" s="140" t="s">
        <v>19</v>
      </c>
      <c r="C269" s="140" t="s">
        <v>20</v>
      </c>
    </row>
    <row r="270" spans="2:22">
      <c r="B270" s="140" t="s">
        <v>21</v>
      </c>
      <c r="C270" s="140" t="s">
        <v>22</v>
      </c>
    </row>
    <row r="271" spans="2:22">
      <c r="B271" s="140" t="s">
        <v>23</v>
      </c>
      <c r="C271" s="140" t="s">
        <v>24</v>
      </c>
    </row>
    <row r="272" spans="2:22">
      <c r="B272" s="140" t="s">
        <v>25</v>
      </c>
      <c r="C272" s="140" t="s">
        <v>26</v>
      </c>
    </row>
    <row r="273" spans="2:3">
      <c r="B273" s="140" t="s">
        <v>27</v>
      </c>
      <c r="C273" s="140" t="s">
        <v>28</v>
      </c>
    </row>
    <row r="274" spans="2:3">
      <c r="B274" s="140" t="s">
        <v>29</v>
      </c>
      <c r="C274" s="140" t="s">
        <v>30</v>
      </c>
    </row>
    <row r="275" spans="2:3">
      <c r="B275" s="140" t="s">
        <v>39</v>
      </c>
      <c r="C275" s="140" t="s">
        <v>169</v>
      </c>
    </row>
    <row r="276" spans="2:3">
      <c r="B276" s="140" t="s">
        <v>53</v>
      </c>
      <c r="C276" s="140" t="s">
        <v>54</v>
      </c>
    </row>
    <row r="277" spans="2:3">
      <c r="B277" s="136" t="s">
        <v>256</v>
      </c>
      <c r="C277" s="140" t="s">
        <v>61</v>
      </c>
    </row>
    <row r="278" spans="2:3">
      <c r="B278" s="140" t="s">
        <v>236</v>
      </c>
      <c r="C278" s="140" t="s">
        <v>284</v>
      </c>
    </row>
    <row r="279" spans="2:3">
      <c r="B279" s="140" t="s">
        <v>281</v>
      </c>
      <c r="C279" s="140" t="s">
        <v>285</v>
      </c>
    </row>
    <row r="280" spans="2:3">
      <c r="B280" s="140" t="s">
        <v>63</v>
      </c>
      <c r="C280" s="140" t="s">
        <v>352</v>
      </c>
    </row>
    <row r="281" spans="2:3">
      <c r="B281" s="140" t="s">
        <v>64</v>
      </c>
      <c r="C281" s="140" t="s">
        <v>65</v>
      </c>
    </row>
    <row r="282" spans="2:3">
      <c r="B282" s="140" t="s">
        <v>66</v>
      </c>
      <c r="C282" s="140" t="s">
        <v>67</v>
      </c>
    </row>
    <row r="283" spans="2:3">
      <c r="B283" s="140" t="s">
        <v>68</v>
      </c>
      <c r="C283" s="140" t="s">
        <v>69</v>
      </c>
    </row>
    <row r="284" spans="2:3">
      <c r="B284" s="140" t="s">
        <v>70</v>
      </c>
      <c r="C284" s="140" t="s">
        <v>71</v>
      </c>
    </row>
    <row r="285" spans="2:3">
      <c r="B285" s="140" t="s">
        <v>72</v>
      </c>
      <c r="C285" s="140" t="s">
        <v>73</v>
      </c>
    </row>
    <row r="286" spans="2:3">
      <c r="B286" s="140" t="s">
        <v>155</v>
      </c>
      <c r="C286" s="140" t="s">
        <v>272</v>
      </c>
    </row>
    <row r="287" spans="2:3">
      <c r="B287" s="140" t="s">
        <v>75</v>
      </c>
      <c r="C287" s="140" t="s">
        <v>76</v>
      </c>
    </row>
    <row r="288" spans="2:3">
      <c r="B288" s="140" t="s">
        <v>77</v>
      </c>
      <c r="C288" s="140" t="s">
        <v>78</v>
      </c>
    </row>
    <row r="289" spans="2:3">
      <c r="B289" s="140" t="s">
        <v>79</v>
      </c>
      <c r="C289" s="140" t="s">
        <v>273</v>
      </c>
    </row>
    <row r="290" spans="2:3">
      <c r="B290" s="140" t="s">
        <v>80</v>
      </c>
      <c r="C290" s="140" t="s">
        <v>81</v>
      </c>
    </row>
    <row r="291" spans="2:3">
      <c r="B291" s="140" t="s">
        <v>82</v>
      </c>
      <c r="C291" s="140" t="s">
        <v>83</v>
      </c>
    </row>
    <row r="292" spans="2:3">
      <c r="B292" s="140" t="s">
        <v>84</v>
      </c>
      <c r="C292" s="140" t="s">
        <v>85</v>
      </c>
    </row>
    <row r="293" spans="2:3">
      <c r="B293" s="140" t="s">
        <v>86</v>
      </c>
      <c r="C293" s="140" t="s">
        <v>353</v>
      </c>
    </row>
    <row r="294" spans="2:3">
      <c r="B294" s="140" t="s">
        <v>156</v>
      </c>
      <c r="C294" s="140" t="s">
        <v>355</v>
      </c>
    </row>
    <row r="295" spans="2:3">
      <c r="B295" s="140" t="s">
        <v>87</v>
      </c>
      <c r="C295" s="140" t="s">
        <v>88</v>
      </c>
    </row>
    <row r="296" spans="2:3">
      <c r="B296" s="140" t="s">
        <v>89</v>
      </c>
      <c r="C296" s="140" t="s">
        <v>90</v>
      </c>
    </row>
    <row r="297" spans="2:3">
      <c r="B297" s="140" t="s">
        <v>91</v>
      </c>
      <c r="C297" s="140" t="s">
        <v>92</v>
      </c>
    </row>
    <row r="298" spans="2:3">
      <c r="B298" s="140" t="s">
        <v>93</v>
      </c>
      <c r="C298" s="140" t="s">
        <v>94</v>
      </c>
    </row>
    <row r="299" spans="2:3">
      <c r="B299" s="140" t="s">
        <v>95</v>
      </c>
      <c r="C299" s="140" t="s">
        <v>96</v>
      </c>
    </row>
    <row r="300" spans="2:3">
      <c r="B300" s="140" t="s">
        <v>97</v>
      </c>
      <c r="C300" s="140" t="s">
        <v>98</v>
      </c>
    </row>
    <row r="301" spans="2:3">
      <c r="B301" s="140" t="s">
        <v>157</v>
      </c>
      <c r="C301" s="140" t="s">
        <v>101</v>
      </c>
    </row>
    <row r="302" spans="2:3">
      <c r="B302" s="140" t="s">
        <v>102</v>
      </c>
      <c r="C302" s="140" t="s">
        <v>103</v>
      </c>
    </row>
    <row r="303" spans="2:3">
      <c r="B303" s="140" t="s">
        <v>104</v>
      </c>
      <c r="C303" s="140" t="s">
        <v>105</v>
      </c>
    </row>
    <row r="304" spans="2:3">
      <c r="B304" s="140" t="s">
        <v>109</v>
      </c>
      <c r="C304" s="141" t="s">
        <v>175</v>
      </c>
    </row>
    <row r="305" spans="2:3">
      <c r="B305" s="140" t="s">
        <v>106</v>
      </c>
      <c r="C305" s="140" t="s">
        <v>107</v>
      </c>
    </row>
    <row r="306" spans="2:3">
      <c r="B306" s="140" t="s">
        <v>282</v>
      </c>
      <c r="C306" s="140" t="s">
        <v>354</v>
      </c>
    </row>
    <row r="307" spans="2:3">
      <c r="B307" s="140" t="s">
        <v>110</v>
      </c>
      <c r="C307" s="140" t="s">
        <v>286</v>
      </c>
    </row>
    <row r="308" spans="2:3">
      <c r="B308" s="140" t="s">
        <v>158</v>
      </c>
      <c r="C308" s="140" t="s">
        <v>287</v>
      </c>
    </row>
    <row r="309" spans="2:3">
      <c r="B309" s="140" t="s">
        <v>111</v>
      </c>
      <c r="C309" s="140" t="s">
        <v>112</v>
      </c>
    </row>
    <row r="310" spans="2:3">
      <c r="B310" s="140" t="s">
        <v>113</v>
      </c>
      <c r="C310" s="140" t="s">
        <v>114</v>
      </c>
    </row>
    <row r="311" spans="2:3">
      <c r="B311" s="140" t="s">
        <v>116</v>
      </c>
      <c r="C311" s="140" t="s">
        <v>117</v>
      </c>
    </row>
    <row r="312" spans="2:3">
      <c r="B312" s="140" t="s">
        <v>118</v>
      </c>
      <c r="C312" s="140" t="s">
        <v>119</v>
      </c>
    </row>
    <row r="313" spans="2:3">
      <c r="B313" s="140" t="s">
        <v>152</v>
      </c>
      <c r="C313" s="141" t="s">
        <v>178</v>
      </c>
    </row>
    <row r="314" spans="2:3">
      <c r="B314" s="140" t="s">
        <v>266</v>
      </c>
      <c r="C314" s="140" t="s">
        <v>288</v>
      </c>
    </row>
    <row r="315" spans="2:3">
      <c r="B315" s="140" t="s">
        <v>133</v>
      </c>
      <c r="C315" s="141" t="s">
        <v>179</v>
      </c>
    </row>
    <row r="316" spans="2:3">
      <c r="B316" s="140" t="s">
        <v>0</v>
      </c>
      <c r="C316" s="141" t="s">
        <v>134</v>
      </c>
    </row>
    <row r="317" spans="2:3">
      <c r="B317" s="140" t="s">
        <v>159</v>
      </c>
      <c r="C317" s="141" t="s">
        <v>136</v>
      </c>
    </row>
    <row r="318" spans="2:3">
      <c r="B318" s="140" t="s">
        <v>160</v>
      </c>
      <c r="C318" s="141" t="s">
        <v>138</v>
      </c>
    </row>
    <row r="319" spans="2:3">
      <c r="B319" s="140" t="s">
        <v>116</v>
      </c>
      <c r="C319" s="141" t="s">
        <v>139</v>
      </c>
    </row>
    <row r="320" spans="2:3">
      <c r="B320" s="140" t="s">
        <v>113</v>
      </c>
      <c r="C320" s="141" t="s">
        <v>140</v>
      </c>
    </row>
    <row r="321" spans="2:20">
      <c r="B321" s="140" t="s">
        <v>141</v>
      </c>
      <c r="C321" s="141" t="s">
        <v>142</v>
      </c>
    </row>
    <row r="322" spans="2:20">
      <c r="B322" s="140" t="s">
        <v>121</v>
      </c>
      <c r="C322" s="141" t="s">
        <v>289</v>
      </c>
    </row>
    <row r="323" spans="2:20">
      <c r="B323" s="140" t="s">
        <v>144</v>
      </c>
      <c r="C323" s="141" t="s">
        <v>145</v>
      </c>
    </row>
    <row r="324" spans="2:20">
      <c r="B324" s="140" t="s">
        <v>122</v>
      </c>
      <c r="C324" s="141" t="s">
        <v>146</v>
      </c>
    </row>
    <row r="325" spans="2:20">
      <c r="B325" s="140" t="s">
        <v>123</v>
      </c>
      <c r="C325" s="134" t="s">
        <v>147</v>
      </c>
    </row>
    <row r="326" spans="2:20">
      <c r="B326" s="140" t="s">
        <v>124</v>
      </c>
      <c r="C326" s="141" t="s">
        <v>290</v>
      </c>
    </row>
    <row r="327" spans="2:20">
      <c r="B327" s="140" t="s">
        <v>162</v>
      </c>
      <c r="C327" s="141" t="s">
        <v>149</v>
      </c>
    </row>
    <row r="328" spans="2:20">
      <c r="B328" s="140" t="s">
        <v>267</v>
      </c>
      <c r="C328" s="140" t="s">
        <v>275</v>
      </c>
    </row>
    <row r="331" spans="2:20">
      <c r="B331" s="638" t="s">
        <v>316</v>
      </c>
      <c r="C331" s="638"/>
      <c r="D331" s="638"/>
      <c r="E331" s="638"/>
      <c r="F331" s="638"/>
      <c r="G331" s="638"/>
      <c r="H331" s="638"/>
      <c r="I331" s="638"/>
      <c r="J331" s="638"/>
      <c r="K331" s="638"/>
      <c r="L331" s="638"/>
      <c r="M331" s="638"/>
      <c r="N331" s="638"/>
      <c r="O331" s="638"/>
      <c r="P331" s="638"/>
      <c r="Q331" s="638"/>
      <c r="R331" s="638"/>
      <c r="S331" s="638"/>
      <c r="T331" s="638"/>
    </row>
    <row r="334" spans="2:20">
      <c r="C334" s="140">
        <v>2013</v>
      </c>
    </row>
    <row r="335" spans="2:20">
      <c r="B335" s="140" t="s">
        <v>404</v>
      </c>
      <c r="C335" s="140" t="s">
        <v>294</v>
      </c>
      <c r="D335" s="140" t="s">
        <v>295</v>
      </c>
      <c r="E335" s="140" t="s">
        <v>296</v>
      </c>
      <c r="F335" s="140" t="s">
        <v>297</v>
      </c>
      <c r="G335" s="140" t="s">
        <v>298</v>
      </c>
      <c r="H335" s="140" t="s">
        <v>299</v>
      </c>
      <c r="I335" s="140" t="s">
        <v>300</v>
      </c>
      <c r="J335" s="140" t="s">
        <v>301</v>
      </c>
      <c r="K335" s="140" t="s">
        <v>302</v>
      </c>
      <c r="L335" s="140" t="s">
        <v>303</v>
      </c>
      <c r="M335" s="140" t="s">
        <v>304</v>
      </c>
      <c r="N335" s="140" t="s">
        <v>305</v>
      </c>
      <c r="O335" s="140" t="s">
        <v>428</v>
      </c>
    </row>
    <row r="336" spans="2:20">
      <c r="B336" s="140" t="s">
        <v>405</v>
      </c>
      <c r="C336" s="140" t="s">
        <v>317</v>
      </c>
      <c r="D336" s="140" t="s">
        <v>318</v>
      </c>
      <c r="E336" s="140" t="s">
        <v>319</v>
      </c>
      <c r="F336" s="140" t="s">
        <v>297</v>
      </c>
      <c r="G336" s="140" t="s">
        <v>320</v>
      </c>
      <c r="H336" s="140" t="s">
        <v>321</v>
      </c>
      <c r="I336" s="140" t="s">
        <v>322</v>
      </c>
      <c r="J336" s="140" t="s">
        <v>323</v>
      </c>
      <c r="K336" s="140" t="s">
        <v>324</v>
      </c>
      <c r="L336" s="140" t="s">
        <v>325</v>
      </c>
      <c r="M336" s="140" t="s">
        <v>326</v>
      </c>
      <c r="N336" s="140" t="s">
        <v>327</v>
      </c>
      <c r="O336" s="140" t="s">
        <v>429</v>
      </c>
    </row>
    <row r="337" spans="2:3">
      <c r="B337" s="140" t="s">
        <v>128</v>
      </c>
      <c r="C337" s="140" t="s">
        <v>1</v>
      </c>
    </row>
    <row r="338" spans="2:3">
      <c r="B338" s="140" t="s">
        <v>2</v>
      </c>
      <c r="C338" s="140" t="s">
        <v>168</v>
      </c>
    </row>
    <row r="339" spans="2:3">
      <c r="B339" s="140" t="s">
        <v>3</v>
      </c>
      <c r="C339" s="140" t="s">
        <v>4</v>
      </c>
    </row>
    <row r="340" spans="2:3">
      <c r="B340" s="140" t="s">
        <v>5</v>
      </c>
      <c r="C340" s="140" t="s">
        <v>6</v>
      </c>
    </row>
    <row r="341" spans="2:3">
      <c r="B341" s="140" t="s">
        <v>306</v>
      </c>
      <c r="C341" s="140" t="s">
        <v>8</v>
      </c>
    </row>
    <row r="342" spans="2:3">
      <c r="B342" s="140" t="s">
        <v>9</v>
      </c>
      <c r="C342" s="140" t="s">
        <v>10</v>
      </c>
    </row>
    <row r="343" spans="2:3">
      <c r="B343" s="140" t="s">
        <v>307</v>
      </c>
      <c r="C343" s="140" t="s">
        <v>13</v>
      </c>
    </row>
    <row r="344" spans="2:3">
      <c r="B344" s="140" t="s">
        <v>308</v>
      </c>
      <c r="C344" s="140" t="s">
        <v>15</v>
      </c>
    </row>
    <row r="345" spans="2:3">
      <c r="B345" s="140" t="s">
        <v>16</v>
      </c>
      <c r="C345" s="140" t="s">
        <v>18</v>
      </c>
    </row>
    <row r="346" spans="2:3">
      <c r="B346" s="140" t="s">
        <v>19</v>
      </c>
      <c r="C346" s="140" t="s">
        <v>20</v>
      </c>
    </row>
    <row r="347" spans="2:3">
      <c r="B347" s="140" t="s">
        <v>309</v>
      </c>
      <c r="C347" s="140" t="s">
        <v>22</v>
      </c>
    </row>
    <row r="348" spans="2:3">
      <c r="B348" s="140" t="s">
        <v>310</v>
      </c>
      <c r="C348" s="140" t="s">
        <v>24</v>
      </c>
    </row>
    <row r="349" spans="2:3">
      <c r="B349" s="140" t="s">
        <v>311</v>
      </c>
      <c r="C349" s="140" t="s">
        <v>26</v>
      </c>
    </row>
    <row r="350" spans="2:3">
      <c r="B350" s="140" t="s">
        <v>27</v>
      </c>
      <c r="C350" s="140" t="s">
        <v>28</v>
      </c>
    </row>
    <row r="351" spans="2:3">
      <c r="B351" s="140" t="s">
        <v>29</v>
      </c>
      <c r="C351" s="140" t="s">
        <v>30</v>
      </c>
    </row>
    <row r="352" spans="2:3">
      <c r="B352" s="140" t="s">
        <v>31</v>
      </c>
      <c r="C352" s="140" t="s">
        <v>176</v>
      </c>
    </row>
    <row r="353" spans="2:3">
      <c r="B353" s="140" t="s">
        <v>32</v>
      </c>
      <c r="C353" s="140" t="s">
        <v>33</v>
      </c>
    </row>
    <row r="354" spans="2:3">
      <c r="B354" s="140" t="s">
        <v>34</v>
      </c>
      <c r="C354" s="140" t="s">
        <v>35</v>
      </c>
    </row>
    <row r="355" spans="2:3">
      <c r="B355" s="140" t="s">
        <v>37</v>
      </c>
      <c r="C355" s="140" t="s">
        <v>38</v>
      </c>
    </row>
    <row r="356" spans="2:3">
      <c r="B356" s="140" t="s">
        <v>39</v>
      </c>
      <c r="C356" s="140" t="s">
        <v>169</v>
      </c>
    </row>
    <row r="357" spans="2:3">
      <c r="B357" s="140" t="s">
        <v>329</v>
      </c>
      <c r="C357" s="140" t="s">
        <v>41</v>
      </c>
    </row>
    <row r="358" spans="2:3">
      <c r="B358" s="140" t="s">
        <v>312</v>
      </c>
      <c r="C358" s="140" t="s">
        <v>43</v>
      </c>
    </row>
    <row r="359" spans="2:3">
      <c r="B359" s="140" t="s">
        <v>45</v>
      </c>
      <c r="C359" s="140" t="s">
        <v>46</v>
      </c>
    </row>
    <row r="360" spans="2:3">
      <c r="B360" s="140" t="s">
        <v>313</v>
      </c>
      <c r="C360" s="140" t="s">
        <v>48</v>
      </c>
    </row>
    <row r="361" spans="2:3">
      <c r="B361" s="140" t="s">
        <v>314</v>
      </c>
      <c r="C361" s="140" t="s">
        <v>170</v>
      </c>
    </row>
    <row r="362" spans="2:3">
      <c r="B362" s="140" t="s">
        <v>51</v>
      </c>
      <c r="C362" s="140" t="s">
        <v>52</v>
      </c>
    </row>
    <row r="363" spans="2:3">
      <c r="B363" s="140" t="s">
        <v>53</v>
      </c>
      <c r="C363" s="140" t="s">
        <v>54</v>
      </c>
    </row>
    <row r="364" spans="2:3">
      <c r="B364" s="140" t="s">
        <v>55</v>
      </c>
      <c r="C364" s="140" t="s">
        <v>56</v>
      </c>
    </row>
    <row r="365" spans="2:3">
      <c r="B365" s="140" t="s">
        <v>57</v>
      </c>
      <c r="C365" s="140" t="s">
        <v>58</v>
      </c>
    </row>
    <row r="366" spans="2:3">
      <c r="B366" s="140" t="s">
        <v>315</v>
      </c>
      <c r="C366" s="140" t="s">
        <v>60</v>
      </c>
    </row>
    <row r="367" spans="2:3">
      <c r="B367" s="140" t="s">
        <v>53</v>
      </c>
      <c r="C367" s="140" t="s">
        <v>54</v>
      </c>
    </row>
    <row r="368" spans="2:3">
      <c r="B368" s="136" t="s">
        <v>256</v>
      </c>
      <c r="C368" s="140" t="s">
        <v>61</v>
      </c>
    </row>
    <row r="369" spans="2:3">
      <c r="B369" s="140" t="s">
        <v>62</v>
      </c>
      <c r="C369" s="140" t="s">
        <v>351</v>
      </c>
    </row>
    <row r="370" spans="2:3">
      <c r="B370" s="140" t="s">
        <v>126</v>
      </c>
      <c r="C370" s="140" t="s">
        <v>171</v>
      </c>
    </row>
    <row r="371" spans="2:3">
      <c r="B371" s="140" t="s">
        <v>63</v>
      </c>
      <c r="C371" s="140" t="s">
        <v>352</v>
      </c>
    </row>
    <row r="372" spans="2:3">
      <c r="B372" s="140" t="s">
        <v>64</v>
      </c>
      <c r="C372" s="140" t="s">
        <v>65</v>
      </c>
    </row>
    <row r="373" spans="2:3">
      <c r="B373" s="140" t="s">
        <v>66</v>
      </c>
      <c r="C373" s="140" t="s">
        <v>67</v>
      </c>
    </row>
    <row r="374" spans="2:3">
      <c r="B374" s="140" t="s">
        <v>68</v>
      </c>
      <c r="C374" s="140" t="s">
        <v>69</v>
      </c>
    </row>
    <row r="375" spans="2:3">
      <c r="B375" s="140" t="s">
        <v>70</v>
      </c>
      <c r="C375" s="140" t="s">
        <v>71</v>
      </c>
    </row>
    <row r="376" spans="2:3">
      <c r="B376" s="140" t="s">
        <v>72</v>
      </c>
      <c r="C376" s="140" t="s">
        <v>73</v>
      </c>
    </row>
    <row r="377" spans="2:3">
      <c r="B377" s="140" t="s">
        <v>129</v>
      </c>
      <c r="C377" s="140" t="s">
        <v>180</v>
      </c>
    </row>
    <row r="378" spans="2:3">
      <c r="B378" s="140" t="s">
        <v>75</v>
      </c>
      <c r="C378" s="140" t="s">
        <v>76</v>
      </c>
    </row>
    <row r="379" spans="2:3">
      <c r="B379" s="140" t="s">
        <v>77</v>
      </c>
      <c r="C379" s="140" t="s">
        <v>78</v>
      </c>
    </row>
    <row r="380" spans="2:3">
      <c r="B380" s="140" t="s">
        <v>79</v>
      </c>
      <c r="C380" s="140" t="s">
        <v>151</v>
      </c>
    </row>
    <row r="381" spans="2:3">
      <c r="B381" s="140" t="s">
        <v>80</v>
      </c>
      <c r="C381" s="140" t="s">
        <v>81</v>
      </c>
    </row>
    <row r="382" spans="2:3">
      <c r="B382" s="140" t="s">
        <v>82</v>
      </c>
      <c r="C382" s="140" t="s">
        <v>83</v>
      </c>
    </row>
    <row r="383" spans="2:3">
      <c r="B383" s="140" t="s">
        <v>84</v>
      </c>
      <c r="C383" s="140" t="s">
        <v>85</v>
      </c>
    </row>
    <row r="384" spans="2:3">
      <c r="B384" s="140" t="s">
        <v>86</v>
      </c>
      <c r="C384" s="140" t="s">
        <v>353</v>
      </c>
    </row>
    <row r="385" spans="2:3">
      <c r="B385" s="140" t="s">
        <v>130</v>
      </c>
      <c r="C385" s="140" t="s">
        <v>181</v>
      </c>
    </row>
    <row r="386" spans="2:3">
      <c r="B386" s="140" t="s">
        <v>87</v>
      </c>
      <c r="C386" s="140" t="s">
        <v>88</v>
      </c>
    </row>
    <row r="387" spans="2:3">
      <c r="B387" s="140" t="s">
        <v>89</v>
      </c>
      <c r="C387" s="140" t="s">
        <v>90</v>
      </c>
    </row>
    <row r="388" spans="2:3">
      <c r="B388" s="140" t="s">
        <v>91</v>
      </c>
      <c r="C388" s="140" t="s">
        <v>92</v>
      </c>
    </row>
    <row r="389" spans="2:3">
      <c r="B389" s="140" t="s">
        <v>93</v>
      </c>
      <c r="C389" s="140" t="s">
        <v>94</v>
      </c>
    </row>
    <row r="390" spans="2:3">
      <c r="B390" s="140" t="s">
        <v>95</v>
      </c>
      <c r="C390" s="140" t="s">
        <v>96</v>
      </c>
    </row>
    <row r="391" spans="2:3">
      <c r="B391" s="140" t="s">
        <v>97</v>
      </c>
      <c r="C391" s="140" t="s">
        <v>98</v>
      </c>
    </row>
    <row r="392" spans="2:3">
      <c r="B392" s="140" t="s">
        <v>100</v>
      </c>
      <c r="C392" s="140" t="s">
        <v>101</v>
      </c>
    </row>
    <row r="393" spans="2:3">
      <c r="B393" s="140" t="s">
        <v>102</v>
      </c>
      <c r="C393" s="140" t="s">
        <v>103</v>
      </c>
    </row>
    <row r="394" spans="2:3">
      <c r="B394" s="140" t="s">
        <v>104</v>
      </c>
      <c r="C394" s="140" t="s">
        <v>105</v>
      </c>
    </row>
    <row r="395" spans="2:3">
      <c r="B395" s="140" t="s">
        <v>106</v>
      </c>
      <c r="C395" s="140" t="s">
        <v>107</v>
      </c>
    </row>
    <row r="396" spans="2:3">
      <c r="B396" s="140" t="s">
        <v>108</v>
      </c>
      <c r="C396" s="140" t="s">
        <v>174</v>
      </c>
    </row>
    <row r="397" spans="2:3">
      <c r="B397" s="140" t="s">
        <v>109</v>
      </c>
      <c r="C397" s="140" t="s">
        <v>175</v>
      </c>
    </row>
    <row r="398" spans="2:3">
      <c r="B398" s="140" t="s">
        <v>131</v>
      </c>
      <c r="C398" s="140" t="s">
        <v>386</v>
      </c>
    </row>
    <row r="399" spans="2:3">
      <c r="B399" s="140" t="s">
        <v>111</v>
      </c>
      <c r="C399" s="140" t="s">
        <v>112</v>
      </c>
    </row>
    <row r="400" spans="2:3">
      <c r="B400" s="140" t="s">
        <v>118</v>
      </c>
      <c r="C400" s="140" t="s">
        <v>119</v>
      </c>
    </row>
    <row r="401" spans="2:3">
      <c r="B401" s="140" t="s">
        <v>152</v>
      </c>
      <c r="C401" s="140" t="s">
        <v>178</v>
      </c>
    </row>
    <row r="402" spans="2:3">
      <c r="B402" s="140" t="s">
        <v>132</v>
      </c>
      <c r="C402" s="140" t="s">
        <v>120</v>
      </c>
    </row>
    <row r="403" spans="2:3">
      <c r="B403" s="140" t="s">
        <v>133</v>
      </c>
      <c r="C403" s="140" t="s">
        <v>179</v>
      </c>
    </row>
    <row r="404" spans="2:3">
      <c r="B404" s="140" t="s">
        <v>0</v>
      </c>
      <c r="C404" s="140" t="s">
        <v>134</v>
      </c>
    </row>
    <row r="405" spans="2:3">
      <c r="B405" s="140" t="s">
        <v>135</v>
      </c>
      <c r="C405" s="140" t="s">
        <v>136</v>
      </c>
    </row>
    <row r="406" spans="2:3">
      <c r="B406" s="140" t="s">
        <v>137</v>
      </c>
      <c r="C406" s="140" t="s">
        <v>138</v>
      </c>
    </row>
    <row r="407" spans="2:3">
      <c r="B407" s="140" t="s">
        <v>116</v>
      </c>
      <c r="C407" s="140" t="s">
        <v>139</v>
      </c>
    </row>
    <row r="408" spans="2:3">
      <c r="B408" s="140" t="s">
        <v>113</v>
      </c>
      <c r="C408" s="140" t="s">
        <v>140</v>
      </c>
    </row>
    <row r="409" spans="2:3">
      <c r="B409" s="140" t="s">
        <v>141</v>
      </c>
      <c r="C409" s="140" t="s">
        <v>142</v>
      </c>
    </row>
    <row r="410" spans="2:3">
      <c r="B410" s="140" t="s">
        <v>121</v>
      </c>
      <c r="C410" s="140" t="s">
        <v>143</v>
      </c>
    </row>
    <row r="411" spans="2:3">
      <c r="B411" s="140" t="s">
        <v>144</v>
      </c>
      <c r="C411" s="140" t="s">
        <v>145</v>
      </c>
    </row>
    <row r="412" spans="2:3">
      <c r="B412" s="140" t="s">
        <v>122</v>
      </c>
      <c r="C412" s="140" t="s">
        <v>146</v>
      </c>
    </row>
    <row r="413" spans="2:3">
      <c r="B413" s="140" t="s">
        <v>123</v>
      </c>
      <c r="C413" s="140" t="s">
        <v>147</v>
      </c>
    </row>
    <row r="414" spans="2:3">
      <c r="B414" s="140" t="s">
        <v>330</v>
      </c>
      <c r="C414" s="140" t="s">
        <v>148</v>
      </c>
    </row>
    <row r="415" spans="2:3">
      <c r="B415" s="140" t="s">
        <v>125</v>
      </c>
      <c r="C415" s="140" t="s">
        <v>149</v>
      </c>
    </row>
    <row r="416" spans="2:3">
      <c r="B416" s="140" t="s">
        <v>267</v>
      </c>
      <c r="C416" s="140" t="s">
        <v>268</v>
      </c>
    </row>
    <row r="419" spans="2:23">
      <c r="B419" s="638" t="s">
        <v>406</v>
      </c>
      <c r="C419" s="638"/>
      <c r="D419" s="638"/>
      <c r="E419" s="638"/>
      <c r="F419" s="638"/>
      <c r="G419" s="638"/>
      <c r="H419" s="638"/>
      <c r="I419" s="638"/>
      <c r="J419" s="638"/>
      <c r="K419" s="638"/>
      <c r="L419" s="638"/>
      <c r="M419" s="638"/>
      <c r="N419" s="638"/>
      <c r="O419" s="638"/>
      <c r="P419" s="638"/>
      <c r="Q419" s="638"/>
      <c r="R419" s="638"/>
      <c r="S419" s="638"/>
      <c r="T419" s="638"/>
    </row>
    <row r="421" spans="2:23">
      <c r="B421" s="140" t="s">
        <v>328</v>
      </c>
    </row>
    <row r="422" spans="2:23">
      <c r="B422" s="140" t="s">
        <v>335</v>
      </c>
      <c r="O422" s="19"/>
    </row>
    <row r="424" spans="2:23">
      <c r="B424" s="140" t="s">
        <v>408</v>
      </c>
    </row>
    <row r="425" spans="2:23">
      <c r="B425" s="140" t="s">
        <v>408</v>
      </c>
    </row>
    <row r="427" spans="2:23">
      <c r="B427" s="638" t="s">
        <v>331</v>
      </c>
      <c r="C427" s="638"/>
      <c r="D427" s="638"/>
      <c r="E427" s="638"/>
      <c r="F427" s="638"/>
      <c r="G427" s="638"/>
      <c r="H427" s="638"/>
      <c r="I427" s="638"/>
      <c r="J427" s="638"/>
      <c r="K427" s="638"/>
      <c r="L427" s="638"/>
      <c r="M427" s="638"/>
      <c r="N427" s="638"/>
      <c r="O427" s="638"/>
      <c r="P427" s="638"/>
      <c r="Q427" s="638"/>
      <c r="R427" s="638"/>
      <c r="S427" s="638"/>
      <c r="T427" s="638"/>
    </row>
    <row r="429" spans="2:23">
      <c r="B429" s="140" t="s">
        <v>337</v>
      </c>
      <c r="C429" s="140" t="s">
        <v>241</v>
      </c>
      <c r="D429" s="140" t="s">
        <v>407</v>
      </c>
      <c r="E429" s="156" t="s">
        <v>409</v>
      </c>
      <c r="F429" s="156" t="s">
        <v>410</v>
      </c>
      <c r="G429" s="156" t="s">
        <v>413</v>
      </c>
      <c r="H429" s="156" t="s">
        <v>418</v>
      </c>
      <c r="I429" s="191" t="s">
        <v>419</v>
      </c>
      <c r="J429" s="191" t="s">
        <v>420</v>
      </c>
    </row>
    <row r="430" spans="2:23">
      <c r="B430" s="140" t="s">
        <v>338</v>
      </c>
      <c r="C430" s="140" t="s">
        <v>350</v>
      </c>
      <c r="D430" s="140" t="s">
        <v>407</v>
      </c>
      <c r="E430" s="156" t="s">
        <v>409</v>
      </c>
      <c r="F430" s="156" t="s">
        <v>415</v>
      </c>
      <c r="G430" s="156" t="s">
        <v>414</v>
      </c>
      <c r="H430" s="140" t="s">
        <v>417</v>
      </c>
      <c r="I430" s="191" t="s">
        <v>419</v>
      </c>
      <c r="J430" s="191" t="s">
        <v>420</v>
      </c>
      <c r="W430" s="171"/>
    </row>
    <row r="432" spans="2:23">
      <c r="B432" s="638" t="s">
        <v>356</v>
      </c>
      <c r="C432" s="638"/>
      <c r="D432" s="638"/>
      <c r="E432" s="638"/>
      <c r="F432" s="638"/>
      <c r="G432" s="638"/>
      <c r="H432" s="638"/>
      <c r="I432" s="638"/>
      <c r="J432" s="638"/>
      <c r="K432" s="638"/>
      <c r="L432" s="638"/>
      <c r="M432" s="638"/>
      <c r="N432" s="638"/>
      <c r="O432" s="638"/>
      <c r="P432" s="638"/>
      <c r="Q432" s="638"/>
      <c r="R432" s="638"/>
      <c r="S432" s="638"/>
      <c r="T432" s="638"/>
    </row>
    <row r="435" spans="2:6">
      <c r="B435" s="140" t="s">
        <v>364</v>
      </c>
      <c r="C435" s="140" t="s">
        <v>365</v>
      </c>
    </row>
    <row r="437" spans="2:6">
      <c r="B437" s="140" t="s">
        <v>357</v>
      </c>
      <c r="C437" s="140" t="s">
        <v>356</v>
      </c>
    </row>
    <row r="438" spans="2:6">
      <c r="B438" s="140" t="s">
        <v>358</v>
      </c>
      <c r="C438" s="140" t="s">
        <v>366</v>
      </c>
    </row>
    <row r="439" spans="2:6">
      <c r="B439" s="140" t="s">
        <v>359</v>
      </c>
      <c r="C439" s="140" t="s">
        <v>367</v>
      </c>
    </row>
    <row r="441" spans="2:6">
      <c r="B441" s="140" t="s">
        <v>368</v>
      </c>
      <c r="C441" s="140" t="s">
        <v>360</v>
      </c>
      <c r="D441" s="140" t="s">
        <v>361</v>
      </c>
      <c r="E441" s="140" t="s">
        <v>362</v>
      </c>
      <c r="F441" s="140" t="s">
        <v>363</v>
      </c>
    </row>
    <row r="442" spans="2:6">
      <c r="B442" s="140" t="s">
        <v>369</v>
      </c>
      <c r="C442" s="140" t="s">
        <v>370</v>
      </c>
      <c r="D442" s="140" t="s">
        <v>371</v>
      </c>
      <c r="E442" s="140" t="s">
        <v>372</v>
      </c>
      <c r="F442" s="140" t="s">
        <v>373</v>
      </c>
    </row>
    <row r="443" spans="2:6">
      <c r="B443" s="140" t="s">
        <v>374</v>
      </c>
    </row>
    <row r="444" spans="2:6">
      <c r="B444" s="140" t="s">
        <v>375</v>
      </c>
    </row>
    <row r="448" spans="2:6">
      <c r="B448" s="140" t="s">
        <v>424</v>
      </c>
    </row>
    <row r="450" spans="2:2">
      <c r="B450" s="140" t="s">
        <v>128</v>
      </c>
    </row>
    <row r="451" spans="2:2">
      <c r="B451" s="140" t="s">
        <v>2</v>
      </c>
    </row>
    <row r="452" spans="2:2">
      <c r="B452" s="140" t="s">
        <v>3</v>
      </c>
    </row>
    <row r="453" spans="2:2">
      <c r="B453" s="140" t="s">
        <v>5</v>
      </c>
    </row>
    <row r="454" spans="2:2">
      <c r="B454" s="140" t="s">
        <v>306</v>
      </c>
    </row>
    <row r="455" spans="2:2">
      <c r="B455" s="140" t="s">
        <v>9</v>
      </c>
    </row>
    <row r="456" spans="2:2">
      <c r="B456" s="140" t="s">
        <v>307</v>
      </c>
    </row>
    <row r="457" spans="2:2">
      <c r="B457" s="140" t="s">
        <v>308</v>
      </c>
    </row>
    <row r="458" spans="2:2">
      <c r="B458" s="140" t="s">
        <v>16</v>
      </c>
    </row>
    <row r="459" spans="2:2">
      <c r="B459" s="140" t="s">
        <v>19</v>
      </c>
    </row>
    <row r="460" spans="2:2">
      <c r="B460" s="140" t="s">
        <v>309</v>
      </c>
    </row>
    <row r="461" spans="2:2">
      <c r="B461" s="140" t="s">
        <v>310</v>
      </c>
    </row>
    <row r="462" spans="2:2">
      <c r="B462" s="140" t="s">
        <v>311</v>
      </c>
    </row>
    <row r="463" spans="2:2">
      <c r="B463" s="140" t="s">
        <v>27</v>
      </c>
    </row>
    <row r="464" spans="2:2">
      <c r="B464" s="140" t="s">
        <v>29</v>
      </c>
    </row>
    <row r="465" spans="2:2">
      <c r="B465" s="140" t="s">
        <v>31</v>
      </c>
    </row>
    <row r="466" spans="2:2">
      <c r="B466" s="140" t="s">
        <v>32</v>
      </c>
    </row>
    <row r="467" spans="2:2">
      <c r="B467" s="140" t="s">
        <v>34</v>
      </c>
    </row>
    <row r="468" spans="2:2">
      <c r="B468" s="140" t="s">
        <v>37</v>
      </c>
    </row>
    <row r="469" spans="2:2">
      <c r="B469" s="140" t="s">
        <v>39</v>
      </c>
    </row>
    <row r="470" spans="2:2">
      <c r="B470" s="140" t="s">
        <v>329</v>
      </c>
    </row>
    <row r="471" spans="2:2">
      <c r="B471" s="140" t="s">
        <v>312</v>
      </c>
    </row>
    <row r="472" spans="2:2">
      <c r="B472" s="140" t="s">
        <v>45</v>
      </c>
    </row>
    <row r="473" spans="2:2">
      <c r="B473" s="140" t="s">
        <v>313</v>
      </c>
    </row>
    <row r="474" spans="2:2">
      <c r="B474" s="140" t="s">
        <v>314</v>
      </c>
    </row>
    <row r="475" spans="2:2">
      <c r="B475" s="140" t="s">
        <v>51</v>
      </c>
    </row>
    <row r="476" spans="2:2">
      <c r="B476" s="140" t="s">
        <v>53</v>
      </c>
    </row>
    <row r="477" spans="2:2">
      <c r="B477" s="140" t="s">
        <v>55</v>
      </c>
    </row>
    <row r="478" spans="2:2">
      <c r="B478" s="140" t="s">
        <v>57</v>
      </c>
    </row>
    <row r="479" spans="2:2">
      <c r="B479" s="140" t="s">
        <v>315</v>
      </c>
    </row>
    <row r="480" spans="2:2">
      <c r="B480" s="140" t="s">
        <v>53</v>
      </c>
    </row>
    <row r="481" spans="2:2">
      <c r="B481" s="140" t="s">
        <v>256</v>
      </c>
    </row>
    <row r="482" spans="2:2">
      <c r="B482" s="140" t="s">
        <v>62</v>
      </c>
    </row>
    <row r="483" spans="2:2">
      <c r="B483" s="140" t="s">
        <v>126</v>
      </c>
    </row>
    <row r="484" spans="2:2">
      <c r="B484" s="140" t="s">
        <v>63</v>
      </c>
    </row>
    <row r="485" spans="2:2">
      <c r="B485" s="140" t="s">
        <v>64</v>
      </c>
    </row>
    <row r="486" spans="2:2">
      <c r="B486" s="140" t="s">
        <v>66</v>
      </c>
    </row>
    <row r="487" spans="2:2">
      <c r="B487" s="140" t="s">
        <v>68</v>
      </c>
    </row>
    <row r="488" spans="2:2">
      <c r="B488" s="140" t="s">
        <v>70</v>
      </c>
    </row>
    <row r="489" spans="2:2">
      <c r="B489" s="140" t="s">
        <v>72</v>
      </c>
    </row>
    <row r="490" spans="2:2">
      <c r="B490" s="140" t="s">
        <v>129</v>
      </c>
    </row>
    <row r="491" spans="2:2">
      <c r="B491" s="140" t="s">
        <v>75</v>
      </c>
    </row>
    <row r="492" spans="2:2">
      <c r="B492" s="140" t="s">
        <v>77</v>
      </c>
    </row>
    <row r="493" spans="2:2">
      <c r="B493" s="140" t="s">
        <v>79</v>
      </c>
    </row>
    <row r="494" spans="2:2">
      <c r="B494" s="140" t="s">
        <v>80</v>
      </c>
    </row>
    <row r="495" spans="2:2">
      <c r="B495" s="140" t="s">
        <v>82</v>
      </c>
    </row>
    <row r="496" spans="2:2">
      <c r="B496" s="140" t="s">
        <v>84</v>
      </c>
    </row>
    <row r="497" spans="2:2">
      <c r="B497" s="140" t="s">
        <v>86</v>
      </c>
    </row>
    <row r="498" spans="2:2">
      <c r="B498" s="140" t="s">
        <v>130</v>
      </c>
    </row>
    <row r="499" spans="2:2">
      <c r="B499" s="140" t="s">
        <v>87</v>
      </c>
    </row>
    <row r="500" spans="2:2">
      <c r="B500" s="140" t="s">
        <v>89</v>
      </c>
    </row>
    <row r="501" spans="2:2">
      <c r="B501" s="140" t="s">
        <v>91</v>
      </c>
    </row>
    <row r="502" spans="2:2">
      <c r="B502" s="140" t="s">
        <v>93</v>
      </c>
    </row>
    <row r="503" spans="2:2">
      <c r="B503" s="140" t="s">
        <v>95</v>
      </c>
    </row>
    <row r="504" spans="2:2">
      <c r="B504" s="140" t="s">
        <v>97</v>
      </c>
    </row>
    <row r="505" spans="2:2">
      <c r="B505" s="140" t="s">
        <v>100</v>
      </c>
    </row>
    <row r="506" spans="2:2">
      <c r="B506" s="140" t="s">
        <v>102</v>
      </c>
    </row>
    <row r="507" spans="2:2">
      <c r="B507" s="140" t="s">
        <v>104</v>
      </c>
    </row>
    <row r="508" spans="2:2">
      <c r="B508" s="140" t="s">
        <v>106</v>
      </c>
    </row>
    <row r="509" spans="2:2">
      <c r="B509" s="140" t="s">
        <v>108</v>
      </c>
    </row>
    <row r="510" spans="2:2">
      <c r="B510" s="140" t="s">
        <v>426</v>
      </c>
    </row>
    <row r="511" spans="2:2">
      <c r="B511" s="140" t="s">
        <v>109</v>
      </c>
    </row>
    <row r="512" spans="2:2">
      <c r="B512" s="140" t="s">
        <v>131</v>
      </c>
    </row>
    <row r="513" spans="2:2">
      <c r="B513" s="140" t="s">
        <v>111</v>
      </c>
    </row>
    <row r="514" spans="2:2">
      <c r="B514" s="140" t="s">
        <v>118</v>
      </c>
    </row>
    <row r="515" spans="2:2">
      <c r="B515" s="140" t="s">
        <v>113</v>
      </c>
    </row>
    <row r="516" spans="2:2">
      <c r="B516" s="140" t="s">
        <v>152</v>
      </c>
    </row>
    <row r="517" spans="2:2">
      <c r="B517" s="140" t="s">
        <v>132</v>
      </c>
    </row>
    <row r="518" spans="2:2">
      <c r="B518" s="140" t="s">
        <v>133</v>
      </c>
    </row>
    <row r="519" spans="2:2">
      <c r="B519" s="140" t="s">
        <v>0</v>
      </c>
    </row>
    <row r="520" spans="2:2">
      <c r="B520" s="140" t="s">
        <v>135</v>
      </c>
    </row>
    <row r="521" spans="2:2">
      <c r="B521" s="140" t="s">
        <v>137</v>
      </c>
    </row>
    <row r="522" spans="2:2">
      <c r="B522" s="140" t="s">
        <v>116</v>
      </c>
    </row>
    <row r="523" spans="2:2">
      <c r="B523" s="140" t="s">
        <v>141</v>
      </c>
    </row>
    <row r="524" spans="2:2">
      <c r="B524" s="140" t="s">
        <v>121</v>
      </c>
    </row>
    <row r="525" spans="2:2">
      <c r="B525" s="140" t="s">
        <v>144</v>
      </c>
    </row>
    <row r="526" spans="2:2">
      <c r="B526" s="140" t="s">
        <v>122</v>
      </c>
    </row>
    <row r="527" spans="2:2">
      <c r="B527" s="140" t="s">
        <v>123</v>
      </c>
    </row>
    <row r="528" spans="2:2">
      <c r="B528" s="140" t="s">
        <v>330</v>
      </c>
    </row>
    <row r="529" spans="2:2">
      <c r="B529" s="140" t="s">
        <v>125</v>
      </c>
    </row>
    <row r="530" spans="2:2">
      <c r="B530" s="140" t="s">
        <v>267</v>
      </c>
    </row>
  </sheetData>
  <mergeCells count="21">
    <mergeCell ref="B419:T419"/>
    <mergeCell ref="B432:T432"/>
    <mergeCell ref="B427:T427"/>
    <mergeCell ref="B331:T331"/>
    <mergeCell ref="B253:T253"/>
    <mergeCell ref="B3:C3"/>
    <mergeCell ref="B154:T154"/>
    <mergeCell ref="B62:T62"/>
    <mergeCell ref="D52:D59"/>
    <mergeCell ref="B52:B59"/>
    <mergeCell ref="M42:P42"/>
    <mergeCell ref="J42:L42"/>
    <mergeCell ref="F42:H42"/>
    <mergeCell ref="D42:D51"/>
    <mergeCell ref="B42:B51"/>
    <mergeCell ref="J40:L40"/>
    <mergeCell ref="F40:H40"/>
    <mergeCell ref="D40:E41"/>
    <mergeCell ref="B37:T37"/>
    <mergeCell ref="B40:C41"/>
    <mergeCell ref="M40:P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162" bestFit="1" customWidth="1"/>
    <col min="22" max="22" width="10.85546875" bestFit="1" customWidth="1"/>
  </cols>
  <sheetData>
    <row r="4" spans="3:24" ht="13.5" thickBot="1">
      <c r="O4" s="19" t="s">
        <v>377</v>
      </c>
    </row>
    <row r="5" spans="3:24" ht="13.5" thickTop="1">
      <c r="C5" s="605" t="s">
        <v>328</v>
      </c>
      <c r="D5" s="602">
        <v>2011</v>
      </c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T5" s="645">
        <v>2011</v>
      </c>
      <c r="U5" s="645"/>
      <c r="V5" s="645"/>
      <c r="W5" s="645"/>
    </row>
    <row r="6" spans="3:24" ht="13.5" thickBot="1">
      <c r="C6" s="606"/>
      <c r="D6" s="39" t="s">
        <v>294</v>
      </c>
      <c r="E6" s="40" t="s">
        <v>295</v>
      </c>
      <c r="F6" s="40" t="s">
        <v>296</v>
      </c>
      <c r="G6" s="40" t="s">
        <v>297</v>
      </c>
      <c r="H6" s="40" t="s">
        <v>298</v>
      </c>
      <c r="I6" s="40" t="s">
        <v>299</v>
      </c>
      <c r="J6" s="40" t="s">
        <v>300</v>
      </c>
      <c r="K6" s="41" t="s">
        <v>301</v>
      </c>
      <c r="L6" s="41" t="s">
        <v>302</v>
      </c>
      <c r="M6" s="41" t="s">
        <v>303</v>
      </c>
      <c r="N6" s="41" t="s">
        <v>304</v>
      </c>
      <c r="O6" s="86" t="s">
        <v>305</v>
      </c>
      <c r="T6" s="19" t="s">
        <v>392</v>
      </c>
      <c r="U6" s="19" t="s">
        <v>393</v>
      </c>
      <c r="V6" s="19" t="s">
        <v>394</v>
      </c>
      <c r="W6" s="19" t="s">
        <v>395</v>
      </c>
    </row>
    <row r="7" spans="3:24" ht="14.25" thickTop="1" thickBot="1">
      <c r="C7" s="35" t="s">
        <v>128</v>
      </c>
      <c r="D7" s="36">
        <v>55152970.750000007</v>
      </c>
      <c r="E7" s="37">
        <v>72792167.979999974</v>
      </c>
      <c r="F7" s="37">
        <v>90841308.999999985</v>
      </c>
      <c r="G7" s="37">
        <v>89665487.010000005</v>
      </c>
      <c r="H7" s="37">
        <v>90668089.699999988</v>
      </c>
      <c r="I7" s="37">
        <v>99300977.780000001</v>
      </c>
      <c r="J7" s="37">
        <v>113490040.45</v>
      </c>
      <c r="K7" s="38">
        <v>112586712.2</v>
      </c>
      <c r="L7" s="38">
        <v>105312948.58</v>
      </c>
      <c r="M7" s="38">
        <v>90807024.059999987</v>
      </c>
      <c r="N7" s="38">
        <v>85337694.549999997</v>
      </c>
      <c r="O7" s="87">
        <v>123187385.03</v>
      </c>
      <c r="P7" s="87">
        <f>+SUM(D7:O7)</f>
        <v>1129142807.0899999</v>
      </c>
      <c r="S7" s="163" t="s">
        <v>128</v>
      </c>
      <c r="T7" s="36">
        <f>+SUM(D7:F7)</f>
        <v>218786447.72999996</v>
      </c>
      <c r="U7" s="37">
        <f>+SUM(G7:I7)</f>
        <v>279634554.49000001</v>
      </c>
      <c r="V7" s="37">
        <f>+SUM(J7:L7)</f>
        <v>331389701.23000002</v>
      </c>
      <c r="W7" s="37">
        <f>+SUM(M7:O7)</f>
        <v>299332103.63999999</v>
      </c>
      <c r="X7" s="1">
        <f>+SUM(T7:W7)</f>
        <v>1129142807.0900002</v>
      </c>
    </row>
    <row r="8" spans="3:24" ht="13.5" thickTop="1">
      <c r="C8" s="20" t="s">
        <v>2</v>
      </c>
      <c r="D8" s="27">
        <v>42233878.520000003</v>
      </c>
      <c r="E8" s="27">
        <v>45239137.809999995</v>
      </c>
      <c r="F8" s="28">
        <v>51938110.829999998</v>
      </c>
      <c r="G8" s="28">
        <v>54847049.759999998</v>
      </c>
      <c r="H8" s="28">
        <v>55582981.829999998</v>
      </c>
      <c r="I8" s="28">
        <v>62694065.950000003</v>
      </c>
      <c r="J8" s="28">
        <v>70422496.890000001</v>
      </c>
      <c r="K8" s="29">
        <v>76136166.400000006</v>
      </c>
      <c r="L8" s="29">
        <v>71582322.929999992</v>
      </c>
      <c r="M8" s="29">
        <v>55915577.890000001</v>
      </c>
      <c r="N8" s="29">
        <v>52766855.270000003</v>
      </c>
      <c r="O8" s="88">
        <v>64711710.890000001</v>
      </c>
      <c r="P8" s="120">
        <f t="shared" ref="P8:P73" si="0">+SUM(D8:O8)</f>
        <v>704070354.97000003</v>
      </c>
      <c r="S8" s="164" t="s">
        <v>2</v>
      </c>
      <c r="T8" s="27">
        <f t="shared" ref="T8:T72" si="1">+SUM(D8:F8)</f>
        <v>139411127.16</v>
      </c>
      <c r="U8" s="27">
        <f t="shared" ref="U8:U72" si="2">+SUM(G8:I8)</f>
        <v>173124097.54000002</v>
      </c>
      <c r="V8" s="28">
        <f t="shared" ref="V8:V72" si="3">+SUM(J8:L8)</f>
        <v>218140986.22000003</v>
      </c>
      <c r="W8" s="28">
        <f t="shared" ref="W8:W72" si="4">+SUM(M8:O8)</f>
        <v>173394144.05000001</v>
      </c>
      <c r="X8" s="1">
        <f t="shared" ref="X8:X72" si="5">+SUM(T8:W8)</f>
        <v>704070354.97000003</v>
      </c>
    </row>
    <row r="9" spans="3:24">
      <c r="C9" s="21" t="s">
        <v>3</v>
      </c>
      <c r="D9" s="31">
        <v>2545348.48</v>
      </c>
      <c r="E9" s="32">
        <v>6175515.0300000003</v>
      </c>
      <c r="F9" s="32">
        <v>7329572.1399999997</v>
      </c>
      <c r="G9" s="32">
        <v>6751143.4299999997</v>
      </c>
      <c r="H9" s="32">
        <v>6415725.6500000004</v>
      </c>
      <c r="I9" s="32">
        <v>6927624.3099999996</v>
      </c>
      <c r="J9" s="32">
        <v>8026236.4199999999</v>
      </c>
      <c r="K9" s="33">
        <v>6554828.0099999998</v>
      </c>
      <c r="L9" s="33">
        <v>6541099.3499999996</v>
      </c>
      <c r="M9" s="33">
        <v>7333919.3700000001</v>
      </c>
      <c r="N9" s="33">
        <v>6679216.6799999997</v>
      </c>
      <c r="O9" s="89">
        <v>10359802.84</v>
      </c>
      <c r="P9" s="121">
        <f t="shared" si="0"/>
        <v>81640031.710000008</v>
      </c>
      <c r="S9" s="165" t="s">
        <v>3</v>
      </c>
      <c r="T9" s="31">
        <f t="shared" si="1"/>
        <v>16050435.649999999</v>
      </c>
      <c r="U9" s="32">
        <f t="shared" si="2"/>
        <v>20094493.390000001</v>
      </c>
      <c r="V9" s="32">
        <f t="shared" si="3"/>
        <v>21122163.780000001</v>
      </c>
      <c r="W9" s="32">
        <f t="shared" si="4"/>
        <v>24372938.890000001</v>
      </c>
      <c r="X9" s="1">
        <f t="shared" si="5"/>
        <v>81640031.710000008</v>
      </c>
    </row>
    <row r="10" spans="3:24">
      <c r="C10" s="21" t="s">
        <v>5</v>
      </c>
      <c r="D10" s="31">
        <v>499153.36</v>
      </c>
      <c r="E10" s="32">
        <v>443476.65</v>
      </c>
      <c r="F10" s="32">
        <v>3852373.14</v>
      </c>
      <c r="G10" s="32">
        <v>10751479.529999999</v>
      </c>
      <c r="H10" s="32">
        <v>3177606.8</v>
      </c>
      <c r="I10" s="32">
        <v>3680263.62</v>
      </c>
      <c r="J10" s="32">
        <v>3438898.71</v>
      </c>
      <c r="K10" s="33">
        <v>2949890.41</v>
      </c>
      <c r="L10" s="33">
        <v>2276735.9700000002</v>
      </c>
      <c r="M10" s="33">
        <v>1612630.27</v>
      </c>
      <c r="N10" s="33">
        <v>946894.96</v>
      </c>
      <c r="O10" s="89">
        <v>2471781.84</v>
      </c>
      <c r="P10" s="121">
        <f t="shared" si="0"/>
        <v>36101185.260000005</v>
      </c>
      <c r="S10" s="165" t="s">
        <v>5</v>
      </c>
      <c r="T10" s="31">
        <f t="shared" si="1"/>
        <v>4795003.1500000004</v>
      </c>
      <c r="U10" s="32">
        <f t="shared" si="2"/>
        <v>17609349.949999999</v>
      </c>
      <c r="V10" s="32">
        <f t="shared" si="3"/>
        <v>8665525.0899999999</v>
      </c>
      <c r="W10" s="32">
        <f t="shared" si="4"/>
        <v>5031307.07</v>
      </c>
      <c r="X10" s="1">
        <f t="shared" si="5"/>
        <v>36101185.260000005</v>
      </c>
    </row>
    <row r="11" spans="3:24">
      <c r="C11" s="21" t="s">
        <v>306</v>
      </c>
      <c r="D11" s="31">
        <v>65715.240000000005</v>
      </c>
      <c r="E11" s="32">
        <v>84427.04</v>
      </c>
      <c r="F11" s="32">
        <v>119232.59</v>
      </c>
      <c r="G11" s="32">
        <v>72950.62</v>
      </c>
      <c r="H11" s="32">
        <v>98890.93</v>
      </c>
      <c r="I11" s="32">
        <v>103956.73</v>
      </c>
      <c r="J11" s="32">
        <v>86674.97</v>
      </c>
      <c r="K11" s="33">
        <v>118158.18</v>
      </c>
      <c r="L11" s="33">
        <v>108207.34</v>
      </c>
      <c r="M11" s="33">
        <v>134904.34</v>
      </c>
      <c r="N11" s="33">
        <v>132213.45000000001</v>
      </c>
      <c r="O11" s="89">
        <v>111765.51</v>
      </c>
      <c r="P11" s="121">
        <f t="shared" si="0"/>
        <v>1237096.94</v>
      </c>
      <c r="S11" s="165" t="s">
        <v>306</v>
      </c>
      <c r="T11" s="31">
        <f t="shared" si="1"/>
        <v>269374.87</v>
      </c>
      <c r="U11" s="32">
        <f t="shared" si="2"/>
        <v>275798.27999999997</v>
      </c>
      <c r="V11" s="32">
        <f t="shared" si="3"/>
        <v>313040.49</v>
      </c>
      <c r="W11" s="32">
        <f t="shared" si="4"/>
        <v>378883.30000000005</v>
      </c>
      <c r="X11" s="1">
        <f t="shared" si="5"/>
        <v>1237096.94</v>
      </c>
    </row>
    <row r="12" spans="3:24">
      <c r="C12" s="21" t="s">
        <v>9</v>
      </c>
      <c r="D12" s="31">
        <v>24359108.579999998</v>
      </c>
      <c r="E12" s="32">
        <v>26560869.68</v>
      </c>
      <c r="F12" s="32">
        <v>28787354</v>
      </c>
      <c r="G12" s="32">
        <v>24452855.41</v>
      </c>
      <c r="H12" s="32">
        <v>30030891.559999999</v>
      </c>
      <c r="I12" s="32">
        <v>36057932.170000002</v>
      </c>
      <c r="J12" s="32">
        <v>38964620.689999998</v>
      </c>
      <c r="K12" s="33">
        <v>46261760.780000001</v>
      </c>
      <c r="L12" s="33">
        <v>41263214.420000002</v>
      </c>
      <c r="M12" s="33">
        <v>30712518.809999999</v>
      </c>
      <c r="N12" s="33">
        <v>29554026.890000001</v>
      </c>
      <c r="O12" s="89">
        <v>35230727.920000002</v>
      </c>
      <c r="P12" s="121">
        <f t="shared" si="0"/>
        <v>392235880.90999997</v>
      </c>
      <c r="S12" s="165" t="s">
        <v>9</v>
      </c>
      <c r="T12" s="31">
        <f t="shared" si="1"/>
        <v>79707332.25999999</v>
      </c>
      <c r="U12" s="32">
        <f t="shared" si="2"/>
        <v>90541679.140000001</v>
      </c>
      <c r="V12" s="32">
        <f t="shared" si="3"/>
        <v>126489595.89</v>
      </c>
      <c r="W12" s="32">
        <f t="shared" si="4"/>
        <v>95497273.620000005</v>
      </c>
      <c r="X12" s="1">
        <f t="shared" si="5"/>
        <v>392235880.90999997</v>
      </c>
    </row>
    <row r="13" spans="3:24">
      <c r="C13" s="21" t="s">
        <v>307</v>
      </c>
      <c r="D13" s="31">
        <v>12268529.59</v>
      </c>
      <c r="E13" s="32">
        <v>8536929.2300000004</v>
      </c>
      <c r="F13" s="32">
        <v>7823784.0300000003</v>
      </c>
      <c r="G13" s="32">
        <v>9085039.4800000004</v>
      </c>
      <c r="H13" s="32">
        <v>11409816.17</v>
      </c>
      <c r="I13" s="32">
        <v>11116710.84</v>
      </c>
      <c r="J13" s="32">
        <v>15157124.630000001</v>
      </c>
      <c r="K13" s="33">
        <v>15012808.710000001</v>
      </c>
      <c r="L13" s="33">
        <v>16785563.780000001</v>
      </c>
      <c r="M13" s="33">
        <v>12285672.390000001</v>
      </c>
      <c r="N13" s="33">
        <v>11759999.27</v>
      </c>
      <c r="O13" s="89">
        <v>12137612.65</v>
      </c>
      <c r="P13" s="121">
        <f t="shared" si="0"/>
        <v>143379590.77000001</v>
      </c>
      <c r="S13" s="165" t="s">
        <v>307</v>
      </c>
      <c r="T13" s="31">
        <f t="shared" si="1"/>
        <v>28629242.850000001</v>
      </c>
      <c r="U13" s="32">
        <f t="shared" si="2"/>
        <v>31611566.489999998</v>
      </c>
      <c r="V13" s="32">
        <f t="shared" si="3"/>
        <v>46955497.120000005</v>
      </c>
      <c r="W13" s="32">
        <f t="shared" si="4"/>
        <v>36183284.310000002</v>
      </c>
      <c r="X13" s="1">
        <f t="shared" si="5"/>
        <v>143379590.77000001</v>
      </c>
    </row>
    <row r="14" spans="3:24">
      <c r="C14" s="21" t="s">
        <v>308</v>
      </c>
      <c r="D14" s="31">
        <v>2228722.88</v>
      </c>
      <c r="E14" s="32">
        <v>3149836.41</v>
      </c>
      <c r="F14" s="32">
        <v>3681084.12</v>
      </c>
      <c r="G14" s="32">
        <v>3381780.97</v>
      </c>
      <c r="H14" s="32">
        <v>4094166.5</v>
      </c>
      <c r="I14" s="32">
        <v>4392687.58</v>
      </c>
      <c r="J14" s="32">
        <v>4406579.91</v>
      </c>
      <c r="K14" s="33">
        <v>4844188.08</v>
      </c>
      <c r="L14" s="33">
        <v>4235363.1100000003</v>
      </c>
      <c r="M14" s="33">
        <v>3489258.14</v>
      </c>
      <c r="N14" s="33">
        <v>3351592.45</v>
      </c>
      <c r="O14" s="89">
        <v>4072725.13</v>
      </c>
      <c r="P14" s="121">
        <f t="shared" si="0"/>
        <v>45327985.280000009</v>
      </c>
      <c r="S14" s="165" t="s">
        <v>308</v>
      </c>
      <c r="T14" s="31">
        <f t="shared" si="1"/>
        <v>9059643.4100000001</v>
      </c>
      <c r="U14" s="32">
        <f t="shared" si="2"/>
        <v>11868635.050000001</v>
      </c>
      <c r="V14" s="32">
        <f t="shared" si="3"/>
        <v>13486131.100000001</v>
      </c>
      <c r="W14" s="32">
        <f t="shared" si="4"/>
        <v>10913575.719999999</v>
      </c>
      <c r="X14" s="1">
        <f t="shared" si="5"/>
        <v>45327985.280000001</v>
      </c>
    </row>
    <row r="15" spans="3:24">
      <c r="C15" s="21" t="s">
        <v>16</v>
      </c>
      <c r="D15" s="31">
        <v>267300.39</v>
      </c>
      <c r="E15" s="32">
        <v>288083.77</v>
      </c>
      <c r="F15" s="32">
        <v>344710.81</v>
      </c>
      <c r="G15" s="32">
        <v>351800.32000000001</v>
      </c>
      <c r="H15" s="32">
        <v>355884.22</v>
      </c>
      <c r="I15" s="32">
        <v>414890.7</v>
      </c>
      <c r="J15" s="32">
        <v>342361.56</v>
      </c>
      <c r="K15" s="33">
        <v>394532.23</v>
      </c>
      <c r="L15" s="33">
        <v>372138.96</v>
      </c>
      <c r="M15" s="33">
        <v>346674.57</v>
      </c>
      <c r="N15" s="33">
        <v>342911.57</v>
      </c>
      <c r="O15" s="89">
        <v>327295</v>
      </c>
      <c r="P15" s="121">
        <f t="shared" si="0"/>
        <v>4148584.0999999996</v>
      </c>
      <c r="S15" s="165" t="s">
        <v>16</v>
      </c>
      <c r="T15" s="31">
        <f t="shared" si="1"/>
        <v>900094.97</v>
      </c>
      <c r="U15" s="32">
        <f t="shared" si="2"/>
        <v>1122575.24</v>
      </c>
      <c r="V15" s="32">
        <f t="shared" si="3"/>
        <v>1109032.75</v>
      </c>
      <c r="W15" s="32">
        <f t="shared" si="4"/>
        <v>1016881.14</v>
      </c>
      <c r="X15" s="1">
        <f t="shared" si="5"/>
        <v>4148584.1</v>
      </c>
    </row>
    <row r="16" spans="3:24">
      <c r="C16" s="22" t="s">
        <v>19</v>
      </c>
      <c r="D16" s="27">
        <v>9521302.3000000007</v>
      </c>
      <c r="E16" s="28">
        <v>23485287.589999996</v>
      </c>
      <c r="F16" s="28">
        <v>34167457.259999998</v>
      </c>
      <c r="G16" s="28">
        <v>29755692.57</v>
      </c>
      <c r="H16" s="28">
        <v>27838053.010000005</v>
      </c>
      <c r="I16" s="28">
        <v>30894483.480000004</v>
      </c>
      <c r="J16" s="28">
        <v>36489518.480000004</v>
      </c>
      <c r="K16" s="29">
        <v>29291633.600000001</v>
      </c>
      <c r="L16" s="29">
        <v>29003218.740000002</v>
      </c>
      <c r="M16" s="29">
        <v>27330321.710000001</v>
      </c>
      <c r="N16" s="29">
        <v>27219048.369999997</v>
      </c>
      <c r="O16" s="88">
        <v>48581436.219999999</v>
      </c>
      <c r="P16" s="120">
        <f t="shared" si="0"/>
        <v>353577453.33000004</v>
      </c>
      <c r="S16" s="166" t="s">
        <v>19</v>
      </c>
      <c r="T16" s="27">
        <f t="shared" si="1"/>
        <v>67174047.149999991</v>
      </c>
      <c r="U16" s="28">
        <f t="shared" si="2"/>
        <v>88488229.060000002</v>
      </c>
      <c r="V16" s="28">
        <f t="shared" si="3"/>
        <v>94784370.820000008</v>
      </c>
      <c r="W16" s="28">
        <f t="shared" si="4"/>
        <v>103130806.3</v>
      </c>
      <c r="X16" s="1">
        <f t="shared" si="5"/>
        <v>353577453.32999998</v>
      </c>
    </row>
    <row r="17" spans="3:24">
      <c r="C17" s="21" t="s">
        <v>309</v>
      </c>
      <c r="D17" s="31">
        <v>5965054.2999999998</v>
      </c>
      <c r="E17" s="32">
        <v>14418948.539999999</v>
      </c>
      <c r="F17" s="32">
        <v>21015795.289999999</v>
      </c>
      <c r="G17" s="32">
        <v>18134814.93</v>
      </c>
      <c r="H17" s="32">
        <v>17423693.670000002</v>
      </c>
      <c r="I17" s="32">
        <v>18277592.609999999</v>
      </c>
      <c r="J17" s="32">
        <v>22066861.620000001</v>
      </c>
      <c r="K17" s="33">
        <v>18158288.84</v>
      </c>
      <c r="L17" s="33">
        <v>17580249.02</v>
      </c>
      <c r="M17" s="33">
        <v>15453602.98</v>
      </c>
      <c r="N17" s="33">
        <v>15172072.27</v>
      </c>
      <c r="O17" s="89">
        <v>29785246.609999999</v>
      </c>
      <c r="P17" s="121">
        <f t="shared" si="0"/>
        <v>213452220.68000001</v>
      </c>
      <c r="S17" s="165" t="s">
        <v>309</v>
      </c>
      <c r="T17" s="31">
        <f t="shared" si="1"/>
        <v>41399798.129999995</v>
      </c>
      <c r="U17" s="32">
        <f t="shared" si="2"/>
        <v>53836101.210000001</v>
      </c>
      <c r="V17" s="32">
        <f t="shared" si="3"/>
        <v>57805399.480000004</v>
      </c>
      <c r="W17" s="32">
        <f t="shared" si="4"/>
        <v>60410921.859999999</v>
      </c>
      <c r="X17" s="1">
        <f t="shared" si="5"/>
        <v>213452220.68000001</v>
      </c>
    </row>
    <row r="18" spans="3:24">
      <c r="C18" s="21" t="s">
        <v>310</v>
      </c>
      <c r="D18" s="31">
        <v>3011667.54</v>
      </c>
      <c r="E18" s="32">
        <v>7942450.2599999998</v>
      </c>
      <c r="F18" s="32">
        <v>11708936.529999999</v>
      </c>
      <c r="G18" s="32">
        <v>10161086.960000001</v>
      </c>
      <c r="H18" s="32">
        <v>9176586.0299999993</v>
      </c>
      <c r="I18" s="32">
        <v>10583289.380000001</v>
      </c>
      <c r="J18" s="32">
        <v>12325503.08</v>
      </c>
      <c r="K18" s="33">
        <v>9784703.5099999998</v>
      </c>
      <c r="L18" s="33">
        <v>10079777.449999999</v>
      </c>
      <c r="M18" s="33">
        <v>9619912.8399999999</v>
      </c>
      <c r="N18" s="33">
        <v>10355312.949999999</v>
      </c>
      <c r="O18" s="89">
        <v>16141212.710000001</v>
      </c>
      <c r="P18" s="121">
        <f t="shared" si="0"/>
        <v>120890439.24000001</v>
      </c>
      <c r="S18" s="165" t="s">
        <v>310</v>
      </c>
      <c r="T18" s="31">
        <f t="shared" si="1"/>
        <v>22663054.329999998</v>
      </c>
      <c r="U18" s="32">
        <f t="shared" si="2"/>
        <v>29920962.370000005</v>
      </c>
      <c r="V18" s="32">
        <f t="shared" si="3"/>
        <v>32189984.039999999</v>
      </c>
      <c r="W18" s="32">
        <f t="shared" si="4"/>
        <v>36116438.5</v>
      </c>
      <c r="X18" s="1">
        <f t="shared" si="5"/>
        <v>120890439.24000001</v>
      </c>
    </row>
    <row r="19" spans="3:24">
      <c r="C19" s="21" t="s">
        <v>311</v>
      </c>
      <c r="D19" s="31">
        <v>337649.71</v>
      </c>
      <c r="E19" s="32">
        <v>690555.9</v>
      </c>
      <c r="F19" s="32">
        <v>933660.62</v>
      </c>
      <c r="G19" s="32">
        <v>940799.61</v>
      </c>
      <c r="H19" s="32">
        <v>819960.44</v>
      </c>
      <c r="I19" s="32">
        <v>1454218.12</v>
      </c>
      <c r="J19" s="32">
        <v>1087711.56</v>
      </c>
      <c r="K19" s="33">
        <v>871346.14</v>
      </c>
      <c r="L19" s="33">
        <v>868317.51</v>
      </c>
      <c r="M19" s="33">
        <v>1066047.04</v>
      </c>
      <c r="N19" s="33">
        <v>461880.5</v>
      </c>
      <c r="O19" s="89">
        <v>1232557.23</v>
      </c>
      <c r="P19" s="121">
        <f t="shared" si="0"/>
        <v>10764704.380000001</v>
      </c>
      <c r="S19" s="165" t="s">
        <v>311</v>
      </c>
      <c r="T19" s="31">
        <f t="shared" si="1"/>
        <v>1961866.23</v>
      </c>
      <c r="U19" s="32">
        <f t="shared" si="2"/>
        <v>3214978.17</v>
      </c>
      <c r="V19" s="32">
        <f t="shared" si="3"/>
        <v>2827375.21</v>
      </c>
      <c r="W19" s="32">
        <f t="shared" si="4"/>
        <v>2760484.77</v>
      </c>
      <c r="X19" s="1">
        <f t="shared" si="5"/>
        <v>10764704.380000001</v>
      </c>
    </row>
    <row r="20" spans="3:24">
      <c r="C20" s="21" t="s">
        <v>27</v>
      </c>
      <c r="D20" s="31">
        <v>206930.75</v>
      </c>
      <c r="E20" s="32">
        <v>433332.89</v>
      </c>
      <c r="F20" s="32">
        <v>509064.82</v>
      </c>
      <c r="G20" s="32">
        <v>518991.07</v>
      </c>
      <c r="H20" s="32">
        <v>417812.87</v>
      </c>
      <c r="I20" s="32">
        <v>579383.37</v>
      </c>
      <c r="J20" s="32">
        <v>1009442.22</v>
      </c>
      <c r="K20" s="33">
        <v>477295.11</v>
      </c>
      <c r="L20" s="33">
        <v>474874.76</v>
      </c>
      <c r="M20" s="33">
        <v>1190758.8500000001</v>
      </c>
      <c r="N20" s="33">
        <v>1229782.6499999999</v>
      </c>
      <c r="O20" s="89">
        <v>1422419.67</v>
      </c>
      <c r="P20" s="121">
        <f t="shared" si="0"/>
        <v>8470089.0300000012</v>
      </c>
      <c r="S20" s="165" t="s">
        <v>27</v>
      </c>
      <c r="T20" s="31">
        <f t="shared" si="1"/>
        <v>1149328.46</v>
      </c>
      <c r="U20" s="32">
        <f t="shared" si="2"/>
        <v>1516187.31</v>
      </c>
      <c r="V20" s="32">
        <f t="shared" si="3"/>
        <v>1961612.09</v>
      </c>
      <c r="W20" s="32">
        <f t="shared" si="4"/>
        <v>3842961.17</v>
      </c>
      <c r="X20" s="1">
        <f t="shared" si="5"/>
        <v>8470089.0300000012</v>
      </c>
    </row>
    <row r="21" spans="3:24">
      <c r="C21" s="22" t="s">
        <v>29</v>
      </c>
      <c r="D21" s="27">
        <v>804830.46</v>
      </c>
      <c r="E21" s="28">
        <v>1209009.1100000001</v>
      </c>
      <c r="F21" s="28">
        <v>1416808.0500000003</v>
      </c>
      <c r="G21" s="28">
        <v>1350950.87</v>
      </c>
      <c r="H21" s="28">
        <v>1399057.8499999999</v>
      </c>
      <c r="I21" s="28">
        <v>1540304.47</v>
      </c>
      <c r="J21" s="28">
        <v>1366975.64</v>
      </c>
      <c r="K21" s="29">
        <v>1618735.6</v>
      </c>
      <c r="L21" s="29">
        <v>1404367.23</v>
      </c>
      <c r="M21" s="29">
        <v>1271754.9899999998</v>
      </c>
      <c r="N21" s="29">
        <v>1231596.8500000001</v>
      </c>
      <c r="O21" s="88">
        <v>1397278.7999999998</v>
      </c>
      <c r="P21" s="120">
        <f t="shared" si="0"/>
        <v>16011669.919999998</v>
      </c>
      <c r="S21" s="166" t="s">
        <v>29</v>
      </c>
      <c r="T21" s="27">
        <f t="shared" si="1"/>
        <v>3430647.62</v>
      </c>
      <c r="U21" s="28">
        <f t="shared" si="2"/>
        <v>4290313.1899999995</v>
      </c>
      <c r="V21" s="28">
        <f t="shared" si="3"/>
        <v>4390078.4700000007</v>
      </c>
      <c r="W21" s="28">
        <f t="shared" si="4"/>
        <v>3900630.6399999997</v>
      </c>
      <c r="X21" s="1">
        <f t="shared" si="5"/>
        <v>16011669.920000002</v>
      </c>
    </row>
    <row r="22" spans="3:24">
      <c r="C22" s="21" t="s">
        <v>31</v>
      </c>
      <c r="D22" s="31">
        <v>536502.51</v>
      </c>
      <c r="E22" s="32">
        <v>831711.99</v>
      </c>
      <c r="F22" s="32">
        <v>941753.55</v>
      </c>
      <c r="G22" s="32">
        <v>972851.3</v>
      </c>
      <c r="H22" s="32">
        <v>1035879.98</v>
      </c>
      <c r="I22" s="32">
        <v>1095882.92</v>
      </c>
      <c r="J22" s="32">
        <v>903473.6</v>
      </c>
      <c r="K22" s="33">
        <v>1052243.77</v>
      </c>
      <c r="L22" s="33">
        <v>883075.83</v>
      </c>
      <c r="M22" s="33">
        <v>805479.88</v>
      </c>
      <c r="N22" s="33">
        <v>809274.84</v>
      </c>
      <c r="O22" s="89">
        <v>856150.6</v>
      </c>
      <c r="P22" s="121">
        <f t="shared" si="0"/>
        <v>10724280.77</v>
      </c>
      <c r="S22" s="165" t="s">
        <v>31</v>
      </c>
      <c r="T22" s="31">
        <f t="shared" si="1"/>
        <v>2309968.0499999998</v>
      </c>
      <c r="U22" s="32">
        <f t="shared" si="2"/>
        <v>3104614.2</v>
      </c>
      <c r="V22" s="32">
        <f t="shared" si="3"/>
        <v>2838793.2</v>
      </c>
      <c r="W22" s="32">
        <f t="shared" si="4"/>
        <v>2470905.3199999998</v>
      </c>
      <c r="X22" s="1">
        <f t="shared" si="5"/>
        <v>10724280.77</v>
      </c>
    </row>
    <row r="23" spans="3:24">
      <c r="C23" s="21" t="s">
        <v>32</v>
      </c>
      <c r="D23" s="31">
        <v>242834.46</v>
      </c>
      <c r="E23" s="32">
        <v>338113.08</v>
      </c>
      <c r="F23" s="32">
        <v>457274.03</v>
      </c>
      <c r="G23" s="32">
        <v>356441.63</v>
      </c>
      <c r="H23" s="32">
        <v>333697.93</v>
      </c>
      <c r="I23" s="32">
        <v>357979.45</v>
      </c>
      <c r="J23" s="32">
        <v>285269.33</v>
      </c>
      <c r="K23" s="33">
        <v>223882.95</v>
      </c>
      <c r="L23" s="33">
        <v>291676.52</v>
      </c>
      <c r="M23" s="33">
        <v>322168.73</v>
      </c>
      <c r="N23" s="33">
        <v>320031.71999999997</v>
      </c>
      <c r="O23" s="89">
        <v>388903.61</v>
      </c>
      <c r="P23" s="121">
        <f t="shared" si="0"/>
        <v>3918273.44</v>
      </c>
      <c r="S23" s="165" t="s">
        <v>32</v>
      </c>
      <c r="T23" s="31">
        <f t="shared" si="1"/>
        <v>1038221.5700000001</v>
      </c>
      <c r="U23" s="32">
        <f t="shared" si="2"/>
        <v>1048119.01</v>
      </c>
      <c r="V23" s="32">
        <f t="shared" si="3"/>
        <v>800828.8</v>
      </c>
      <c r="W23" s="32">
        <f t="shared" si="4"/>
        <v>1031104.0599999999</v>
      </c>
      <c r="X23" s="1">
        <f t="shared" si="5"/>
        <v>3918273.44</v>
      </c>
    </row>
    <row r="24" spans="3:24">
      <c r="C24" s="21" t="s">
        <v>34</v>
      </c>
      <c r="D24" s="31">
        <v>4037.13</v>
      </c>
      <c r="E24" s="32">
        <v>33587.519999999997</v>
      </c>
      <c r="F24" s="32">
        <v>6811.85</v>
      </c>
      <c r="G24" s="32">
        <v>7299.46</v>
      </c>
      <c r="H24" s="32">
        <v>10446.94</v>
      </c>
      <c r="I24" s="32">
        <v>40972.11</v>
      </c>
      <c r="J24" s="32">
        <v>108136.93</v>
      </c>
      <c r="K24" s="33">
        <v>190875.13</v>
      </c>
      <c r="L24" s="33">
        <v>94009.65</v>
      </c>
      <c r="M24" s="33">
        <v>35543.96</v>
      </c>
      <c r="N24" s="33">
        <v>10178.66</v>
      </c>
      <c r="O24" s="89">
        <v>12060.47</v>
      </c>
      <c r="P24" s="121">
        <f t="shared" si="0"/>
        <v>553959.80999999994</v>
      </c>
      <c r="S24" s="165" t="s">
        <v>34</v>
      </c>
      <c r="T24" s="31">
        <f t="shared" si="1"/>
        <v>44436.499999999993</v>
      </c>
      <c r="U24" s="32">
        <f t="shared" si="2"/>
        <v>58718.51</v>
      </c>
      <c r="V24" s="32">
        <f t="shared" si="3"/>
        <v>393021.70999999996</v>
      </c>
      <c r="W24" s="32">
        <f t="shared" si="4"/>
        <v>57783.09</v>
      </c>
      <c r="X24" s="1">
        <f t="shared" si="5"/>
        <v>553959.80999999994</v>
      </c>
    </row>
    <row r="25" spans="3:24">
      <c r="C25" s="21" t="s">
        <v>37</v>
      </c>
      <c r="D25" s="31">
        <v>21456.36</v>
      </c>
      <c r="E25" s="32">
        <v>5596.52</v>
      </c>
      <c r="F25" s="32">
        <v>10968.62</v>
      </c>
      <c r="G25" s="32">
        <v>14358.48</v>
      </c>
      <c r="H25" s="32">
        <v>19033</v>
      </c>
      <c r="I25" s="32">
        <v>45469.99</v>
      </c>
      <c r="J25" s="32">
        <v>70095.78</v>
      </c>
      <c r="K25" s="33">
        <v>151733.75</v>
      </c>
      <c r="L25" s="33">
        <v>135605.23000000001</v>
      </c>
      <c r="M25" s="33">
        <v>108562.42</v>
      </c>
      <c r="N25" s="33">
        <v>92111.63</v>
      </c>
      <c r="O25" s="89">
        <v>140164.12</v>
      </c>
      <c r="P25" s="121">
        <f t="shared" si="0"/>
        <v>815155.9</v>
      </c>
      <c r="S25" s="165" t="s">
        <v>37</v>
      </c>
      <c r="T25" s="31">
        <f t="shared" si="1"/>
        <v>38021.5</v>
      </c>
      <c r="U25" s="32">
        <f t="shared" si="2"/>
        <v>78861.47</v>
      </c>
      <c r="V25" s="32">
        <f t="shared" si="3"/>
        <v>357434.76</v>
      </c>
      <c r="W25" s="32">
        <f t="shared" si="4"/>
        <v>340838.17</v>
      </c>
      <c r="X25" s="1">
        <f t="shared" si="5"/>
        <v>815155.89999999991</v>
      </c>
    </row>
    <row r="26" spans="3:24">
      <c r="C26" s="22" t="s">
        <v>39</v>
      </c>
      <c r="D26" s="27">
        <v>1320130.1099999999</v>
      </c>
      <c r="E26" s="28">
        <v>1172217.57</v>
      </c>
      <c r="F26" s="28">
        <v>1584487.91</v>
      </c>
      <c r="G26" s="28">
        <v>1554070.73</v>
      </c>
      <c r="H26" s="28">
        <v>3337557.56</v>
      </c>
      <c r="I26" s="28">
        <v>1833085.6199999999</v>
      </c>
      <c r="J26" s="28">
        <v>2801383.38</v>
      </c>
      <c r="K26" s="29">
        <v>2999433.65</v>
      </c>
      <c r="L26" s="29">
        <v>1677127.3699999999</v>
      </c>
      <c r="M26" s="29">
        <v>1975196.1300000001</v>
      </c>
      <c r="N26" s="29">
        <v>1588689.67</v>
      </c>
      <c r="O26" s="88">
        <v>3855875.5300000003</v>
      </c>
      <c r="P26" s="120">
        <f t="shared" si="0"/>
        <v>25699255.229999997</v>
      </c>
      <c r="S26" s="166" t="s">
        <v>39</v>
      </c>
      <c r="T26" s="27">
        <f t="shared" si="1"/>
        <v>4076835.59</v>
      </c>
      <c r="U26" s="28">
        <f t="shared" si="2"/>
        <v>6724713.9100000001</v>
      </c>
      <c r="V26" s="28">
        <f t="shared" si="3"/>
        <v>7477944.3999999994</v>
      </c>
      <c r="W26" s="28">
        <f t="shared" si="4"/>
        <v>7419761.3300000001</v>
      </c>
      <c r="X26" s="1">
        <f t="shared" si="5"/>
        <v>25699255.229999997</v>
      </c>
    </row>
    <row r="27" spans="3:24">
      <c r="C27" s="21" t="s">
        <v>329</v>
      </c>
      <c r="D27" s="31">
        <v>6971.68</v>
      </c>
      <c r="E27" s="32">
        <v>13341.02</v>
      </c>
      <c r="F27" s="32">
        <v>83742.009999999995</v>
      </c>
      <c r="G27" s="32">
        <v>86212.02</v>
      </c>
      <c r="H27" s="32">
        <v>55530.82</v>
      </c>
      <c r="I27" s="32">
        <v>175137.26</v>
      </c>
      <c r="J27" s="32">
        <v>61476.76</v>
      </c>
      <c r="K27" s="33">
        <v>118742.97</v>
      </c>
      <c r="L27" s="33">
        <v>103719.39</v>
      </c>
      <c r="M27" s="33">
        <v>96283.83</v>
      </c>
      <c r="N27" s="33">
        <v>55796.6</v>
      </c>
      <c r="O27" s="89">
        <v>145087.56</v>
      </c>
      <c r="P27" s="121">
        <f t="shared" si="0"/>
        <v>1002041.9199999999</v>
      </c>
      <c r="S27" s="165" t="s">
        <v>329</v>
      </c>
      <c r="T27" s="31">
        <f t="shared" si="1"/>
        <v>104054.70999999999</v>
      </c>
      <c r="U27" s="32">
        <f t="shared" si="2"/>
        <v>316880.09999999998</v>
      </c>
      <c r="V27" s="32">
        <f t="shared" si="3"/>
        <v>283939.12</v>
      </c>
      <c r="W27" s="32">
        <f t="shared" si="4"/>
        <v>297167.99</v>
      </c>
      <c r="X27" s="1">
        <f t="shared" si="5"/>
        <v>1002041.9199999999</v>
      </c>
    </row>
    <row r="28" spans="3:24">
      <c r="C28" s="21" t="s">
        <v>312</v>
      </c>
      <c r="D28" s="31">
        <v>64109.59</v>
      </c>
      <c r="E28" s="32">
        <v>200669.78</v>
      </c>
      <c r="F28" s="32">
        <v>145961.26</v>
      </c>
      <c r="G28" s="32">
        <v>94344.06</v>
      </c>
      <c r="H28" s="32">
        <v>771901.56</v>
      </c>
      <c r="I28" s="32">
        <v>198120.26</v>
      </c>
      <c r="J28" s="32">
        <v>185991.45</v>
      </c>
      <c r="K28" s="33">
        <v>153178.46</v>
      </c>
      <c r="L28" s="33">
        <v>96024.85</v>
      </c>
      <c r="M28" s="33">
        <v>381813.69</v>
      </c>
      <c r="N28" s="33">
        <v>206891.79</v>
      </c>
      <c r="O28" s="89">
        <v>510549.7</v>
      </c>
      <c r="P28" s="121">
        <f t="shared" si="0"/>
        <v>3009556.45</v>
      </c>
      <c r="S28" s="165" t="s">
        <v>312</v>
      </c>
      <c r="T28" s="31">
        <f t="shared" si="1"/>
        <v>410740.63</v>
      </c>
      <c r="U28" s="32">
        <f t="shared" si="2"/>
        <v>1064365.8800000001</v>
      </c>
      <c r="V28" s="32">
        <f t="shared" si="3"/>
        <v>435194.76</v>
      </c>
      <c r="W28" s="32">
        <f t="shared" si="4"/>
        <v>1099255.18</v>
      </c>
      <c r="X28" s="1">
        <f t="shared" si="5"/>
        <v>3009556.45</v>
      </c>
    </row>
    <row r="29" spans="3:24">
      <c r="C29" s="21" t="s">
        <v>45</v>
      </c>
      <c r="D29" s="31">
        <v>179058.1</v>
      </c>
      <c r="E29" s="32">
        <v>216674.72</v>
      </c>
      <c r="F29" s="32">
        <v>505701.17</v>
      </c>
      <c r="G29" s="32">
        <v>419483.15</v>
      </c>
      <c r="H29" s="32">
        <v>505852.89</v>
      </c>
      <c r="I29" s="32">
        <v>735303.21</v>
      </c>
      <c r="J29" s="32">
        <v>1477148.86</v>
      </c>
      <c r="K29" s="33">
        <v>1854644.2</v>
      </c>
      <c r="L29" s="33">
        <v>671972.85</v>
      </c>
      <c r="M29" s="33">
        <v>298929.24</v>
      </c>
      <c r="N29" s="33">
        <v>313864.89</v>
      </c>
      <c r="O29" s="89">
        <v>274209.51</v>
      </c>
      <c r="P29" s="121">
        <f t="shared" si="0"/>
        <v>7452842.79</v>
      </c>
      <c r="S29" s="165" t="s">
        <v>45</v>
      </c>
      <c r="T29" s="31">
        <f t="shared" si="1"/>
        <v>901433.99</v>
      </c>
      <c r="U29" s="32">
        <f t="shared" si="2"/>
        <v>1660639.25</v>
      </c>
      <c r="V29" s="32">
        <f t="shared" si="3"/>
        <v>4003765.91</v>
      </c>
      <c r="W29" s="32">
        <f t="shared" si="4"/>
        <v>887003.64</v>
      </c>
      <c r="X29" s="1">
        <f t="shared" si="5"/>
        <v>7452842.79</v>
      </c>
    </row>
    <row r="30" spans="3:24">
      <c r="C30" s="21" t="s">
        <v>313</v>
      </c>
      <c r="D30" s="31">
        <v>209278.97</v>
      </c>
      <c r="E30" s="32">
        <v>223999.32</v>
      </c>
      <c r="F30" s="32">
        <v>251863.31</v>
      </c>
      <c r="G30" s="32">
        <v>179908.24</v>
      </c>
      <c r="H30" s="32">
        <v>1418405.47</v>
      </c>
      <c r="I30" s="32">
        <v>190712.2</v>
      </c>
      <c r="J30" s="32">
        <v>177964.06</v>
      </c>
      <c r="K30" s="33">
        <v>315769.62</v>
      </c>
      <c r="L30" s="33">
        <v>304720.63</v>
      </c>
      <c r="M30" s="33">
        <v>289057.65000000002</v>
      </c>
      <c r="N30" s="33">
        <v>230935.54</v>
      </c>
      <c r="O30" s="89">
        <v>388230.35</v>
      </c>
      <c r="P30" s="121">
        <f t="shared" si="0"/>
        <v>4180845.3600000003</v>
      </c>
      <c r="S30" s="165" t="s">
        <v>313</v>
      </c>
      <c r="T30" s="31">
        <f t="shared" si="1"/>
        <v>685141.60000000009</v>
      </c>
      <c r="U30" s="32">
        <f t="shared" si="2"/>
        <v>1789025.91</v>
      </c>
      <c r="V30" s="32">
        <f t="shared" si="3"/>
        <v>798454.31</v>
      </c>
      <c r="W30" s="32">
        <f t="shared" si="4"/>
        <v>908223.54</v>
      </c>
      <c r="X30" s="1">
        <f t="shared" si="5"/>
        <v>4180845.36</v>
      </c>
    </row>
    <row r="31" spans="3:24">
      <c r="C31" s="21" t="s">
        <v>314</v>
      </c>
      <c r="D31" s="31">
        <v>142536.44</v>
      </c>
      <c r="E31" s="32">
        <v>294016.75</v>
      </c>
      <c r="F31" s="32">
        <v>220508.99</v>
      </c>
      <c r="G31" s="32">
        <v>197437.39</v>
      </c>
      <c r="H31" s="32">
        <v>308231.5</v>
      </c>
      <c r="I31" s="32">
        <v>262541.52</v>
      </c>
      <c r="J31" s="32">
        <v>267889.56</v>
      </c>
      <c r="K31" s="33">
        <v>310930.96000000002</v>
      </c>
      <c r="L31" s="33">
        <v>246964.42</v>
      </c>
      <c r="M31" s="33">
        <v>240318.91</v>
      </c>
      <c r="N31" s="33">
        <v>478356.46</v>
      </c>
      <c r="O31" s="89">
        <v>1894204.65</v>
      </c>
      <c r="P31" s="121">
        <f t="shared" si="0"/>
        <v>4863937.55</v>
      </c>
      <c r="S31" s="165" t="s">
        <v>314</v>
      </c>
      <c r="T31" s="31">
        <f t="shared" si="1"/>
        <v>657062.17999999993</v>
      </c>
      <c r="U31" s="32">
        <f t="shared" si="2"/>
        <v>768210.41</v>
      </c>
      <c r="V31" s="32">
        <f t="shared" si="3"/>
        <v>825784.94000000006</v>
      </c>
      <c r="W31" s="32">
        <f t="shared" si="4"/>
        <v>2612880.02</v>
      </c>
      <c r="X31" s="1">
        <f t="shared" si="5"/>
        <v>4863937.55</v>
      </c>
    </row>
    <row r="32" spans="3:24">
      <c r="C32" s="21" t="s">
        <v>51</v>
      </c>
      <c r="D32" s="31">
        <v>718175.33</v>
      </c>
      <c r="E32" s="32">
        <v>223515.98</v>
      </c>
      <c r="F32" s="32">
        <v>376711.17</v>
      </c>
      <c r="G32" s="32">
        <v>576685.87</v>
      </c>
      <c r="H32" s="32">
        <v>277635.32</v>
      </c>
      <c r="I32" s="32">
        <v>271271.17</v>
      </c>
      <c r="J32" s="32">
        <v>630912.68999999994</v>
      </c>
      <c r="K32" s="33">
        <v>246167.44</v>
      </c>
      <c r="L32" s="33">
        <v>253725.23</v>
      </c>
      <c r="M32" s="33">
        <v>668792.81000000006</v>
      </c>
      <c r="N32" s="33">
        <v>302844.39</v>
      </c>
      <c r="O32" s="89">
        <v>643593.76</v>
      </c>
      <c r="P32" s="121">
        <f t="shared" si="0"/>
        <v>5190031.1599999992</v>
      </c>
      <c r="S32" s="165" t="s">
        <v>51</v>
      </c>
      <c r="T32" s="31">
        <f t="shared" si="1"/>
        <v>1318402.48</v>
      </c>
      <c r="U32" s="32">
        <f t="shared" si="2"/>
        <v>1125592.3599999999</v>
      </c>
      <c r="V32" s="32">
        <f t="shared" si="3"/>
        <v>1130805.3599999999</v>
      </c>
      <c r="W32" s="32">
        <f t="shared" si="4"/>
        <v>1615230.96</v>
      </c>
      <c r="X32" s="1">
        <f t="shared" si="5"/>
        <v>5190031.16</v>
      </c>
    </row>
    <row r="33" spans="3:24">
      <c r="C33" s="22" t="s">
        <v>53</v>
      </c>
      <c r="D33" s="27">
        <v>1029354.71</v>
      </c>
      <c r="E33" s="28">
        <v>1464414.96</v>
      </c>
      <c r="F33" s="28">
        <v>1522221.38</v>
      </c>
      <c r="G33" s="28">
        <v>1775368.37</v>
      </c>
      <c r="H33" s="28">
        <v>2256595.1</v>
      </c>
      <c r="I33" s="28">
        <v>2096045.8199999998</v>
      </c>
      <c r="J33" s="28">
        <v>2075537.02</v>
      </c>
      <c r="K33" s="29">
        <v>2032299.0899999999</v>
      </c>
      <c r="L33" s="29">
        <v>1352466.5</v>
      </c>
      <c r="M33" s="29">
        <v>4007545.12</v>
      </c>
      <c r="N33" s="29">
        <v>2048266.9</v>
      </c>
      <c r="O33" s="88">
        <v>3117514.69</v>
      </c>
      <c r="P33" s="120">
        <f t="shared" si="0"/>
        <v>24777629.66</v>
      </c>
      <c r="Q33" s="2"/>
      <c r="R33" s="2"/>
      <c r="S33" s="166" t="s">
        <v>53</v>
      </c>
      <c r="T33" s="27">
        <f t="shared" si="1"/>
        <v>4015991.05</v>
      </c>
      <c r="U33" s="28">
        <f t="shared" si="2"/>
        <v>6128009.29</v>
      </c>
      <c r="V33" s="28">
        <f t="shared" si="3"/>
        <v>5460302.6099999994</v>
      </c>
      <c r="W33" s="28">
        <f t="shared" si="4"/>
        <v>9173326.709999999</v>
      </c>
      <c r="X33" s="1">
        <f t="shared" si="5"/>
        <v>24777629.659999996</v>
      </c>
    </row>
    <row r="34" spans="3:24">
      <c r="C34" s="21" t="s">
        <v>55</v>
      </c>
      <c r="D34" s="31">
        <v>111217</v>
      </c>
      <c r="E34" s="32">
        <v>76794.17</v>
      </c>
      <c r="F34" s="32">
        <v>62399.9</v>
      </c>
      <c r="G34" s="32">
        <v>177302.83</v>
      </c>
      <c r="H34" s="32">
        <v>191893.72</v>
      </c>
      <c r="I34" s="32">
        <v>301517.93</v>
      </c>
      <c r="J34" s="32">
        <v>379052.7</v>
      </c>
      <c r="K34" s="33">
        <v>225401.4</v>
      </c>
      <c r="L34" s="33">
        <v>116030.46</v>
      </c>
      <c r="M34" s="33">
        <v>2568758.4700000002</v>
      </c>
      <c r="N34" s="33">
        <v>447768.32000000001</v>
      </c>
      <c r="O34" s="89">
        <v>809327.85</v>
      </c>
      <c r="P34" s="121">
        <f t="shared" si="0"/>
        <v>5467464.75</v>
      </c>
      <c r="Q34" s="2"/>
      <c r="R34" s="2"/>
      <c r="S34" s="165" t="s">
        <v>55</v>
      </c>
      <c r="T34" s="31">
        <f t="shared" si="1"/>
        <v>250411.06999999998</v>
      </c>
      <c r="U34" s="32">
        <f t="shared" si="2"/>
        <v>670714.48</v>
      </c>
      <c r="V34" s="32">
        <f t="shared" si="3"/>
        <v>720484.55999999994</v>
      </c>
      <c r="W34" s="32">
        <f t="shared" si="4"/>
        <v>3825854.64</v>
      </c>
      <c r="X34" s="1">
        <f t="shared" si="5"/>
        <v>5467464.75</v>
      </c>
    </row>
    <row r="35" spans="3:24">
      <c r="C35" s="21" t="s">
        <v>57</v>
      </c>
      <c r="D35" s="31">
        <v>382249.12</v>
      </c>
      <c r="E35" s="32">
        <v>484730.42</v>
      </c>
      <c r="F35" s="32">
        <v>611894.52</v>
      </c>
      <c r="G35" s="32">
        <v>466869.4</v>
      </c>
      <c r="H35" s="32">
        <v>516376.63</v>
      </c>
      <c r="I35" s="32">
        <v>613855.25</v>
      </c>
      <c r="J35" s="32">
        <v>794527.39</v>
      </c>
      <c r="K35" s="33">
        <v>978515.74</v>
      </c>
      <c r="L35" s="33">
        <v>474681.84</v>
      </c>
      <c r="M35" s="33">
        <v>462392.28</v>
      </c>
      <c r="N35" s="33">
        <v>571019.73</v>
      </c>
      <c r="O35" s="89">
        <v>737703.19</v>
      </c>
      <c r="P35" s="121">
        <f t="shared" si="0"/>
        <v>7094815.5099999998</v>
      </c>
      <c r="Q35" s="2"/>
      <c r="R35" s="2"/>
      <c r="S35" s="165" t="s">
        <v>57</v>
      </c>
      <c r="T35" s="31">
        <f t="shared" si="1"/>
        <v>1478874.06</v>
      </c>
      <c r="U35" s="32">
        <f t="shared" si="2"/>
        <v>1597101.28</v>
      </c>
      <c r="V35" s="32">
        <f t="shared" si="3"/>
        <v>2247724.9699999997</v>
      </c>
      <c r="W35" s="32">
        <f t="shared" si="4"/>
        <v>1771115.2</v>
      </c>
      <c r="X35" s="1">
        <f t="shared" si="5"/>
        <v>7094815.5099999998</v>
      </c>
    </row>
    <row r="36" spans="3:24">
      <c r="C36" s="21" t="s">
        <v>315</v>
      </c>
      <c r="D36" s="31">
        <v>101702.84</v>
      </c>
      <c r="E36" s="32">
        <v>166988.1</v>
      </c>
      <c r="F36" s="32">
        <v>204842.75</v>
      </c>
      <c r="G36" s="32">
        <v>192726.12</v>
      </c>
      <c r="H36" s="32">
        <v>200798.77</v>
      </c>
      <c r="I36" s="33">
        <v>271293.02</v>
      </c>
      <c r="J36" s="32">
        <v>213731.68</v>
      </c>
      <c r="K36" s="33">
        <v>219728.69</v>
      </c>
      <c r="L36" s="33">
        <v>188872</v>
      </c>
      <c r="M36" s="33">
        <v>148153.38</v>
      </c>
      <c r="N36" s="33">
        <v>175845.17</v>
      </c>
      <c r="O36" s="89">
        <v>223987.36</v>
      </c>
      <c r="P36" s="121">
        <f t="shared" si="0"/>
        <v>2308669.88</v>
      </c>
      <c r="Q36" s="2"/>
      <c r="R36" s="2"/>
      <c r="S36" s="165" t="s">
        <v>315</v>
      </c>
      <c r="T36" s="31">
        <f t="shared" si="1"/>
        <v>473533.69</v>
      </c>
      <c r="U36" s="32">
        <f t="shared" si="2"/>
        <v>664817.91</v>
      </c>
      <c r="V36" s="32">
        <f t="shared" si="3"/>
        <v>622332.37</v>
      </c>
      <c r="W36" s="32">
        <f t="shared" si="4"/>
        <v>547985.91</v>
      </c>
      <c r="X36" s="1">
        <f t="shared" si="5"/>
        <v>2308669.8800000004</v>
      </c>
    </row>
    <row r="37" spans="3:24">
      <c r="C37" s="21" t="s">
        <v>53</v>
      </c>
      <c r="D37" s="31">
        <v>434185.75</v>
      </c>
      <c r="E37" s="32">
        <v>735902.27</v>
      </c>
      <c r="F37" s="32">
        <v>643084.21</v>
      </c>
      <c r="G37" s="32">
        <v>938470.02</v>
      </c>
      <c r="H37" s="32">
        <v>1347525.98</v>
      </c>
      <c r="I37" s="33">
        <v>909379.62</v>
      </c>
      <c r="J37" s="32">
        <v>688225.25</v>
      </c>
      <c r="K37" s="33">
        <v>608653.26</v>
      </c>
      <c r="L37" s="33">
        <v>572882.19999999995</v>
      </c>
      <c r="M37" s="33">
        <v>828240.99</v>
      </c>
      <c r="N37" s="33">
        <v>853633.68</v>
      </c>
      <c r="O37" s="89">
        <v>1346496.29</v>
      </c>
      <c r="P37" s="121">
        <f t="shared" si="0"/>
        <v>9906679.5199999996</v>
      </c>
      <c r="Q37" s="2"/>
      <c r="R37" s="2"/>
      <c r="S37" s="165" t="s">
        <v>53</v>
      </c>
      <c r="T37" s="31">
        <f t="shared" si="1"/>
        <v>1813172.23</v>
      </c>
      <c r="U37" s="32">
        <f t="shared" si="2"/>
        <v>3195375.62</v>
      </c>
      <c r="V37" s="32">
        <f t="shared" si="3"/>
        <v>1869760.71</v>
      </c>
      <c r="W37" s="32">
        <f t="shared" si="4"/>
        <v>3028370.96</v>
      </c>
      <c r="X37" s="1">
        <f t="shared" si="5"/>
        <v>9906679.5199999996</v>
      </c>
    </row>
    <row r="38" spans="3:24" ht="13.5" thickBot="1">
      <c r="C38" s="45" t="s">
        <v>256</v>
      </c>
      <c r="D38" s="46">
        <v>243474.65</v>
      </c>
      <c r="E38" s="47">
        <v>222100.94</v>
      </c>
      <c r="F38" s="48">
        <v>212223.57</v>
      </c>
      <c r="G38" s="48">
        <v>382354.71</v>
      </c>
      <c r="H38" s="48">
        <v>253844.35</v>
      </c>
      <c r="I38" s="48">
        <v>242992.44</v>
      </c>
      <c r="J38" s="48">
        <v>334129.03999999998</v>
      </c>
      <c r="K38" s="47">
        <v>508443.86</v>
      </c>
      <c r="L38" s="48">
        <v>293445.81</v>
      </c>
      <c r="M38" s="48">
        <v>306628.21999999997</v>
      </c>
      <c r="N38" s="48">
        <v>483237.49</v>
      </c>
      <c r="O38" s="69">
        <v>1523568.9</v>
      </c>
      <c r="P38" s="122">
        <f t="shared" si="0"/>
        <v>5006443.9800000004</v>
      </c>
      <c r="Q38" s="2"/>
      <c r="R38" s="2"/>
      <c r="S38" s="167" t="s">
        <v>256</v>
      </c>
      <c r="T38" s="46">
        <f t="shared" si="1"/>
        <v>677799.15999999992</v>
      </c>
      <c r="U38" s="47">
        <f t="shared" si="2"/>
        <v>879191.5</v>
      </c>
      <c r="V38" s="48">
        <f t="shared" si="3"/>
        <v>1136018.71</v>
      </c>
      <c r="W38" s="48">
        <f t="shared" si="4"/>
        <v>2313434.61</v>
      </c>
      <c r="X38" s="1">
        <f t="shared" si="5"/>
        <v>5006443.9800000004</v>
      </c>
    </row>
    <row r="39" spans="3:24" ht="14.25" thickTop="1" thickBot="1">
      <c r="C39" s="35" t="s">
        <v>62</v>
      </c>
      <c r="D39" s="62">
        <f>+D41+D55+D61+D67+D68+D69+D71</f>
        <v>49986841.960000008</v>
      </c>
      <c r="E39" s="62">
        <f t="shared" ref="E39:N39" si="6">+E41+E55+E61+E67+E68+E69+E71</f>
        <v>94419447.280000001</v>
      </c>
      <c r="F39" s="62">
        <f t="shared" si="6"/>
        <v>108040892.72</v>
      </c>
      <c r="G39" s="62">
        <f t="shared" si="6"/>
        <v>100377120.37000002</v>
      </c>
      <c r="H39" s="62">
        <f t="shared" si="6"/>
        <v>125316541.36000001</v>
      </c>
      <c r="I39" s="62">
        <f t="shared" si="6"/>
        <v>99592119.920000002</v>
      </c>
      <c r="J39" s="62">
        <f t="shared" si="6"/>
        <v>122559303.28999999</v>
      </c>
      <c r="K39" s="62">
        <f t="shared" si="6"/>
        <v>93833522.960000008</v>
      </c>
      <c r="L39" s="62">
        <f t="shared" si="6"/>
        <v>125284241.47</v>
      </c>
      <c r="M39" s="62">
        <f t="shared" si="6"/>
        <v>90606405.979999989</v>
      </c>
      <c r="N39" s="62">
        <f t="shared" si="6"/>
        <v>103574438.02999999</v>
      </c>
      <c r="O39" s="62">
        <f>+O41+O55+O61+O67+O68+O69+O71+O70</f>
        <v>205225525.59999999</v>
      </c>
      <c r="P39" s="90">
        <f>+SUM(D39:O39)</f>
        <v>1318816400.9400001</v>
      </c>
      <c r="Q39" s="161"/>
      <c r="R39" s="2"/>
      <c r="S39" s="163" t="s">
        <v>62</v>
      </c>
      <c r="T39" s="62">
        <f t="shared" si="1"/>
        <v>252447181.96000001</v>
      </c>
      <c r="U39" s="62">
        <f t="shared" si="2"/>
        <v>325285781.65000004</v>
      </c>
      <c r="V39" s="62">
        <f t="shared" si="3"/>
        <v>341677067.72000003</v>
      </c>
      <c r="W39" s="62">
        <f t="shared" si="4"/>
        <v>399406369.61000001</v>
      </c>
      <c r="X39" s="1">
        <f t="shared" si="5"/>
        <v>1318816400.9400001</v>
      </c>
    </row>
    <row r="40" spans="3:24" ht="14.25" thickTop="1" thickBot="1">
      <c r="C40" s="35" t="s">
        <v>126</v>
      </c>
      <c r="D40" s="62">
        <v>49420838.13000001</v>
      </c>
      <c r="E40" s="93">
        <v>86381252.710000008</v>
      </c>
      <c r="F40" s="62">
        <v>103809098.91</v>
      </c>
      <c r="G40" s="62">
        <v>95592146.980000019</v>
      </c>
      <c r="H40" s="62">
        <v>88340550.010000005</v>
      </c>
      <c r="I40" s="62">
        <v>92513493.909999996</v>
      </c>
      <c r="J40" s="62">
        <v>114095231.05</v>
      </c>
      <c r="K40" s="62">
        <v>88441088.230000004</v>
      </c>
      <c r="L40" s="62">
        <v>116168670.38</v>
      </c>
      <c r="M40" s="62">
        <v>82796355.819999993</v>
      </c>
      <c r="N40" s="62">
        <v>95667200.879999995</v>
      </c>
      <c r="O40" s="90">
        <v>150960945.00999999</v>
      </c>
      <c r="P40" s="90">
        <f t="shared" si="0"/>
        <v>1164186872.02</v>
      </c>
      <c r="Q40" s="2"/>
      <c r="R40" s="2"/>
      <c r="S40" s="163" t="s">
        <v>126</v>
      </c>
      <c r="T40" s="62">
        <f t="shared" si="1"/>
        <v>239611189.75000003</v>
      </c>
      <c r="U40" s="93">
        <f t="shared" si="2"/>
        <v>276446190.89999998</v>
      </c>
      <c r="V40" s="62">
        <f t="shared" si="3"/>
        <v>318704989.65999997</v>
      </c>
      <c r="W40" s="62">
        <f t="shared" si="4"/>
        <v>329424501.70999998</v>
      </c>
      <c r="X40" s="1">
        <f t="shared" si="5"/>
        <v>1164186872.02</v>
      </c>
    </row>
    <row r="41" spans="3:24" ht="13.5" thickTop="1">
      <c r="C41" s="22" t="s">
        <v>63</v>
      </c>
      <c r="D41" s="24">
        <v>8627834.0199999996</v>
      </c>
      <c r="E41" s="99">
        <v>43164894.030000001</v>
      </c>
      <c r="F41" s="65">
        <v>59426365.849999994</v>
      </c>
      <c r="G41" s="67">
        <v>49785776.700000003</v>
      </c>
      <c r="H41" s="67">
        <v>44830455.289999999</v>
      </c>
      <c r="I41" s="67">
        <v>47447149.749999993</v>
      </c>
      <c r="J41" s="67">
        <v>70908065.189999998</v>
      </c>
      <c r="K41" s="67">
        <v>44145023.140000001</v>
      </c>
      <c r="L41" s="67">
        <v>70782480.310000002</v>
      </c>
      <c r="M41" s="66">
        <v>38141228.740000002</v>
      </c>
      <c r="N41" s="65">
        <v>51008458.259999998</v>
      </c>
      <c r="O41" s="67">
        <v>93242810.679999992</v>
      </c>
      <c r="P41" s="123">
        <f t="shared" si="0"/>
        <v>621510541.95999992</v>
      </c>
      <c r="Q41" s="2"/>
      <c r="R41" s="2"/>
      <c r="S41" s="166" t="s">
        <v>63</v>
      </c>
      <c r="T41" s="24">
        <f t="shared" si="1"/>
        <v>111219093.89999999</v>
      </c>
      <c r="U41" s="99">
        <f t="shared" si="2"/>
        <v>142063381.74000001</v>
      </c>
      <c r="V41" s="65">
        <f t="shared" si="3"/>
        <v>185835568.63999999</v>
      </c>
      <c r="W41" s="67">
        <f t="shared" si="4"/>
        <v>182392497.68000001</v>
      </c>
      <c r="X41" s="1">
        <f t="shared" si="5"/>
        <v>621510541.96000004</v>
      </c>
    </row>
    <row r="42" spans="3:24">
      <c r="C42" s="22" t="s">
        <v>64</v>
      </c>
      <c r="D42" s="24">
        <v>2273988.2999999998</v>
      </c>
      <c r="E42" s="66">
        <v>30288662.489999998</v>
      </c>
      <c r="F42" s="65">
        <v>40616297.129999995</v>
      </c>
      <c r="G42" s="67">
        <v>35946101.170000002</v>
      </c>
      <c r="H42" s="67">
        <v>30479076.149999999</v>
      </c>
      <c r="I42" s="67">
        <v>26850585.659999996</v>
      </c>
      <c r="J42" s="67">
        <v>37113262.700000003</v>
      </c>
      <c r="K42" s="67">
        <v>23146071.73</v>
      </c>
      <c r="L42" s="67">
        <v>36016435.690000005</v>
      </c>
      <c r="M42" s="66">
        <v>22029170.5</v>
      </c>
      <c r="N42" s="65">
        <v>31387590.989999998</v>
      </c>
      <c r="O42" s="67">
        <v>55111004.319999993</v>
      </c>
      <c r="P42" s="123">
        <f t="shared" si="0"/>
        <v>371258246.82999998</v>
      </c>
      <c r="Q42" s="2"/>
      <c r="R42" s="2"/>
      <c r="S42" s="166" t="s">
        <v>64</v>
      </c>
      <c r="T42" s="24">
        <f t="shared" si="1"/>
        <v>73178947.919999987</v>
      </c>
      <c r="U42" s="66">
        <f t="shared" si="2"/>
        <v>93275762.979999989</v>
      </c>
      <c r="V42" s="65">
        <f t="shared" si="3"/>
        <v>96275770.120000005</v>
      </c>
      <c r="W42" s="67">
        <f t="shared" si="4"/>
        <v>108527765.80999999</v>
      </c>
      <c r="X42" s="1">
        <f t="shared" si="5"/>
        <v>371258246.82999998</v>
      </c>
    </row>
    <row r="43" spans="3:24">
      <c r="C43" s="58" t="s">
        <v>66</v>
      </c>
      <c r="D43" s="31">
        <v>2273988.2999999998</v>
      </c>
      <c r="E43" s="32">
        <v>17471791.870000001</v>
      </c>
      <c r="F43" s="32">
        <v>27650652.690000001</v>
      </c>
      <c r="G43" s="32">
        <v>23098860.969999999</v>
      </c>
      <c r="H43" s="32">
        <v>18133309.100000001</v>
      </c>
      <c r="I43" s="33">
        <v>14560414.66</v>
      </c>
      <c r="J43" s="32">
        <v>22120116.27</v>
      </c>
      <c r="K43" s="33">
        <v>12386717.98</v>
      </c>
      <c r="L43" s="33">
        <v>24159222.100000001</v>
      </c>
      <c r="M43" s="33">
        <v>9134303.8800000008</v>
      </c>
      <c r="N43" s="33">
        <v>18922048.329999998</v>
      </c>
      <c r="O43" s="89">
        <v>30391769.469999999</v>
      </c>
      <c r="P43" s="121">
        <f t="shared" si="0"/>
        <v>220303195.61999997</v>
      </c>
      <c r="Q43" s="2"/>
      <c r="R43" s="2"/>
      <c r="S43" s="168" t="s">
        <v>66</v>
      </c>
      <c r="T43" s="31">
        <f t="shared" si="1"/>
        <v>47396432.859999999</v>
      </c>
      <c r="U43" s="32">
        <f t="shared" si="2"/>
        <v>55792584.730000004</v>
      </c>
      <c r="V43" s="32">
        <f t="shared" si="3"/>
        <v>58666056.350000001</v>
      </c>
      <c r="W43" s="32">
        <f t="shared" si="4"/>
        <v>58448121.68</v>
      </c>
      <c r="X43" s="1">
        <f t="shared" si="5"/>
        <v>220303195.62</v>
      </c>
    </row>
    <row r="44" spans="3:24">
      <c r="C44" s="58" t="s">
        <v>68</v>
      </c>
      <c r="D44" s="31">
        <v>0</v>
      </c>
      <c r="E44" s="32">
        <v>2514692.65</v>
      </c>
      <c r="F44" s="32">
        <v>2508569.5699999998</v>
      </c>
      <c r="G44" s="32">
        <v>2505320.71</v>
      </c>
      <c r="H44" s="32">
        <v>2473353.64</v>
      </c>
      <c r="I44" s="33">
        <v>2362550.4900000002</v>
      </c>
      <c r="J44" s="32">
        <v>2872858.01</v>
      </c>
      <c r="K44" s="33">
        <v>2050364.64</v>
      </c>
      <c r="L44" s="33">
        <v>2293422.79</v>
      </c>
      <c r="M44" s="33">
        <v>2465798.62</v>
      </c>
      <c r="N44" s="33">
        <v>2501319.02</v>
      </c>
      <c r="O44" s="89">
        <v>4795729.3899999997</v>
      </c>
      <c r="P44" s="121">
        <f t="shared" si="0"/>
        <v>29343979.530000001</v>
      </c>
      <c r="Q44" s="2"/>
      <c r="R44" s="2"/>
      <c r="S44" s="168" t="s">
        <v>68</v>
      </c>
      <c r="T44" s="31">
        <f t="shared" si="1"/>
        <v>5023262.22</v>
      </c>
      <c r="U44" s="32">
        <f t="shared" si="2"/>
        <v>7341224.8399999999</v>
      </c>
      <c r="V44" s="32">
        <f t="shared" si="3"/>
        <v>7216645.4399999995</v>
      </c>
      <c r="W44" s="32">
        <f t="shared" si="4"/>
        <v>9762847.0300000012</v>
      </c>
      <c r="X44" s="1">
        <f t="shared" si="5"/>
        <v>29343979.530000001</v>
      </c>
    </row>
    <row r="45" spans="3:24">
      <c r="C45" s="58" t="s">
        <v>70</v>
      </c>
      <c r="D45" s="31">
        <v>0</v>
      </c>
      <c r="E45" s="32">
        <v>6531117.1799999997</v>
      </c>
      <c r="F45" s="32">
        <v>6593870.46</v>
      </c>
      <c r="G45" s="32">
        <v>6535884.2000000002</v>
      </c>
      <c r="H45" s="32">
        <v>6374538.6500000004</v>
      </c>
      <c r="I45" s="33">
        <v>6284319.4100000001</v>
      </c>
      <c r="J45" s="32">
        <v>7604612.6699999999</v>
      </c>
      <c r="K45" s="33">
        <v>5401396.1200000001</v>
      </c>
      <c r="L45" s="33">
        <v>6260023.1799999997</v>
      </c>
      <c r="M45" s="33">
        <v>6279449.0700000003</v>
      </c>
      <c r="N45" s="33">
        <v>6563087.3600000003</v>
      </c>
      <c r="O45" s="89">
        <v>12274275.77</v>
      </c>
      <c r="P45" s="121">
        <f t="shared" si="0"/>
        <v>76702574.069999993</v>
      </c>
      <c r="Q45" s="2"/>
      <c r="R45" s="2"/>
      <c r="S45" s="168" t="s">
        <v>70</v>
      </c>
      <c r="T45" s="31">
        <f t="shared" si="1"/>
        <v>13124987.640000001</v>
      </c>
      <c r="U45" s="32">
        <f t="shared" si="2"/>
        <v>19194742.260000002</v>
      </c>
      <c r="V45" s="32">
        <f t="shared" si="3"/>
        <v>19266031.969999999</v>
      </c>
      <c r="W45" s="32">
        <f t="shared" si="4"/>
        <v>25116812.199999999</v>
      </c>
      <c r="X45" s="1">
        <f t="shared" si="5"/>
        <v>76702574.070000008</v>
      </c>
    </row>
    <row r="46" spans="3:24">
      <c r="C46" s="58" t="s">
        <v>72</v>
      </c>
      <c r="D46" s="31">
        <v>0</v>
      </c>
      <c r="E46" s="32">
        <v>3425218.34</v>
      </c>
      <c r="F46" s="32">
        <v>3514678.55</v>
      </c>
      <c r="G46" s="32">
        <v>3453101.7</v>
      </c>
      <c r="H46" s="32">
        <v>3154834.06</v>
      </c>
      <c r="I46" s="33">
        <v>3310940.86</v>
      </c>
      <c r="J46" s="32">
        <v>4109338.16</v>
      </c>
      <c r="K46" s="33">
        <v>3018463.09</v>
      </c>
      <c r="L46" s="33">
        <v>2969324.74</v>
      </c>
      <c r="M46" s="33">
        <v>3812073.65</v>
      </c>
      <c r="N46" s="33">
        <v>3035435.11</v>
      </c>
      <c r="O46" s="89">
        <v>6982800.46</v>
      </c>
      <c r="P46" s="121">
        <f t="shared" si="0"/>
        <v>40786208.719999999</v>
      </c>
      <c r="Q46" s="2"/>
      <c r="R46" s="2"/>
      <c r="S46" s="168" t="s">
        <v>72</v>
      </c>
      <c r="T46" s="31">
        <f t="shared" si="1"/>
        <v>6939896.8899999997</v>
      </c>
      <c r="U46" s="32">
        <f t="shared" si="2"/>
        <v>9918876.6199999992</v>
      </c>
      <c r="V46" s="32">
        <f t="shared" si="3"/>
        <v>10097125.99</v>
      </c>
      <c r="W46" s="32">
        <f t="shared" si="4"/>
        <v>13830309.219999999</v>
      </c>
      <c r="X46" s="1">
        <f t="shared" si="5"/>
        <v>40786208.719999999</v>
      </c>
    </row>
    <row r="47" spans="3:24">
      <c r="C47" s="58" t="s">
        <v>129</v>
      </c>
      <c r="D47" s="31">
        <v>0</v>
      </c>
      <c r="E47" s="32">
        <v>345842.45</v>
      </c>
      <c r="F47" s="32">
        <v>348525.86</v>
      </c>
      <c r="G47" s="32">
        <v>352933.59</v>
      </c>
      <c r="H47" s="32">
        <v>343040.7</v>
      </c>
      <c r="I47" s="33">
        <v>332360.24</v>
      </c>
      <c r="J47" s="32">
        <v>406337.59</v>
      </c>
      <c r="K47" s="33">
        <v>289129.90000000002</v>
      </c>
      <c r="L47" s="33">
        <v>334442.88</v>
      </c>
      <c r="M47" s="33">
        <v>337545.28</v>
      </c>
      <c r="N47" s="33">
        <v>365701.17</v>
      </c>
      <c r="O47" s="89">
        <v>666429.23</v>
      </c>
      <c r="P47" s="121">
        <f t="shared" si="0"/>
        <v>4122288.89</v>
      </c>
      <c r="Q47" s="2"/>
      <c r="R47" s="2"/>
      <c r="S47" s="168" t="s">
        <v>129</v>
      </c>
      <c r="T47" s="31">
        <f t="shared" si="1"/>
        <v>694368.31</v>
      </c>
      <c r="U47" s="32">
        <f t="shared" si="2"/>
        <v>1028334.53</v>
      </c>
      <c r="V47" s="32">
        <f t="shared" si="3"/>
        <v>1029910.37</v>
      </c>
      <c r="W47" s="32">
        <f t="shared" si="4"/>
        <v>1369675.68</v>
      </c>
      <c r="X47" s="1">
        <f t="shared" si="5"/>
        <v>4122288.8899999997</v>
      </c>
    </row>
    <row r="48" spans="3:24">
      <c r="C48" s="22" t="s">
        <v>75</v>
      </c>
      <c r="D48" s="63">
        <v>1045481.8</v>
      </c>
      <c r="E48" s="66">
        <v>1056653.04</v>
      </c>
      <c r="F48" s="65">
        <v>1242869.69</v>
      </c>
      <c r="G48" s="67">
        <v>1207294.6200000001</v>
      </c>
      <c r="H48" s="67">
        <v>854208.54</v>
      </c>
      <c r="I48" s="67">
        <v>897771.29</v>
      </c>
      <c r="J48" s="67">
        <v>1146414.8899999999</v>
      </c>
      <c r="K48" s="67">
        <v>583880.80000000005</v>
      </c>
      <c r="L48" s="67">
        <v>734439.14</v>
      </c>
      <c r="M48" s="66">
        <v>907724.24</v>
      </c>
      <c r="N48" s="65">
        <v>840618.74</v>
      </c>
      <c r="O48" s="67">
        <v>2312316.69</v>
      </c>
      <c r="P48" s="123">
        <f t="shared" si="0"/>
        <v>12829673.48</v>
      </c>
      <c r="Q48" s="2"/>
      <c r="R48" s="2"/>
      <c r="S48" s="166" t="s">
        <v>75</v>
      </c>
      <c r="T48" s="63">
        <f t="shared" si="1"/>
        <v>3345004.53</v>
      </c>
      <c r="U48" s="66">
        <f t="shared" si="2"/>
        <v>2959274.45</v>
      </c>
      <c r="V48" s="65">
        <f t="shared" si="3"/>
        <v>2464734.83</v>
      </c>
      <c r="W48" s="67">
        <f t="shared" si="4"/>
        <v>4060659.67</v>
      </c>
      <c r="X48" s="1">
        <f t="shared" si="5"/>
        <v>12829673.48</v>
      </c>
    </row>
    <row r="49" spans="3:24">
      <c r="C49" s="22" t="s">
        <v>77</v>
      </c>
      <c r="D49" s="63">
        <v>1484685.72</v>
      </c>
      <c r="E49" s="66">
        <v>7165006.0499999998</v>
      </c>
      <c r="F49" s="65">
        <v>9460591.8300000001</v>
      </c>
      <c r="G49" s="67">
        <v>7293662.2400000002</v>
      </c>
      <c r="H49" s="67">
        <v>8682314.5299999993</v>
      </c>
      <c r="I49" s="67">
        <v>10463777.859999999</v>
      </c>
      <c r="J49" s="67">
        <v>7317733.6699999999</v>
      </c>
      <c r="K49" s="67">
        <v>6550674.21</v>
      </c>
      <c r="L49" s="67">
        <v>10206542.800000001</v>
      </c>
      <c r="M49" s="66">
        <v>10738897.789999999</v>
      </c>
      <c r="N49" s="65">
        <v>9625130.3000000007</v>
      </c>
      <c r="O49" s="67">
        <v>21503906.379999999</v>
      </c>
      <c r="P49" s="123">
        <f t="shared" si="0"/>
        <v>110492923.38000001</v>
      </c>
      <c r="Q49" s="2"/>
      <c r="R49" s="2"/>
      <c r="S49" s="166" t="s">
        <v>77</v>
      </c>
      <c r="T49" s="63">
        <f t="shared" si="1"/>
        <v>18110283.600000001</v>
      </c>
      <c r="U49" s="66">
        <f t="shared" si="2"/>
        <v>26439754.629999999</v>
      </c>
      <c r="V49" s="65">
        <f t="shared" si="3"/>
        <v>24074950.68</v>
      </c>
      <c r="W49" s="67">
        <f t="shared" si="4"/>
        <v>41867934.469999999</v>
      </c>
      <c r="X49" s="1">
        <f t="shared" si="5"/>
        <v>110492923.38</v>
      </c>
    </row>
    <row r="50" spans="3:24">
      <c r="C50" s="22" t="s">
        <v>79</v>
      </c>
      <c r="D50" s="63">
        <v>53448.77</v>
      </c>
      <c r="E50" s="66">
        <v>1798760.97</v>
      </c>
      <c r="F50" s="65">
        <v>1771488.25</v>
      </c>
      <c r="G50" s="67">
        <v>1950746.81</v>
      </c>
      <c r="H50" s="67">
        <v>1541027.91</v>
      </c>
      <c r="I50" s="67">
        <v>1392931.49</v>
      </c>
      <c r="J50" s="67">
        <v>1987593.83</v>
      </c>
      <c r="K50" s="67">
        <v>2806479.97</v>
      </c>
      <c r="L50" s="67">
        <v>1203686.26</v>
      </c>
      <c r="M50" s="66">
        <v>1849314.05</v>
      </c>
      <c r="N50" s="65">
        <v>1992013.6</v>
      </c>
      <c r="O50" s="67">
        <v>5194533.6399999997</v>
      </c>
      <c r="P50" s="123">
        <f t="shared" si="0"/>
        <v>23542025.550000004</v>
      </c>
      <c r="Q50" s="2"/>
      <c r="R50" s="2"/>
      <c r="S50" s="166" t="s">
        <v>79</v>
      </c>
      <c r="T50" s="63">
        <f t="shared" si="1"/>
        <v>3623697.99</v>
      </c>
      <c r="U50" s="66">
        <f t="shared" si="2"/>
        <v>4884706.21</v>
      </c>
      <c r="V50" s="65">
        <f t="shared" si="3"/>
        <v>5997760.0600000005</v>
      </c>
      <c r="W50" s="67">
        <f t="shared" si="4"/>
        <v>9035861.2899999991</v>
      </c>
      <c r="X50" s="1">
        <f t="shared" si="5"/>
        <v>23542025.549999997</v>
      </c>
    </row>
    <row r="51" spans="3:24">
      <c r="C51" s="22" t="s">
        <v>80</v>
      </c>
      <c r="D51" s="63">
        <v>3391277.13</v>
      </c>
      <c r="E51" s="66">
        <v>972542.76</v>
      </c>
      <c r="F51" s="65">
        <v>2416797.52</v>
      </c>
      <c r="G51" s="67">
        <v>820062.5</v>
      </c>
      <c r="H51" s="67">
        <v>1184535.8500000001</v>
      </c>
      <c r="I51" s="67">
        <v>4336983.3499999996</v>
      </c>
      <c r="J51" s="67">
        <v>4465679.6900000004</v>
      </c>
      <c r="K51" s="67">
        <v>1719692.53</v>
      </c>
      <c r="L51" s="67">
        <v>18211133.600000001</v>
      </c>
      <c r="M51" s="66">
        <v>602506.52</v>
      </c>
      <c r="N51" s="65">
        <v>1061016.5</v>
      </c>
      <c r="O51" s="67">
        <v>5910122.0800000001</v>
      </c>
      <c r="P51" s="123">
        <f t="shared" si="0"/>
        <v>45092350.030000009</v>
      </c>
      <c r="Q51" s="2"/>
      <c r="R51" s="2"/>
      <c r="S51" s="166" t="s">
        <v>80</v>
      </c>
      <c r="T51" s="63">
        <f t="shared" si="1"/>
        <v>6780617.4100000001</v>
      </c>
      <c r="U51" s="66">
        <f t="shared" si="2"/>
        <v>6341581.6999999993</v>
      </c>
      <c r="V51" s="65">
        <f t="shared" si="3"/>
        <v>24396505.82</v>
      </c>
      <c r="W51" s="67">
        <f t="shared" si="4"/>
        <v>7573645.0999999996</v>
      </c>
      <c r="X51" s="1">
        <f t="shared" si="5"/>
        <v>45092350.030000001</v>
      </c>
    </row>
    <row r="52" spans="3:24">
      <c r="C52" s="22" t="s">
        <v>82</v>
      </c>
      <c r="D52" s="63">
        <v>73867.23</v>
      </c>
      <c r="E52" s="66">
        <v>840546.78</v>
      </c>
      <c r="F52" s="65">
        <v>719500.95</v>
      </c>
      <c r="G52" s="67">
        <v>537556.74</v>
      </c>
      <c r="H52" s="67">
        <v>825082.28</v>
      </c>
      <c r="I52" s="67">
        <v>614646.72</v>
      </c>
      <c r="J52" s="67">
        <v>645197.78</v>
      </c>
      <c r="K52" s="67">
        <v>201491.01</v>
      </c>
      <c r="L52" s="67">
        <v>935104.47</v>
      </c>
      <c r="M52" s="66">
        <v>352694.09</v>
      </c>
      <c r="N52" s="65">
        <v>954819.61</v>
      </c>
      <c r="O52" s="67">
        <v>675780.26</v>
      </c>
      <c r="P52" s="123">
        <f t="shared" si="0"/>
        <v>7376287.9199999999</v>
      </c>
      <c r="Q52" s="2"/>
      <c r="R52" s="2"/>
      <c r="S52" s="166" t="s">
        <v>82</v>
      </c>
      <c r="T52" s="63">
        <f t="shared" si="1"/>
        <v>1633914.96</v>
      </c>
      <c r="U52" s="66">
        <f t="shared" si="2"/>
        <v>1977285.74</v>
      </c>
      <c r="V52" s="65">
        <f t="shared" si="3"/>
        <v>1781793.26</v>
      </c>
      <c r="W52" s="67">
        <f t="shared" si="4"/>
        <v>1983293.96</v>
      </c>
      <c r="X52" s="1">
        <f t="shared" si="5"/>
        <v>7376287.9199999999</v>
      </c>
    </row>
    <row r="53" spans="3:24">
      <c r="C53" s="22" t="s">
        <v>84</v>
      </c>
      <c r="D53" s="63">
        <v>275000</v>
      </c>
      <c r="E53" s="66">
        <v>539245.19999999995</v>
      </c>
      <c r="F53" s="65">
        <v>2694017.39</v>
      </c>
      <c r="G53" s="67">
        <v>1595560.02</v>
      </c>
      <c r="H53" s="67">
        <v>871042.51</v>
      </c>
      <c r="I53" s="67">
        <v>2341303.41</v>
      </c>
      <c r="J53" s="67">
        <v>17953902.48</v>
      </c>
      <c r="K53" s="67">
        <v>8554726.6999999993</v>
      </c>
      <c r="L53" s="67">
        <v>2936196.08</v>
      </c>
      <c r="M53" s="66">
        <v>1159365.6499999999</v>
      </c>
      <c r="N53" s="65">
        <v>4612044.76</v>
      </c>
      <c r="O53" s="67">
        <v>1868092.32</v>
      </c>
      <c r="P53" s="123">
        <f t="shared" si="0"/>
        <v>45400496.519999988</v>
      </c>
      <c r="Q53" s="2"/>
      <c r="R53" s="2"/>
      <c r="S53" s="166" t="s">
        <v>84</v>
      </c>
      <c r="T53" s="63">
        <f t="shared" si="1"/>
        <v>3508262.59</v>
      </c>
      <c r="U53" s="66">
        <f t="shared" si="2"/>
        <v>4807905.9400000004</v>
      </c>
      <c r="V53" s="65">
        <f t="shared" si="3"/>
        <v>29444825.259999998</v>
      </c>
      <c r="W53" s="67">
        <f t="shared" si="4"/>
        <v>7639502.7300000004</v>
      </c>
      <c r="X53" s="1">
        <f t="shared" si="5"/>
        <v>45400496.519999996</v>
      </c>
    </row>
    <row r="54" spans="3:24">
      <c r="C54" s="22" t="s">
        <v>86</v>
      </c>
      <c r="D54" s="63">
        <v>30085.07</v>
      </c>
      <c r="E54" s="66">
        <v>503476.74</v>
      </c>
      <c r="F54" s="65">
        <v>504803.09</v>
      </c>
      <c r="G54" s="67">
        <v>434792.6</v>
      </c>
      <c r="H54" s="67">
        <v>393167.52</v>
      </c>
      <c r="I54" s="67">
        <v>549149.97</v>
      </c>
      <c r="J54" s="67">
        <v>278280.15000000002</v>
      </c>
      <c r="K54" s="67">
        <v>582006.18999999994</v>
      </c>
      <c r="L54" s="67">
        <v>538942.27</v>
      </c>
      <c r="M54" s="66">
        <v>501555.9</v>
      </c>
      <c r="N54" s="65">
        <v>535223.76</v>
      </c>
      <c r="O54" s="67">
        <v>667054.99</v>
      </c>
      <c r="P54" s="123">
        <f t="shared" si="0"/>
        <v>5518538.25</v>
      </c>
      <c r="Q54" s="2"/>
      <c r="R54" s="2"/>
      <c r="S54" s="166" t="s">
        <v>86</v>
      </c>
      <c r="T54" s="63">
        <f t="shared" si="1"/>
        <v>1038364.8999999999</v>
      </c>
      <c r="U54" s="66">
        <f t="shared" si="2"/>
        <v>1377110.0899999999</v>
      </c>
      <c r="V54" s="65">
        <f t="shared" si="3"/>
        <v>1399228.6099999999</v>
      </c>
      <c r="W54" s="67">
        <f t="shared" si="4"/>
        <v>1703834.65</v>
      </c>
      <c r="X54" s="1">
        <f t="shared" si="5"/>
        <v>5518538.25</v>
      </c>
    </row>
    <row r="55" spans="3:24">
      <c r="C55" s="22" t="s">
        <v>87</v>
      </c>
      <c r="D55" s="63">
        <v>35790227.910000004</v>
      </c>
      <c r="E55" s="66">
        <v>37240232.010000005</v>
      </c>
      <c r="F55" s="65">
        <v>37271924.399999999</v>
      </c>
      <c r="G55" s="67">
        <v>39892449.500000007</v>
      </c>
      <c r="H55" s="67">
        <v>37066211.300000004</v>
      </c>
      <c r="I55" s="67">
        <v>37079860.880000003</v>
      </c>
      <c r="J55" s="67">
        <v>36572178.390000001</v>
      </c>
      <c r="K55" s="67">
        <v>37647103.829999998</v>
      </c>
      <c r="L55" s="67">
        <v>37740826.109999999</v>
      </c>
      <c r="M55" s="66">
        <v>38605292.859999999</v>
      </c>
      <c r="N55" s="65">
        <v>38236095.210000008</v>
      </c>
      <c r="O55" s="67">
        <v>41619747.859999999</v>
      </c>
      <c r="P55" s="123">
        <f t="shared" si="0"/>
        <v>454762150.26000011</v>
      </c>
      <c r="Q55" s="2"/>
      <c r="R55" s="160"/>
      <c r="S55" s="166" t="s">
        <v>87</v>
      </c>
      <c r="T55" s="63">
        <f t="shared" si="1"/>
        <v>110302384.32000002</v>
      </c>
      <c r="U55" s="66">
        <f t="shared" si="2"/>
        <v>114038521.68000001</v>
      </c>
      <c r="V55" s="65">
        <f t="shared" si="3"/>
        <v>111960108.33</v>
      </c>
      <c r="W55" s="67">
        <f t="shared" si="4"/>
        <v>118461135.93000001</v>
      </c>
      <c r="X55" s="1">
        <f t="shared" si="5"/>
        <v>454762150.26000005</v>
      </c>
    </row>
    <row r="56" spans="3:24">
      <c r="C56" s="58" t="s">
        <v>89</v>
      </c>
      <c r="D56" s="31">
        <v>4453651.43</v>
      </c>
      <c r="E56" s="32">
        <v>4896066.87</v>
      </c>
      <c r="F56" s="32">
        <v>4476246.8899999997</v>
      </c>
      <c r="G56" s="32">
        <v>5480021.2699999996</v>
      </c>
      <c r="H56" s="32">
        <v>4633778.79</v>
      </c>
      <c r="I56" s="33">
        <v>4850471.68</v>
      </c>
      <c r="J56" s="32">
        <v>4982451.78</v>
      </c>
      <c r="K56" s="33">
        <v>4924843.25</v>
      </c>
      <c r="L56" s="33">
        <v>5190627.29</v>
      </c>
      <c r="M56" s="33">
        <v>5061717.08</v>
      </c>
      <c r="N56" s="33">
        <v>5122315.24</v>
      </c>
      <c r="O56" s="89">
        <v>5258643.13</v>
      </c>
      <c r="P56" s="121">
        <f t="shared" si="0"/>
        <v>59330834.700000003</v>
      </c>
      <c r="Q56" s="2"/>
      <c r="R56" s="160"/>
      <c r="S56" s="168" t="s">
        <v>89</v>
      </c>
      <c r="T56" s="31">
        <f t="shared" si="1"/>
        <v>13825965.190000001</v>
      </c>
      <c r="U56" s="32">
        <f t="shared" si="2"/>
        <v>14964271.739999998</v>
      </c>
      <c r="V56" s="32">
        <f t="shared" si="3"/>
        <v>15097922.32</v>
      </c>
      <c r="W56" s="32">
        <f t="shared" si="4"/>
        <v>15442675.449999999</v>
      </c>
      <c r="X56" s="1">
        <f t="shared" si="5"/>
        <v>59330834.700000003</v>
      </c>
    </row>
    <row r="57" spans="3:24">
      <c r="C57" s="58" t="s">
        <v>91</v>
      </c>
      <c r="D57" s="31">
        <v>1478762.45</v>
      </c>
      <c r="E57" s="32">
        <v>1421720.88</v>
      </c>
      <c r="F57" s="32">
        <v>1307060.96</v>
      </c>
      <c r="G57" s="32">
        <v>2530071.37</v>
      </c>
      <c r="H57" s="32">
        <v>1203509.46</v>
      </c>
      <c r="I57" s="33">
        <v>1275119.2</v>
      </c>
      <c r="J57" s="32">
        <v>1175135.77</v>
      </c>
      <c r="K57" s="33">
        <v>1147157.1599999999</v>
      </c>
      <c r="L57" s="33">
        <v>1293108.81</v>
      </c>
      <c r="M57" s="33">
        <v>1198347.69</v>
      </c>
      <c r="N57" s="33">
        <v>1147180.72</v>
      </c>
      <c r="O57" s="89">
        <v>2145832.5699999998</v>
      </c>
      <c r="P57" s="121">
        <f t="shared" si="0"/>
        <v>17323007.039999999</v>
      </c>
      <c r="Q57" s="2"/>
      <c r="R57" s="160"/>
      <c r="S57" s="168" t="s">
        <v>91</v>
      </c>
      <c r="T57" s="31">
        <f t="shared" si="1"/>
        <v>4207544.29</v>
      </c>
      <c r="U57" s="32">
        <f t="shared" si="2"/>
        <v>5008700.03</v>
      </c>
      <c r="V57" s="32">
        <f t="shared" si="3"/>
        <v>3615401.7399999998</v>
      </c>
      <c r="W57" s="32">
        <f t="shared" si="4"/>
        <v>4491360.9800000004</v>
      </c>
      <c r="X57" s="1">
        <f t="shared" si="5"/>
        <v>17323007.039999999</v>
      </c>
    </row>
    <row r="58" spans="3:24">
      <c r="C58" s="58" t="s">
        <v>93</v>
      </c>
      <c r="D58" s="31">
        <v>28585499.899999999</v>
      </c>
      <c r="E58" s="32">
        <v>29424064.670000002</v>
      </c>
      <c r="F58" s="32">
        <v>30095737.289999999</v>
      </c>
      <c r="G58" s="32">
        <v>29821656.530000001</v>
      </c>
      <c r="H58" s="32">
        <v>29833170.870000001</v>
      </c>
      <c r="I58" s="33">
        <v>29749476.079999998</v>
      </c>
      <c r="J58" s="32">
        <v>29685670.670000002</v>
      </c>
      <c r="K58" s="33">
        <v>29689912.59</v>
      </c>
      <c r="L58" s="33">
        <v>29689265.93</v>
      </c>
      <c r="M58" s="33">
        <v>29936173.699999999</v>
      </c>
      <c r="N58" s="33">
        <v>29813083.850000001</v>
      </c>
      <c r="O58" s="89">
        <v>30551611.300000001</v>
      </c>
      <c r="P58" s="121">
        <f t="shared" si="0"/>
        <v>356875323.38000005</v>
      </c>
      <c r="Q58" s="2"/>
      <c r="R58" s="2"/>
      <c r="S58" s="168" t="s">
        <v>93</v>
      </c>
      <c r="T58" s="31">
        <f t="shared" si="1"/>
        <v>88105301.859999999</v>
      </c>
      <c r="U58" s="32">
        <f t="shared" si="2"/>
        <v>89404303.480000004</v>
      </c>
      <c r="V58" s="32">
        <f t="shared" si="3"/>
        <v>89064849.189999998</v>
      </c>
      <c r="W58" s="32">
        <f t="shared" si="4"/>
        <v>90300868.849999994</v>
      </c>
      <c r="X58" s="1">
        <f t="shared" si="5"/>
        <v>356875323.38</v>
      </c>
    </row>
    <row r="59" spans="3:24">
      <c r="C59" s="58" t="s">
        <v>95</v>
      </c>
      <c r="D59" s="31">
        <v>843503</v>
      </c>
      <c r="E59" s="32">
        <v>800606.35</v>
      </c>
      <c r="F59" s="32">
        <v>895259.66</v>
      </c>
      <c r="G59" s="32">
        <v>1281537.7</v>
      </c>
      <c r="H59" s="32">
        <v>1048579.6200000001</v>
      </c>
      <c r="I59" s="33">
        <v>738450.43</v>
      </c>
      <c r="J59" s="32">
        <v>469131.93</v>
      </c>
      <c r="K59" s="33">
        <v>1110058.69</v>
      </c>
      <c r="L59" s="33">
        <v>1161363.5</v>
      </c>
      <c r="M59" s="33">
        <v>1399344.11</v>
      </c>
      <c r="N59" s="33">
        <v>920328.13</v>
      </c>
      <c r="O59" s="89">
        <v>2310651.71</v>
      </c>
      <c r="P59" s="121">
        <f t="shared" si="0"/>
        <v>12978814.829999998</v>
      </c>
      <c r="Q59" s="2"/>
      <c r="R59" s="2"/>
      <c r="S59" s="168" t="s">
        <v>95</v>
      </c>
      <c r="T59" s="31">
        <f t="shared" si="1"/>
        <v>2539369.0100000002</v>
      </c>
      <c r="U59" s="32">
        <f t="shared" si="2"/>
        <v>3068567.7500000005</v>
      </c>
      <c r="V59" s="32">
        <f t="shared" si="3"/>
        <v>2740554.12</v>
      </c>
      <c r="W59" s="32">
        <f t="shared" si="4"/>
        <v>4630323.95</v>
      </c>
      <c r="X59" s="1">
        <f t="shared" si="5"/>
        <v>12978814.830000002</v>
      </c>
    </row>
    <row r="60" spans="3:24">
      <c r="C60" s="58" t="s">
        <v>97</v>
      </c>
      <c r="D60" s="31">
        <v>428811.13</v>
      </c>
      <c r="E60" s="32">
        <v>697773.24</v>
      </c>
      <c r="F60" s="32">
        <v>497619.6</v>
      </c>
      <c r="G60" s="32">
        <v>779162.63</v>
      </c>
      <c r="H60" s="32">
        <v>347172.56</v>
      </c>
      <c r="I60" s="33">
        <v>466343.49</v>
      </c>
      <c r="J60" s="32">
        <v>259788.24</v>
      </c>
      <c r="K60" s="33">
        <v>775132.14</v>
      </c>
      <c r="L60" s="33">
        <v>406460.58</v>
      </c>
      <c r="M60" s="33">
        <v>1009710.28</v>
      </c>
      <c r="N60" s="33">
        <v>1233187.27</v>
      </c>
      <c r="O60" s="89">
        <v>1353009.15</v>
      </c>
      <c r="P60" s="121">
        <f t="shared" si="0"/>
        <v>8254170.3100000005</v>
      </c>
      <c r="Q60" s="2"/>
      <c r="R60" s="2"/>
      <c r="S60" s="168" t="s">
        <v>97</v>
      </c>
      <c r="T60" s="31">
        <f t="shared" si="1"/>
        <v>1624203.9700000002</v>
      </c>
      <c r="U60" s="32">
        <f t="shared" si="2"/>
        <v>1592678.68</v>
      </c>
      <c r="V60" s="32">
        <f t="shared" si="3"/>
        <v>1441380.96</v>
      </c>
      <c r="W60" s="32">
        <f t="shared" si="4"/>
        <v>3595906.6999999997</v>
      </c>
      <c r="X60" s="1">
        <f t="shared" si="5"/>
        <v>8254170.3100000005</v>
      </c>
    </row>
    <row r="61" spans="3:24">
      <c r="C61" s="60" t="s">
        <v>100</v>
      </c>
      <c r="D61" s="63">
        <v>5002776.1999999993</v>
      </c>
      <c r="E61" s="66">
        <v>5976126.6699999999</v>
      </c>
      <c r="F61" s="65">
        <v>7110808.6600000001</v>
      </c>
      <c r="G61" s="67">
        <v>5913920.7800000003</v>
      </c>
      <c r="H61" s="67">
        <v>6443883.4199999999</v>
      </c>
      <c r="I61" s="67">
        <v>7986483.2800000003</v>
      </c>
      <c r="J61" s="67">
        <v>6614987.4699999988</v>
      </c>
      <c r="K61" s="67">
        <v>6648961.2599999998</v>
      </c>
      <c r="L61" s="67">
        <v>7645363.96</v>
      </c>
      <c r="M61" s="66">
        <v>6049834.2199999997</v>
      </c>
      <c r="N61" s="65">
        <v>6422647.4099999992</v>
      </c>
      <c r="O61" s="67">
        <v>16098386.470000001</v>
      </c>
      <c r="P61" s="123">
        <f t="shared" si="0"/>
        <v>87914179.799999997</v>
      </c>
      <c r="Q61" s="2"/>
      <c r="R61" s="2"/>
      <c r="S61" s="166" t="s">
        <v>100</v>
      </c>
      <c r="T61" s="63">
        <f t="shared" si="1"/>
        <v>18089711.530000001</v>
      </c>
      <c r="U61" s="66">
        <f t="shared" si="2"/>
        <v>20344287.48</v>
      </c>
      <c r="V61" s="65">
        <f t="shared" si="3"/>
        <v>20909312.689999998</v>
      </c>
      <c r="W61" s="67">
        <f t="shared" si="4"/>
        <v>28570868.100000001</v>
      </c>
      <c r="X61" s="1">
        <f t="shared" si="5"/>
        <v>87914179.800000012</v>
      </c>
    </row>
    <row r="62" spans="3:24">
      <c r="C62" s="58" t="s">
        <v>102</v>
      </c>
      <c r="D62" s="31">
        <v>4239407</v>
      </c>
      <c r="E62" s="32">
        <v>4538964.87</v>
      </c>
      <c r="F62" s="32">
        <v>5552384.7400000002</v>
      </c>
      <c r="G62" s="32">
        <v>4680915.54</v>
      </c>
      <c r="H62" s="32">
        <v>5141064.4400000004</v>
      </c>
      <c r="I62" s="33">
        <v>6124524.1600000001</v>
      </c>
      <c r="J62" s="32">
        <v>5027960.43</v>
      </c>
      <c r="K62" s="33">
        <v>4678797.62</v>
      </c>
      <c r="L62" s="33">
        <v>6088038.79</v>
      </c>
      <c r="M62" s="33">
        <v>4142122.57</v>
      </c>
      <c r="N62" s="33">
        <v>4576819.8099999996</v>
      </c>
      <c r="O62" s="89">
        <v>13895902.65</v>
      </c>
      <c r="P62" s="121">
        <f t="shared" si="0"/>
        <v>68686902.620000005</v>
      </c>
      <c r="Q62" s="2"/>
      <c r="R62" s="2"/>
      <c r="S62" s="168" t="s">
        <v>102</v>
      </c>
      <c r="T62" s="31">
        <f t="shared" si="1"/>
        <v>14330756.610000001</v>
      </c>
      <c r="U62" s="32">
        <f t="shared" si="2"/>
        <v>15946504.140000001</v>
      </c>
      <c r="V62" s="32">
        <f t="shared" si="3"/>
        <v>15794796.84</v>
      </c>
      <c r="W62" s="32">
        <f t="shared" si="4"/>
        <v>22614845.030000001</v>
      </c>
      <c r="X62" s="1">
        <f t="shared" si="5"/>
        <v>68686902.620000005</v>
      </c>
    </row>
    <row r="63" spans="3:24">
      <c r="C63" s="58" t="s">
        <v>104</v>
      </c>
      <c r="D63" s="31">
        <v>298336.96999999997</v>
      </c>
      <c r="E63" s="32">
        <v>365336.97</v>
      </c>
      <c r="F63" s="32">
        <v>373837.96</v>
      </c>
      <c r="G63" s="32">
        <v>348162.61</v>
      </c>
      <c r="H63" s="32">
        <v>325969.09999999998</v>
      </c>
      <c r="I63" s="33">
        <v>607283.01</v>
      </c>
      <c r="J63" s="32">
        <v>398430.52</v>
      </c>
      <c r="K63" s="33">
        <v>648986.97</v>
      </c>
      <c r="L63" s="33">
        <v>398824.3</v>
      </c>
      <c r="M63" s="33">
        <v>359756.49</v>
      </c>
      <c r="N63" s="33">
        <v>389039.45</v>
      </c>
      <c r="O63" s="89">
        <v>401378.41</v>
      </c>
      <c r="P63" s="121">
        <f t="shared" si="0"/>
        <v>4915342.7600000007</v>
      </c>
      <c r="Q63" s="2"/>
      <c r="R63" s="2"/>
      <c r="S63" s="168" t="s">
        <v>104</v>
      </c>
      <c r="T63" s="31">
        <f t="shared" si="1"/>
        <v>1037511.8999999999</v>
      </c>
      <c r="U63" s="32">
        <f t="shared" si="2"/>
        <v>1281414.72</v>
      </c>
      <c r="V63" s="32">
        <f t="shared" si="3"/>
        <v>1446241.79</v>
      </c>
      <c r="W63" s="32">
        <f t="shared" si="4"/>
        <v>1150174.3499999999</v>
      </c>
      <c r="X63" s="1">
        <f t="shared" si="5"/>
        <v>4915342.76</v>
      </c>
    </row>
    <row r="64" spans="3:24">
      <c r="C64" s="58" t="s">
        <v>106</v>
      </c>
      <c r="D64" s="31">
        <v>465032.23</v>
      </c>
      <c r="E64" s="32">
        <v>1053024.83</v>
      </c>
      <c r="F64" s="32">
        <v>1166085.96</v>
      </c>
      <c r="G64" s="32">
        <v>853475.63</v>
      </c>
      <c r="H64" s="32">
        <v>976149.88</v>
      </c>
      <c r="I64" s="33">
        <v>1237443.1100000001</v>
      </c>
      <c r="J64" s="32">
        <v>1035844.46</v>
      </c>
      <c r="K64" s="33">
        <v>1298001.67</v>
      </c>
      <c r="L64" s="33">
        <v>1128958.54</v>
      </c>
      <c r="M64" s="33">
        <v>1391518.59</v>
      </c>
      <c r="N64" s="33">
        <v>1296526.77</v>
      </c>
      <c r="O64" s="89">
        <v>1342784.73</v>
      </c>
      <c r="P64" s="121">
        <f t="shared" si="0"/>
        <v>13244846.4</v>
      </c>
      <c r="Q64" s="2"/>
      <c r="R64" s="2"/>
      <c r="S64" s="168" t="s">
        <v>106</v>
      </c>
      <c r="T64" s="31">
        <f t="shared" si="1"/>
        <v>2684143.02</v>
      </c>
      <c r="U64" s="32">
        <f t="shared" si="2"/>
        <v>3067068.62</v>
      </c>
      <c r="V64" s="32">
        <f t="shared" si="3"/>
        <v>3462804.67</v>
      </c>
      <c r="W64" s="32">
        <f t="shared" si="4"/>
        <v>4030830.0900000003</v>
      </c>
      <c r="X64" s="1">
        <f t="shared" si="5"/>
        <v>13244846.4</v>
      </c>
    </row>
    <row r="65" spans="3:24">
      <c r="C65" s="58" t="s">
        <v>108</v>
      </c>
      <c r="D65" s="31">
        <v>0</v>
      </c>
      <c r="E65" s="32">
        <v>18800</v>
      </c>
      <c r="F65" s="32">
        <v>18500</v>
      </c>
      <c r="G65" s="32">
        <v>31367</v>
      </c>
      <c r="H65" s="32">
        <v>700</v>
      </c>
      <c r="I65" s="33">
        <v>17233</v>
      </c>
      <c r="J65" s="32">
        <v>152752.06</v>
      </c>
      <c r="K65" s="33">
        <v>23175</v>
      </c>
      <c r="L65" s="33">
        <v>29542.33</v>
      </c>
      <c r="M65" s="33">
        <v>156436.57</v>
      </c>
      <c r="N65" s="33">
        <v>160261.38</v>
      </c>
      <c r="O65" s="89">
        <v>458320.68</v>
      </c>
      <c r="P65" s="121">
        <f t="shared" si="0"/>
        <v>1067088.02</v>
      </c>
      <c r="Q65" s="2"/>
      <c r="R65" s="2"/>
      <c r="S65" s="168" t="s">
        <v>108</v>
      </c>
      <c r="T65" s="31">
        <f t="shared" si="1"/>
        <v>37300</v>
      </c>
      <c r="U65" s="32">
        <f t="shared" si="2"/>
        <v>49300</v>
      </c>
      <c r="V65" s="32">
        <f t="shared" si="3"/>
        <v>205469.39</v>
      </c>
      <c r="W65" s="32">
        <f t="shared" si="4"/>
        <v>775018.63</v>
      </c>
      <c r="X65" s="1">
        <f t="shared" si="5"/>
        <v>1067088.02</v>
      </c>
    </row>
    <row r="66" spans="3:24" ht="13.5" thickBot="1">
      <c r="C66" s="59" t="s">
        <v>109</v>
      </c>
      <c r="D66" s="71">
        <v>0</v>
      </c>
      <c r="E66" s="72">
        <v>0</v>
      </c>
      <c r="F66" s="72">
        <v>0</v>
      </c>
      <c r="G66" s="72">
        <v>0</v>
      </c>
      <c r="H66" s="72">
        <v>0</v>
      </c>
      <c r="I66" s="73">
        <v>0</v>
      </c>
      <c r="J66" s="72">
        <v>0</v>
      </c>
      <c r="K66" s="73">
        <v>0</v>
      </c>
      <c r="L66" s="73">
        <v>0</v>
      </c>
      <c r="M66" s="73">
        <v>0</v>
      </c>
      <c r="N66" s="73">
        <v>0</v>
      </c>
      <c r="O66" s="91">
        <v>0</v>
      </c>
      <c r="P66" s="124">
        <f t="shared" si="0"/>
        <v>0</v>
      </c>
      <c r="Q66" s="2"/>
      <c r="R66" s="2"/>
      <c r="S66" s="169" t="s">
        <v>109</v>
      </c>
      <c r="T66" s="71">
        <f t="shared" si="1"/>
        <v>0</v>
      </c>
      <c r="U66" s="72">
        <f t="shared" si="2"/>
        <v>0</v>
      </c>
      <c r="V66" s="72">
        <f t="shared" si="3"/>
        <v>0</v>
      </c>
      <c r="W66" s="72">
        <f t="shared" si="4"/>
        <v>0</v>
      </c>
      <c r="X66" s="1">
        <f t="shared" si="5"/>
        <v>0</v>
      </c>
    </row>
    <row r="67" spans="3:24" ht="14.25" thickTop="1" thickBot="1">
      <c r="C67" s="35" t="s">
        <v>131</v>
      </c>
      <c r="D67" s="100">
        <v>176420.53</v>
      </c>
      <c r="E67" s="101">
        <v>6277056.5700000003</v>
      </c>
      <c r="F67" s="102">
        <v>2680919.41</v>
      </c>
      <c r="G67" s="119">
        <v>3034975.79</v>
      </c>
      <c r="H67" s="119">
        <v>2686410.68</v>
      </c>
      <c r="I67" s="119">
        <v>6352501.0099999998</v>
      </c>
      <c r="J67" s="119">
        <v>7569341.7199999997</v>
      </c>
      <c r="K67" s="119">
        <v>5110402.9000000004</v>
      </c>
      <c r="L67" s="119">
        <v>6571608.54</v>
      </c>
      <c r="M67" s="101">
        <v>6784906.0599999996</v>
      </c>
      <c r="N67" s="102">
        <v>7574321.6600000001</v>
      </c>
      <c r="O67" s="119">
        <v>22820546.489999998</v>
      </c>
      <c r="P67" s="119">
        <f t="shared" si="0"/>
        <v>77639411.359999999</v>
      </c>
      <c r="Q67" s="2"/>
      <c r="R67" s="2"/>
      <c r="S67" s="163" t="s">
        <v>131</v>
      </c>
      <c r="T67" s="100">
        <f t="shared" si="1"/>
        <v>9134396.5100000016</v>
      </c>
      <c r="U67" s="101">
        <f t="shared" si="2"/>
        <v>12073887.48</v>
      </c>
      <c r="V67" s="102">
        <f t="shared" si="3"/>
        <v>19251353.16</v>
      </c>
      <c r="W67" s="119">
        <f t="shared" si="4"/>
        <v>37179774.209999993</v>
      </c>
      <c r="X67" s="1">
        <f t="shared" si="5"/>
        <v>77639411.359999999</v>
      </c>
    </row>
    <row r="68" spans="3:24" ht="13.5" thickTop="1">
      <c r="C68" s="58" t="s">
        <v>111</v>
      </c>
      <c r="D68" s="31">
        <v>85000</v>
      </c>
      <c r="E68" s="32">
        <v>712098</v>
      </c>
      <c r="F68" s="32">
        <v>235406.4</v>
      </c>
      <c r="G68" s="32">
        <v>154347.6</v>
      </c>
      <c r="H68" s="32">
        <v>134847.6</v>
      </c>
      <c r="I68" s="33">
        <v>139847.6</v>
      </c>
      <c r="J68" s="32">
        <v>15000</v>
      </c>
      <c r="K68" s="33">
        <v>150000</v>
      </c>
      <c r="L68" s="33">
        <v>112109.1</v>
      </c>
      <c r="M68" s="33">
        <v>102109.1</v>
      </c>
      <c r="N68" s="33">
        <v>0</v>
      </c>
      <c r="O68" s="89">
        <v>251003.2</v>
      </c>
      <c r="P68" s="121">
        <f t="shared" si="0"/>
        <v>2091768.6000000003</v>
      </c>
      <c r="Q68" s="2"/>
      <c r="R68" s="2"/>
      <c r="S68" s="168" t="s">
        <v>111</v>
      </c>
      <c r="T68" s="31">
        <f t="shared" si="1"/>
        <v>1032504.4</v>
      </c>
      <c r="U68" s="32">
        <f t="shared" si="2"/>
        <v>429042.80000000005</v>
      </c>
      <c r="V68" s="32">
        <f t="shared" si="3"/>
        <v>277109.09999999998</v>
      </c>
      <c r="W68" s="32">
        <f t="shared" si="4"/>
        <v>353112.30000000005</v>
      </c>
      <c r="X68" s="1">
        <f t="shared" si="5"/>
        <v>2091768.6000000003</v>
      </c>
    </row>
    <row r="69" spans="3:24" ht="13.5" thickBot="1">
      <c r="C69" s="59" t="s">
        <v>118</v>
      </c>
      <c r="D69" s="71">
        <v>304583.3</v>
      </c>
      <c r="E69" s="72">
        <v>1049040</v>
      </c>
      <c r="F69" s="72">
        <v>1315468</v>
      </c>
      <c r="G69" s="72">
        <v>1595650</v>
      </c>
      <c r="H69" s="72">
        <v>1231844.17</v>
      </c>
      <c r="I69" s="73">
        <v>586277.4</v>
      </c>
      <c r="J69" s="72">
        <v>879730.52</v>
      </c>
      <c r="K69" s="73">
        <v>132031.82999999999</v>
      </c>
      <c r="L69" s="73">
        <v>2431853.4500000002</v>
      </c>
      <c r="M69" s="73">
        <v>923035</v>
      </c>
      <c r="N69" s="73">
        <v>332915.49</v>
      </c>
      <c r="O69" s="91">
        <v>1007047.62</v>
      </c>
      <c r="P69" s="124">
        <f t="shared" si="0"/>
        <v>11789476.780000001</v>
      </c>
      <c r="Q69" s="2"/>
      <c r="R69" s="2"/>
      <c r="S69" s="169" t="s">
        <v>118</v>
      </c>
      <c r="T69" s="71">
        <f t="shared" si="1"/>
        <v>2669091.2999999998</v>
      </c>
      <c r="U69" s="72">
        <f t="shared" si="2"/>
        <v>3413771.57</v>
      </c>
      <c r="V69" s="72">
        <f t="shared" si="3"/>
        <v>3443615.8000000003</v>
      </c>
      <c r="W69" s="72">
        <f t="shared" si="4"/>
        <v>2262998.11</v>
      </c>
      <c r="X69" s="1">
        <f t="shared" si="5"/>
        <v>11789476.779999999</v>
      </c>
    </row>
    <row r="70" spans="3:24" ht="14.25" thickTop="1" thickBot="1">
      <c r="C70" s="59" t="s">
        <v>152</v>
      </c>
      <c r="D70" s="31"/>
      <c r="E70" s="32"/>
      <c r="F70" s="32"/>
      <c r="G70" s="32"/>
      <c r="H70" s="32"/>
      <c r="I70" s="33"/>
      <c r="J70" s="32"/>
      <c r="K70" s="33"/>
      <c r="L70" s="33"/>
      <c r="M70" s="33"/>
      <c r="N70" s="33"/>
      <c r="O70" s="89">
        <v>29193708.800000001</v>
      </c>
      <c r="P70" s="121">
        <f>+O70</f>
        <v>29193708.800000001</v>
      </c>
      <c r="Q70" s="2"/>
      <c r="R70" s="2"/>
      <c r="S70" s="169"/>
      <c r="T70" s="31"/>
      <c r="U70" s="32"/>
      <c r="V70" s="32"/>
      <c r="W70" s="32"/>
      <c r="X70" s="1"/>
    </row>
    <row r="71" spans="3:24" ht="14.25" thickTop="1" thickBot="1">
      <c r="C71" s="59" t="s">
        <v>113</v>
      </c>
      <c r="D71" s="31">
        <v>0</v>
      </c>
      <c r="E71" s="32">
        <v>0</v>
      </c>
      <c r="F71" s="32">
        <v>0</v>
      </c>
      <c r="G71" s="32">
        <v>0</v>
      </c>
      <c r="H71" s="32">
        <v>32922888.899999999</v>
      </c>
      <c r="I71" s="33">
        <v>0</v>
      </c>
      <c r="J71" s="32">
        <v>0</v>
      </c>
      <c r="K71" s="33">
        <v>0</v>
      </c>
      <c r="L71" s="33">
        <v>0</v>
      </c>
      <c r="M71" s="33">
        <v>0</v>
      </c>
      <c r="N71" s="33">
        <v>0</v>
      </c>
      <c r="O71" s="89">
        <v>992274.48</v>
      </c>
      <c r="P71" s="121">
        <f>+SUM(D71:O71)</f>
        <v>33915163.379999995</v>
      </c>
      <c r="Q71" s="2"/>
      <c r="R71" s="2"/>
      <c r="S71" s="169" t="s">
        <v>113</v>
      </c>
      <c r="T71" s="31">
        <f t="shared" si="1"/>
        <v>0</v>
      </c>
      <c r="U71" s="32">
        <f t="shared" si="2"/>
        <v>32922888.899999999</v>
      </c>
      <c r="V71" s="32">
        <f t="shared" si="3"/>
        <v>0</v>
      </c>
      <c r="W71" s="32">
        <f t="shared" si="4"/>
        <v>992274.48</v>
      </c>
      <c r="X71" s="1">
        <f t="shared" si="5"/>
        <v>33915163.379999995</v>
      </c>
    </row>
    <row r="72" spans="3:24" ht="14.25" thickTop="1" thickBot="1">
      <c r="C72" s="35" t="s">
        <v>132</v>
      </c>
      <c r="D72" s="62">
        <f>D7-D39</f>
        <v>5166128.7899999991</v>
      </c>
      <c r="E72" s="62">
        <f t="shared" ref="E72:N72" si="7">E7-E39</f>
        <v>-21627279.300000027</v>
      </c>
      <c r="F72" s="62">
        <f t="shared" si="7"/>
        <v>-17199583.720000014</v>
      </c>
      <c r="G72" s="62">
        <f t="shared" si="7"/>
        <v>-10711633.360000014</v>
      </c>
      <c r="H72" s="62">
        <f t="shared" si="7"/>
        <v>-34648451.660000026</v>
      </c>
      <c r="I72" s="62">
        <f t="shared" si="7"/>
        <v>-291142.1400000006</v>
      </c>
      <c r="J72" s="62">
        <f t="shared" si="7"/>
        <v>-9069262.8399999887</v>
      </c>
      <c r="K72" s="62">
        <f t="shared" si="7"/>
        <v>18753189.239999995</v>
      </c>
      <c r="L72" s="62">
        <f t="shared" si="7"/>
        <v>-19971292.890000001</v>
      </c>
      <c r="M72" s="62">
        <f t="shared" si="7"/>
        <v>200618.07999999821</v>
      </c>
      <c r="N72" s="62">
        <f t="shared" si="7"/>
        <v>-18236743.479999989</v>
      </c>
      <c r="O72" s="90">
        <f>O7-O39</f>
        <v>-82038140.569999993</v>
      </c>
      <c r="P72" s="90">
        <f>+SUM(D72:O72)</f>
        <v>-189673593.85000008</v>
      </c>
      <c r="Q72" s="161"/>
      <c r="R72" s="2"/>
      <c r="S72" s="163" t="s">
        <v>132</v>
      </c>
      <c r="T72" s="62">
        <f t="shared" si="1"/>
        <v>-33660734.230000041</v>
      </c>
      <c r="U72" s="62">
        <f t="shared" si="2"/>
        <v>-45651227.160000041</v>
      </c>
      <c r="V72" s="62">
        <f t="shared" si="3"/>
        <v>-10287366.489999995</v>
      </c>
      <c r="W72" s="62">
        <f t="shared" si="4"/>
        <v>-100074265.96999998</v>
      </c>
      <c r="X72" s="1">
        <f t="shared" si="5"/>
        <v>-189673593.85000005</v>
      </c>
    </row>
    <row r="73" spans="3:24" ht="14.25" thickTop="1" thickBot="1">
      <c r="C73" s="35" t="s">
        <v>133</v>
      </c>
      <c r="D73" s="62">
        <f>+D72+D51</f>
        <v>8557405.9199999981</v>
      </c>
      <c r="E73" s="62">
        <f t="shared" ref="E73:O73" si="8">+E72+E51</f>
        <v>-20654736.540000025</v>
      </c>
      <c r="F73" s="62">
        <f t="shared" si="8"/>
        <v>-14782786.200000014</v>
      </c>
      <c r="G73" s="62">
        <f t="shared" si="8"/>
        <v>-9891570.8600000143</v>
      </c>
      <c r="H73" s="62">
        <f t="shared" si="8"/>
        <v>-33463915.810000025</v>
      </c>
      <c r="I73" s="62">
        <f t="shared" si="8"/>
        <v>4045841.209999999</v>
      </c>
      <c r="J73" s="62">
        <f t="shared" si="8"/>
        <v>-4603583.1499999883</v>
      </c>
      <c r="K73" s="62">
        <f t="shared" si="8"/>
        <v>20472881.769999996</v>
      </c>
      <c r="L73" s="62">
        <f t="shared" si="8"/>
        <v>-1760159.2899999991</v>
      </c>
      <c r="M73" s="62">
        <f t="shared" si="8"/>
        <v>803124.59999999823</v>
      </c>
      <c r="N73" s="62">
        <f t="shared" si="8"/>
        <v>-17175726.979999989</v>
      </c>
      <c r="O73" s="62">
        <f t="shared" si="8"/>
        <v>-76128018.489999995</v>
      </c>
      <c r="P73" s="90">
        <f t="shared" si="0"/>
        <v>-144581243.82000005</v>
      </c>
      <c r="Q73" s="2"/>
      <c r="R73" s="2"/>
      <c r="S73" s="163" t="s">
        <v>133</v>
      </c>
      <c r="T73" s="62">
        <f t="shared" ref="T73:T84" si="9">+SUM(D73:F73)</f>
        <v>-26880116.820000041</v>
      </c>
      <c r="U73" s="62">
        <f t="shared" ref="U73:U84" si="10">+SUM(G73:I73)</f>
        <v>-39309645.460000038</v>
      </c>
      <c r="V73" s="62">
        <f t="shared" ref="V73:V84" si="11">+SUM(J73:L73)</f>
        <v>14109139.330000009</v>
      </c>
      <c r="W73" s="62">
        <f t="shared" ref="W73:W84" si="12">+SUM(M73:O73)</f>
        <v>-92500620.86999999</v>
      </c>
      <c r="X73" s="1">
        <f t="shared" ref="X73:X84" si="13">+SUM(T73:W73)</f>
        <v>-144581243.82000005</v>
      </c>
    </row>
    <row r="74" spans="3:24" ht="14.25" thickTop="1" thickBot="1">
      <c r="C74" s="35" t="s">
        <v>0</v>
      </c>
      <c r="D74" s="62">
        <f t="shared" ref="D74:O74" si="14">SUM(D75:D77)</f>
        <v>12276632</v>
      </c>
      <c r="E74" s="62">
        <f t="shared" si="14"/>
        <v>2443476.65</v>
      </c>
      <c r="F74" s="62">
        <f t="shared" si="14"/>
        <v>7484179.46</v>
      </c>
      <c r="G74" s="62">
        <f t="shared" si="14"/>
        <v>16131785.506666664</v>
      </c>
      <c r="H74" s="62">
        <f t="shared" si="14"/>
        <v>4039714.8899999997</v>
      </c>
      <c r="I74" s="62">
        <f t="shared" si="14"/>
        <v>20100601.608333334</v>
      </c>
      <c r="J74" s="62">
        <f t="shared" si="14"/>
        <v>20803119.728333335</v>
      </c>
      <c r="K74" s="62">
        <f t="shared" si="14"/>
        <v>6277933.1500000004</v>
      </c>
      <c r="L74" s="62">
        <f t="shared" si="14"/>
        <v>8606190.2683333345</v>
      </c>
      <c r="M74" s="62">
        <f t="shared" si="14"/>
        <v>7564402.0783333331</v>
      </c>
      <c r="N74" s="62">
        <f t="shared" si="14"/>
        <v>5289842.3999999994</v>
      </c>
      <c r="O74" s="90">
        <f t="shared" si="14"/>
        <v>21749868.5</v>
      </c>
      <c r="P74" s="90">
        <f t="shared" ref="P74:P84" si="15">+SUM(D74:O74)</f>
        <v>132767746.24000001</v>
      </c>
      <c r="S74" s="163" t="s">
        <v>0</v>
      </c>
      <c r="T74" s="62">
        <f t="shared" si="9"/>
        <v>22204288.109999999</v>
      </c>
      <c r="U74" s="62">
        <f t="shared" si="10"/>
        <v>40272102.004999995</v>
      </c>
      <c r="V74" s="62">
        <f t="shared" si="11"/>
        <v>35687243.146666676</v>
      </c>
      <c r="W74" s="62">
        <f t="shared" si="12"/>
        <v>34604112.978333332</v>
      </c>
      <c r="X74" s="1">
        <f t="shared" si="13"/>
        <v>132767746.24000001</v>
      </c>
    </row>
    <row r="75" spans="3:24" ht="13.5" thickTop="1">
      <c r="C75" s="58" t="s">
        <v>135</v>
      </c>
      <c r="D75" s="31">
        <v>2117379</v>
      </c>
      <c r="E75" s="32">
        <v>61721.35</v>
      </c>
      <c r="F75" s="32">
        <v>2294679.7999999998</v>
      </c>
      <c r="G75" s="32">
        <v>2121394.17</v>
      </c>
      <c r="H75" s="32">
        <v>387306.5</v>
      </c>
      <c r="I75" s="33">
        <v>2310972.9300000002</v>
      </c>
      <c r="J75" s="32">
        <v>4786892.76</v>
      </c>
      <c r="K75" s="33">
        <v>1230431.8500000001</v>
      </c>
      <c r="L75" s="33">
        <v>4389449.7300000004</v>
      </c>
      <c r="M75" s="33">
        <v>3062059.51</v>
      </c>
      <c r="N75" s="33">
        <v>748720.61</v>
      </c>
      <c r="O75" s="89">
        <v>8439878.7400000002</v>
      </c>
      <c r="P75" s="121">
        <f t="shared" si="15"/>
        <v>31950886.950000003</v>
      </c>
      <c r="S75" s="168" t="s">
        <v>135</v>
      </c>
      <c r="T75" s="31">
        <f t="shared" si="9"/>
        <v>4473780.1500000004</v>
      </c>
      <c r="U75" s="32">
        <f t="shared" si="10"/>
        <v>4819673.5999999996</v>
      </c>
      <c r="V75" s="32">
        <f t="shared" si="11"/>
        <v>10406774.34</v>
      </c>
      <c r="W75" s="32">
        <f t="shared" si="12"/>
        <v>12250658.859999999</v>
      </c>
      <c r="X75" s="1">
        <f t="shared" si="13"/>
        <v>31950886.949999999</v>
      </c>
    </row>
    <row r="76" spans="3:24">
      <c r="C76" s="58" t="s">
        <v>137</v>
      </c>
      <c r="D76" s="31">
        <v>9069707</v>
      </c>
      <c r="E76" s="32">
        <v>741928.02</v>
      </c>
      <c r="F76" s="32">
        <v>2537349.33</v>
      </c>
      <c r="G76" s="32">
        <v>662128.46</v>
      </c>
      <c r="H76" s="32">
        <v>1924688.17</v>
      </c>
      <c r="I76" s="33">
        <v>13172127.57</v>
      </c>
      <c r="J76" s="32">
        <v>10190036.130000001</v>
      </c>
      <c r="K76" s="33">
        <v>614761.52</v>
      </c>
      <c r="L76" s="33">
        <v>2368497.7200000002</v>
      </c>
      <c r="M76" s="33">
        <v>3789975.76</v>
      </c>
      <c r="N76" s="33">
        <v>2199924.0099999998</v>
      </c>
      <c r="O76" s="89">
        <v>12239241.67</v>
      </c>
      <c r="P76" s="121">
        <f t="shared" si="15"/>
        <v>59510365.359999999</v>
      </c>
      <c r="S76" s="168" t="s">
        <v>137</v>
      </c>
      <c r="T76" s="31">
        <f t="shared" si="9"/>
        <v>12348984.35</v>
      </c>
      <c r="U76" s="32">
        <f t="shared" si="10"/>
        <v>15758944.199999999</v>
      </c>
      <c r="V76" s="32">
        <f t="shared" si="11"/>
        <v>13173295.370000001</v>
      </c>
      <c r="W76" s="32">
        <f t="shared" si="12"/>
        <v>18229141.439999998</v>
      </c>
      <c r="X76" s="1">
        <f t="shared" si="13"/>
        <v>59510365.359999999</v>
      </c>
    </row>
    <row r="77" spans="3:24" ht="13.5" thickBot="1">
      <c r="C77" s="58" t="s">
        <v>116</v>
      </c>
      <c r="D77" s="31">
        <v>1089546</v>
      </c>
      <c r="E77" s="32">
        <v>1639827.28</v>
      </c>
      <c r="F77" s="32">
        <v>2652150.33</v>
      </c>
      <c r="G77" s="32">
        <v>13348262.876666665</v>
      </c>
      <c r="H77" s="32">
        <v>1727720.22</v>
      </c>
      <c r="I77" s="33">
        <v>4617501.1083333334</v>
      </c>
      <c r="J77" s="32">
        <v>5826190.8383333338</v>
      </c>
      <c r="K77" s="33">
        <v>4432739.78</v>
      </c>
      <c r="L77" s="33">
        <v>1848242.8183333334</v>
      </c>
      <c r="M77" s="33">
        <v>712366.80833333358</v>
      </c>
      <c r="N77" s="33">
        <v>2341197.7799999998</v>
      </c>
      <c r="O77" s="89">
        <v>1070748.0900000001</v>
      </c>
      <c r="P77" s="173">
        <f t="shared" si="15"/>
        <v>41306493.930000007</v>
      </c>
      <c r="S77" s="168" t="s">
        <v>116</v>
      </c>
      <c r="T77" s="31">
        <f t="shared" si="9"/>
        <v>5381523.6100000003</v>
      </c>
      <c r="U77" s="32">
        <f t="shared" si="10"/>
        <v>19693484.204999998</v>
      </c>
      <c r="V77" s="32">
        <f t="shared" si="11"/>
        <v>12107173.436666667</v>
      </c>
      <c r="W77" s="32">
        <f t="shared" si="12"/>
        <v>4124312.6783333337</v>
      </c>
      <c r="X77" s="1">
        <f t="shared" si="13"/>
        <v>41306493.93</v>
      </c>
    </row>
    <row r="78" spans="3:24" ht="14.25" thickTop="1" thickBot="1">
      <c r="C78" s="35" t="s">
        <v>141</v>
      </c>
      <c r="D78" s="62">
        <f>D72-D74</f>
        <v>-7110503.2100000009</v>
      </c>
      <c r="E78" s="62">
        <f t="shared" ref="E78:O78" si="16">E72-E74</f>
        <v>-24070755.950000025</v>
      </c>
      <c r="F78" s="62">
        <f t="shared" si="16"/>
        <v>-24683763.180000015</v>
      </c>
      <c r="G78" s="62">
        <f t="shared" si="16"/>
        <v>-26843418.866666678</v>
      </c>
      <c r="H78" s="62">
        <f t="shared" si="16"/>
        <v>-38688166.550000027</v>
      </c>
      <c r="I78" s="62">
        <f t="shared" si="16"/>
        <v>-20391743.748333335</v>
      </c>
      <c r="J78" s="62">
        <f t="shared" si="16"/>
        <v>-29872382.568333324</v>
      </c>
      <c r="K78" s="62">
        <f t="shared" si="16"/>
        <v>12475256.089999994</v>
      </c>
      <c r="L78" s="62">
        <f t="shared" si="16"/>
        <v>-28577483.158333335</v>
      </c>
      <c r="M78" s="62">
        <f t="shared" si="16"/>
        <v>-7363783.9983333349</v>
      </c>
      <c r="N78" s="62">
        <f t="shared" si="16"/>
        <v>-23526585.879999988</v>
      </c>
      <c r="O78" s="90">
        <f t="shared" si="16"/>
        <v>-103788009.06999999</v>
      </c>
      <c r="P78" s="90">
        <f t="shared" si="15"/>
        <v>-322441340.09000003</v>
      </c>
      <c r="S78" s="163" t="s">
        <v>141</v>
      </c>
      <c r="T78" s="62">
        <f t="shared" si="9"/>
        <v>-55865022.340000041</v>
      </c>
      <c r="U78" s="62">
        <f t="shared" si="10"/>
        <v>-85923329.165000036</v>
      </c>
      <c r="V78" s="62">
        <f t="shared" si="11"/>
        <v>-45974609.63666667</v>
      </c>
      <c r="W78" s="62">
        <f t="shared" si="12"/>
        <v>-134678378.94833332</v>
      </c>
      <c r="X78" s="1">
        <f t="shared" si="13"/>
        <v>-322441340.09000009</v>
      </c>
    </row>
    <row r="79" spans="3:24" ht="14.25" thickTop="1" thickBot="1">
      <c r="C79" s="35" t="s">
        <v>121</v>
      </c>
      <c r="D79" s="62">
        <f>SUM(D80:D84)</f>
        <v>7110503.2100000009</v>
      </c>
      <c r="E79" s="62">
        <f t="shared" ref="E79:O79" si="17">SUM(E80:E84)</f>
        <v>24070755.950000025</v>
      </c>
      <c r="F79" s="62">
        <f t="shared" si="17"/>
        <v>24683763.180000015</v>
      </c>
      <c r="G79" s="62">
        <f t="shared" si="17"/>
        <v>26843418.866666675</v>
      </c>
      <c r="H79" s="62">
        <f t="shared" si="17"/>
        <v>38688166.550000027</v>
      </c>
      <c r="I79" s="62">
        <f t="shared" si="17"/>
        <v>20391743.748333335</v>
      </c>
      <c r="J79" s="62">
        <f t="shared" si="17"/>
        <v>29872382.568333324</v>
      </c>
      <c r="K79" s="62">
        <f t="shared" si="17"/>
        <v>-12475256.089999994</v>
      </c>
      <c r="L79" s="62">
        <f t="shared" si="17"/>
        <v>28577483.158333335</v>
      </c>
      <c r="M79" s="62">
        <f t="shared" si="17"/>
        <v>7363783.9983333349</v>
      </c>
      <c r="N79" s="62">
        <f t="shared" si="17"/>
        <v>23526585.879999988</v>
      </c>
      <c r="O79" s="90">
        <f t="shared" si="17"/>
        <v>103788009.06999999</v>
      </c>
      <c r="P79" s="90">
        <f t="shared" si="15"/>
        <v>322441340.09000003</v>
      </c>
      <c r="S79" s="163" t="s">
        <v>121</v>
      </c>
      <c r="T79" s="62">
        <f t="shared" si="9"/>
        <v>55865022.340000041</v>
      </c>
      <c r="U79" s="62">
        <f t="shared" si="10"/>
        <v>85923329.165000036</v>
      </c>
      <c r="V79" s="62">
        <f t="shared" si="11"/>
        <v>45974609.63666667</v>
      </c>
      <c r="W79" s="62">
        <f t="shared" si="12"/>
        <v>134678378.94833332</v>
      </c>
      <c r="X79" s="1">
        <f t="shared" si="13"/>
        <v>322441340.09000009</v>
      </c>
    </row>
    <row r="80" spans="3:24" ht="13.5" thickTop="1">
      <c r="C80" s="58" t="s">
        <v>144</v>
      </c>
      <c r="D80" s="31">
        <v>0</v>
      </c>
      <c r="E80" s="32">
        <v>579598.89</v>
      </c>
      <c r="F80" s="32">
        <v>7420401.1100000003</v>
      </c>
      <c r="G80" s="32">
        <v>0</v>
      </c>
      <c r="H80" s="32">
        <v>0</v>
      </c>
      <c r="I80" s="33">
        <v>0</v>
      </c>
      <c r="J80" s="32">
        <v>0</v>
      </c>
      <c r="K80" s="33">
        <v>0</v>
      </c>
      <c r="L80" s="33">
        <v>0</v>
      </c>
      <c r="M80" s="33">
        <v>0</v>
      </c>
      <c r="N80" s="33">
        <v>0</v>
      </c>
      <c r="O80" s="89">
        <v>39000000</v>
      </c>
      <c r="P80" s="121">
        <f t="shared" si="15"/>
        <v>47000000</v>
      </c>
      <c r="S80" s="168" t="s">
        <v>144</v>
      </c>
      <c r="T80" s="31">
        <f t="shared" si="9"/>
        <v>8000000</v>
      </c>
      <c r="U80" s="32">
        <f t="shared" si="10"/>
        <v>0</v>
      </c>
      <c r="V80" s="32">
        <f t="shared" si="11"/>
        <v>0</v>
      </c>
      <c r="W80" s="32">
        <f t="shared" si="12"/>
        <v>39000000</v>
      </c>
      <c r="X80" s="1">
        <f t="shared" si="13"/>
        <v>47000000</v>
      </c>
    </row>
    <row r="81" spans="3:24">
      <c r="C81" s="58" t="s">
        <v>122</v>
      </c>
      <c r="D81" s="31">
        <v>6088.86</v>
      </c>
      <c r="E81" s="32">
        <v>319583.55</v>
      </c>
      <c r="F81" s="32">
        <v>150270.37</v>
      </c>
      <c r="G81" s="32">
        <v>178972908.46000001</v>
      </c>
      <c r="H81" s="32">
        <v>101487.62</v>
      </c>
      <c r="I81" s="33">
        <v>2463028</v>
      </c>
      <c r="J81" s="32">
        <v>2097190.75</v>
      </c>
      <c r="K81" s="33">
        <v>23268.15</v>
      </c>
      <c r="L81" s="33">
        <v>384501.72</v>
      </c>
      <c r="M81" s="33">
        <v>1052427.67</v>
      </c>
      <c r="N81" s="33">
        <v>291089.34000000003</v>
      </c>
      <c r="O81" s="89">
        <v>1790767.49</v>
      </c>
      <c r="P81" s="121">
        <f t="shared" si="15"/>
        <v>187652611.98000002</v>
      </c>
      <c r="S81" s="168" t="s">
        <v>122</v>
      </c>
      <c r="T81" s="31">
        <f t="shared" si="9"/>
        <v>475942.77999999997</v>
      </c>
      <c r="U81" s="32">
        <f t="shared" si="10"/>
        <v>181537424.08000001</v>
      </c>
      <c r="V81" s="32">
        <f t="shared" si="11"/>
        <v>2504960.62</v>
      </c>
      <c r="W81" s="32">
        <f t="shared" si="12"/>
        <v>3134284.5</v>
      </c>
      <c r="X81" s="1">
        <f t="shared" si="13"/>
        <v>187652611.98000002</v>
      </c>
    </row>
    <row r="82" spans="3:24">
      <c r="C82" s="58" t="s">
        <v>123</v>
      </c>
      <c r="D82" s="31">
        <v>0</v>
      </c>
      <c r="E82" s="32">
        <v>187985.29</v>
      </c>
      <c r="F82" s="32">
        <v>746309.46</v>
      </c>
      <c r="G82" s="32">
        <v>200175.6</v>
      </c>
      <c r="H82" s="32">
        <v>136157.39000000001</v>
      </c>
      <c r="I82" s="33">
        <v>487787.18</v>
      </c>
      <c r="J82" s="32">
        <v>81018.210000000006</v>
      </c>
      <c r="K82" s="33">
        <v>100445.53</v>
      </c>
      <c r="L82" s="33">
        <v>113173.82</v>
      </c>
      <c r="M82" s="33">
        <v>473784.46</v>
      </c>
      <c r="N82" s="33">
        <v>808090.89</v>
      </c>
      <c r="O82" s="89">
        <v>679422.15</v>
      </c>
      <c r="P82" s="121">
        <f t="shared" si="15"/>
        <v>4014349.9800000004</v>
      </c>
      <c r="S82" s="168" t="s">
        <v>123</v>
      </c>
      <c r="T82" s="31">
        <f t="shared" si="9"/>
        <v>934294.75</v>
      </c>
      <c r="U82" s="32">
        <f t="shared" si="10"/>
        <v>824120.16999999993</v>
      </c>
      <c r="V82" s="32">
        <f t="shared" si="11"/>
        <v>294637.56</v>
      </c>
      <c r="W82" s="32">
        <f t="shared" si="12"/>
        <v>1961297.5</v>
      </c>
      <c r="X82" s="1">
        <f t="shared" si="13"/>
        <v>4014349.98</v>
      </c>
    </row>
    <row r="83" spans="3:24">
      <c r="C83" s="58" t="s">
        <v>330</v>
      </c>
      <c r="D83" s="31">
        <v>75586.86</v>
      </c>
      <c r="E83" s="32">
        <v>848999.16</v>
      </c>
      <c r="F83" s="32">
        <v>228293.66</v>
      </c>
      <c r="G83" s="32">
        <v>97096.72</v>
      </c>
      <c r="H83" s="32">
        <v>418475.89</v>
      </c>
      <c r="I83" s="33">
        <v>158887.95000000001</v>
      </c>
      <c r="J83" s="32">
        <v>115502.94</v>
      </c>
      <c r="K83" s="33">
        <v>145618.91</v>
      </c>
      <c r="L83" s="33">
        <v>12846.74</v>
      </c>
      <c r="M83" s="33">
        <v>642079.78</v>
      </c>
      <c r="N83" s="33">
        <v>180007.67999999999</v>
      </c>
      <c r="O83" s="89">
        <v>427855.65</v>
      </c>
      <c r="P83" s="121">
        <f t="shared" si="15"/>
        <v>3351251.9400000004</v>
      </c>
      <c r="S83" s="168" t="s">
        <v>330</v>
      </c>
      <c r="T83" s="31">
        <f t="shared" si="9"/>
        <v>1152879.68</v>
      </c>
      <c r="U83" s="32">
        <f t="shared" si="10"/>
        <v>674460.56</v>
      </c>
      <c r="V83" s="32">
        <f t="shared" si="11"/>
        <v>273968.59000000003</v>
      </c>
      <c r="W83" s="32">
        <f t="shared" si="12"/>
        <v>1249943.1099999999</v>
      </c>
      <c r="X83" s="1">
        <f t="shared" si="13"/>
        <v>3351251.94</v>
      </c>
    </row>
    <row r="84" spans="3:24" ht="13.5" thickBot="1">
      <c r="C84" s="61" t="s">
        <v>125</v>
      </c>
      <c r="D84" s="68">
        <f>-D78-SUM(D80:D83)</f>
        <v>7028827.4900000012</v>
      </c>
      <c r="E84" s="69">
        <f t="shared" ref="E84:O84" si="18">-E78-SUM(E80:E83)</f>
        <v>22134589.060000025</v>
      </c>
      <c r="F84" s="69">
        <f t="shared" si="18"/>
        <v>16138488.580000015</v>
      </c>
      <c r="G84" s="69">
        <f>-G78-SUM(G80:G83)</f>
        <v>-152426761.91333333</v>
      </c>
      <c r="H84" s="69">
        <f t="shared" si="18"/>
        <v>38032045.650000028</v>
      </c>
      <c r="I84" s="69">
        <f t="shared" si="18"/>
        <v>17282040.618333336</v>
      </c>
      <c r="J84" s="69">
        <f t="shared" si="18"/>
        <v>27578670.668333326</v>
      </c>
      <c r="K84" s="69">
        <f t="shared" si="18"/>
        <v>-12744588.679999994</v>
      </c>
      <c r="L84" s="69">
        <f t="shared" si="18"/>
        <v>28066960.878333334</v>
      </c>
      <c r="M84" s="69">
        <f t="shared" si="18"/>
        <v>5195492.0883333348</v>
      </c>
      <c r="N84" s="69">
        <f t="shared" si="18"/>
        <v>22247397.969999988</v>
      </c>
      <c r="O84" s="69">
        <f t="shared" si="18"/>
        <v>61889963.779999994</v>
      </c>
      <c r="P84" s="122">
        <f t="shared" si="15"/>
        <v>80423126.190000057</v>
      </c>
      <c r="S84" s="170" t="s">
        <v>125</v>
      </c>
      <c r="T84" s="68">
        <f t="shared" si="9"/>
        <v>45301905.13000004</v>
      </c>
      <c r="U84" s="69">
        <f t="shared" si="10"/>
        <v>-97112675.644999951</v>
      </c>
      <c r="V84" s="69">
        <f t="shared" si="11"/>
        <v>42901042.866666667</v>
      </c>
      <c r="W84" s="69">
        <f t="shared" si="12"/>
        <v>89332853.838333309</v>
      </c>
      <c r="X84" s="1">
        <f t="shared" si="13"/>
        <v>80423126.190000057</v>
      </c>
    </row>
    <row r="85" spans="3:24" ht="13.5" thickTop="1">
      <c r="C85" s="56" t="s">
        <v>267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101" spans="3:15">
      <c r="C101" t="s">
        <v>345</v>
      </c>
      <c r="D101" t="s">
        <v>294</v>
      </c>
      <c r="E101" t="s">
        <v>295</v>
      </c>
      <c r="F101" t="s">
        <v>296</v>
      </c>
      <c r="G101" t="s">
        <v>297</v>
      </c>
      <c r="H101" t="s">
        <v>298</v>
      </c>
      <c r="I101" t="s">
        <v>299</v>
      </c>
      <c r="J101" t="s">
        <v>300</v>
      </c>
      <c r="K101" t="s">
        <v>301</v>
      </c>
      <c r="L101" t="s">
        <v>302</v>
      </c>
      <c r="M101" t="s">
        <v>303</v>
      </c>
      <c r="N101" t="s">
        <v>304</v>
      </c>
      <c r="O101" t="s">
        <v>305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339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346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347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340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340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282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341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342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343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344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Analitics tab 2014</vt:lpstr>
      <vt:lpstr>2014 - plan</vt:lpstr>
      <vt:lpstr>2014 - execution </vt:lpstr>
      <vt:lpstr>2013 - execution</vt:lpstr>
      <vt:lpstr>2013 - plan</vt:lpstr>
      <vt:lpstr>2012 - execution </vt:lpstr>
      <vt:lpstr>2012 - plan</vt:lpstr>
      <vt:lpstr>Public debt tab</vt:lpstr>
      <vt:lpstr>MasterSheet</vt:lpstr>
      <vt:lpstr>Data for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2014-02-12T13:33:14Z</cp:lastPrinted>
  <dcterms:created xsi:type="dcterms:W3CDTF">2008-03-17T08:49:23Z</dcterms:created>
  <dcterms:modified xsi:type="dcterms:W3CDTF">2014-04-23T13:15:08Z</dcterms:modified>
</cp:coreProperties>
</file>