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uska\Desktop\"/>
    </mc:Choice>
  </mc:AlternateContent>
  <bookViews>
    <workbookView xWindow="0" yWindow="0" windowWidth="20490" windowHeight="7275" tabRatio="587" firstSheet="1" activeTab="2"/>
  </bookViews>
  <sheets>
    <sheet name="Analitika - 2014" sheetId="3" state="hidden" r:id="rId1"/>
    <sheet name="Pregled" sheetId="1" r:id="rId2"/>
    <sheet name="Analitika - 2020" sheetId="11" r:id="rId3"/>
    <sheet name="2020" sheetId="19" r:id="rId4"/>
    <sheet name="2019" sheetId="20" r:id="rId5"/>
    <sheet name="2018" sheetId="21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'2019'!$A$102:$A$161</definedName>
    <definedName name="_2015plan" localSheetId="3">'2020'!$A$100:$A$157</definedName>
  </definedNames>
  <calcPr calcId="152511"/>
</workbook>
</file>

<file path=xl/calcChain.xml><?xml version="1.0" encoding="utf-8"?>
<calcChain xmlns="http://schemas.openxmlformats.org/spreadsheetml/2006/main">
  <c r="GE249" i="6" l="1"/>
  <c r="GC368" i="6" l="1"/>
  <c r="S124" i="19"/>
  <c r="GE376" i="6"/>
  <c r="S130" i="19"/>
  <c r="H47" i="20" l="1"/>
  <c r="I48" i="19" l="1"/>
  <c r="J48" i="19"/>
  <c r="K48" i="19"/>
  <c r="L48" i="19"/>
  <c r="N48" i="11" s="1"/>
  <c r="M48" i="19"/>
  <c r="N48" i="19"/>
  <c r="O48" i="19"/>
  <c r="P48" i="19"/>
  <c r="Q48" i="19"/>
  <c r="R48" i="19"/>
  <c r="H48" i="19"/>
  <c r="G48" i="19"/>
  <c r="H13" i="1" l="1"/>
  <c r="H17" i="1"/>
  <c r="H21" i="1"/>
  <c r="GE252" i="6" l="1"/>
  <c r="GE225" i="6" l="1"/>
  <c r="FT259" i="6"/>
  <c r="FU259" i="6"/>
  <c r="FV259" i="6"/>
  <c r="FW259" i="6"/>
  <c r="FX259" i="6"/>
  <c r="FY259" i="6"/>
  <c r="FZ259" i="6"/>
  <c r="GA259" i="6"/>
  <c r="GB259" i="6"/>
  <c r="GC259" i="6"/>
  <c r="FS259" i="6"/>
  <c r="GE255" i="6"/>
  <c r="GE244" i="6"/>
  <c r="GE232" i="6"/>
  <c r="GE246" i="6"/>
  <c r="GE247" i="6"/>
  <c r="GE248" i="6"/>
  <c r="GE245" i="6"/>
  <c r="GE239" i="6"/>
  <c r="GE240" i="6"/>
  <c r="GE241" i="6"/>
  <c r="GE242" i="6"/>
  <c r="GE243" i="6"/>
  <c r="GE238" i="6"/>
  <c r="GE234" i="6"/>
  <c r="GE235" i="6"/>
  <c r="GE236" i="6"/>
  <c r="GE233" i="6"/>
  <c r="GE229" i="6"/>
  <c r="GE230" i="6"/>
  <c r="GE231" i="6"/>
  <c r="GE228" i="6"/>
  <c r="GE219" i="6"/>
  <c r="GE220" i="6"/>
  <c r="GE221" i="6"/>
  <c r="GE222" i="6"/>
  <c r="GE223" i="6"/>
  <c r="GE224" i="6"/>
  <c r="GE226" i="6"/>
  <c r="GE261" i="6"/>
  <c r="GE391" i="6"/>
  <c r="GE390" i="6"/>
  <c r="FS389" i="6"/>
  <c r="FT389" i="6"/>
  <c r="FU389" i="6"/>
  <c r="FV389" i="6"/>
  <c r="FW389" i="6"/>
  <c r="FX389" i="6"/>
  <c r="FY389" i="6"/>
  <c r="FZ389" i="6"/>
  <c r="GA389" i="6"/>
  <c r="GB389" i="6"/>
  <c r="GC389" i="6"/>
  <c r="FR389" i="6"/>
  <c r="GE389" i="6" s="1"/>
  <c r="FS386" i="6"/>
  <c r="FS385" i="6" s="1"/>
  <c r="FT386" i="6"/>
  <c r="FT385" i="6" s="1"/>
  <c r="FU386" i="6"/>
  <c r="FU385" i="6" s="1"/>
  <c r="FV386" i="6"/>
  <c r="FW386" i="6"/>
  <c r="FW385" i="6" s="1"/>
  <c r="FX386" i="6"/>
  <c r="FX385" i="6" s="1"/>
  <c r="FY386" i="6"/>
  <c r="FY385" i="6" s="1"/>
  <c r="FZ386" i="6"/>
  <c r="GA386" i="6"/>
  <c r="GA385" i="6" s="1"/>
  <c r="GB386" i="6"/>
  <c r="GB385" i="6" s="1"/>
  <c r="GC386" i="6"/>
  <c r="GC385" i="6" s="1"/>
  <c r="FR386" i="6"/>
  <c r="GE368" i="6"/>
  <c r="FS351" i="6"/>
  <c r="FT351" i="6"/>
  <c r="FU351" i="6"/>
  <c r="FV351" i="6"/>
  <c r="FW351" i="6"/>
  <c r="FX351" i="6"/>
  <c r="FY351" i="6"/>
  <c r="FZ351" i="6"/>
  <c r="GA351" i="6"/>
  <c r="GB351" i="6"/>
  <c r="GC351" i="6"/>
  <c r="FR351" i="6"/>
  <c r="GE344" i="6"/>
  <c r="GE330" i="6"/>
  <c r="GE302" i="6"/>
  <c r="GE278" i="6"/>
  <c r="GE272" i="6"/>
  <c r="GE273" i="6"/>
  <c r="GE274" i="6"/>
  <c r="GE275" i="6"/>
  <c r="GE276" i="6"/>
  <c r="GE277" i="6"/>
  <c r="GE271" i="6"/>
  <c r="GE264" i="6"/>
  <c r="GE386" i="6" l="1"/>
  <c r="GE320" i="6"/>
  <c r="FZ385" i="6"/>
  <c r="FV385" i="6"/>
  <c r="FR385" i="6"/>
  <c r="GE346" i="6"/>
  <c r="GE378" i="6"/>
  <c r="FR361" i="6"/>
  <c r="GE270" i="6"/>
  <c r="GE351" i="6"/>
  <c r="GE259" i="6"/>
  <c r="GE336" i="6"/>
  <c r="GE237" i="6"/>
  <c r="GE227" i="6"/>
  <c r="GE218" i="6"/>
  <c r="FS361" i="6"/>
  <c r="FU361" i="6"/>
  <c r="GE321" i="6"/>
  <c r="GE285" i="6"/>
  <c r="GE299" i="6"/>
  <c r="GE310" i="6"/>
  <c r="GE295" i="6"/>
  <c r="GE306" i="6"/>
  <c r="GE385" i="6" l="1"/>
  <c r="FT361" i="6"/>
  <c r="FV361" i="6"/>
  <c r="FX361" i="6" l="1"/>
  <c r="FY361" i="6"/>
  <c r="FW361" i="6"/>
  <c r="FZ361" i="6" l="1"/>
  <c r="GA361" i="6"/>
  <c r="GB361" i="6" l="1"/>
  <c r="H151" i="19"/>
  <c r="I151" i="19"/>
  <c r="J151" i="19"/>
  <c r="K151" i="19"/>
  <c r="L151" i="19"/>
  <c r="O58" i="11" s="1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B145" i="21"/>
  <c r="A145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A143" i="21"/>
  <c r="B143" i="21" s="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A133" i="21"/>
  <c r="B133" i="21" s="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A131" i="21"/>
  <c r="B131" i="21" s="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A120" i="21"/>
  <c r="B120" i="21" s="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A118" i="21"/>
  <c r="B118" i="21" s="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A114" i="21"/>
  <c r="B114" i="21" s="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A108" i="21"/>
  <c r="B108" i="21" s="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B67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B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B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B64" i="21"/>
  <c r="B63" i="21"/>
  <c r="B62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B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B60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B59" i="21"/>
  <c r="B58" i="21"/>
  <c r="B57" i="21"/>
  <c r="B55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B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B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B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B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B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B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B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B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B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B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B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B43" i="21"/>
  <c r="B42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B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B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B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B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B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B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B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B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B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B32" i="21"/>
  <c r="B31" i="21"/>
  <c r="B30" i="21"/>
  <c r="B29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B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B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B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B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B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B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B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B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B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B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B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B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B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B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B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B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B12" i="21"/>
  <c r="B11" i="21"/>
  <c r="B10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B7" i="2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61" i="20"/>
  <c r="B161" i="20" s="1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A160" i="20"/>
  <c r="B160" i="20" s="1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A157" i="20"/>
  <c r="B157" i="20" s="1"/>
  <c r="A156" i="20"/>
  <c r="B156" i="20" s="1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A153" i="20"/>
  <c r="B153" i="20" s="1"/>
  <c r="A152" i="20"/>
  <c r="B152" i="20" s="1"/>
  <c r="A151" i="20"/>
  <c r="B151" i="20" s="1"/>
  <c r="A150" i="20"/>
  <c r="B150" i="20" s="1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A147" i="20"/>
  <c r="B147" i="20" s="1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A126" i="20"/>
  <c r="B126" i="20" s="1"/>
  <c r="A125" i="20"/>
  <c r="B125" i="20" s="1"/>
  <c r="A124" i="20"/>
  <c r="B124" i="20" s="1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A123" i="20"/>
  <c r="B123" i="20" s="1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A106" i="20"/>
  <c r="B106" i="20" s="1"/>
  <c r="A105" i="20"/>
  <c r="B105" i="20" s="1"/>
  <c r="T103" i="20"/>
  <c r="S103" i="20"/>
  <c r="T102" i="20"/>
  <c r="B102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B66" i="20"/>
  <c r="R65" i="20"/>
  <c r="Q65" i="20"/>
  <c r="P65" i="20"/>
  <c r="O65" i="20"/>
  <c r="N65" i="20"/>
  <c r="M65" i="20"/>
  <c r="L65" i="20"/>
  <c r="R63" i="11" s="1"/>
  <c r="K65" i="20"/>
  <c r="J65" i="20"/>
  <c r="I65" i="20"/>
  <c r="H65" i="20"/>
  <c r="G65" i="20"/>
  <c r="B65" i="20"/>
  <c r="R64" i="20"/>
  <c r="Q64" i="20"/>
  <c r="P64" i="20"/>
  <c r="O64" i="20"/>
  <c r="N64" i="20"/>
  <c r="M64" i="20"/>
  <c r="L64" i="20"/>
  <c r="R62" i="11" s="1"/>
  <c r="K64" i="20"/>
  <c r="J64" i="20"/>
  <c r="I64" i="20"/>
  <c r="H64" i="20"/>
  <c r="G64" i="20"/>
  <c r="B64" i="20"/>
  <c r="R63" i="20"/>
  <c r="Q63" i="20"/>
  <c r="P63" i="20"/>
  <c r="O63" i="20"/>
  <c r="N63" i="20"/>
  <c r="M63" i="20"/>
  <c r="L63" i="20"/>
  <c r="R61" i="11" s="1"/>
  <c r="K63" i="20"/>
  <c r="J63" i="20"/>
  <c r="I63" i="20"/>
  <c r="H63" i="20"/>
  <c r="G63" i="20"/>
  <c r="B63" i="20"/>
  <c r="B62" i="20"/>
  <c r="B61" i="20"/>
  <c r="R60" i="20"/>
  <c r="Q60" i="20"/>
  <c r="P60" i="20"/>
  <c r="O60" i="20"/>
  <c r="N60" i="20"/>
  <c r="M60" i="20"/>
  <c r="L60" i="20"/>
  <c r="R58" i="11" s="1"/>
  <c r="K60" i="20"/>
  <c r="J60" i="20"/>
  <c r="I60" i="20"/>
  <c r="H60" i="20"/>
  <c r="G60" i="20"/>
  <c r="B60" i="20"/>
  <c r="R59" i="20"/>
  <c r="Q59" i="20"/>
  <c r="P59" i="20"/>
  <c r="O59" i="20"/>
  <c r="N59" i="20"/>
  <c r="M59" i="20"/>
  <c r="L59" i="20"/>
  <c r="R57" i="11" s="1"/>
  <c r="K59" i="20"/>
  <c r="J59" i="20"/>
  <c r="I59" i="20"/>
  <c r="H59" i="20"/>
  <c r="G59" i="20"/>
  <c r="B59" i="20"/>
  <c r="R58" i="20"/>
  <c r="Q58" i="20"/>
  <c r="P58" i="20"/>
  <c r="O58" i="20"/>
  <c r="N58" i="20"/>
  <c r="M58" i="20"/>
  <c r="L58" i="20"/>
  <c r="R56" i="11" s="1"/>
  <c r="K58" i="20"/>
  <c r="J58" i="20"/>
  <c r="I58" i="20"/>
  <c r="H58" i="20"/>
  <c r="G58" i="20"/>
  <c r="B58" i="20"/>
  <c r="B57" i="20"/>
  <c r="B56" i="20"/>
  <c r="B55" i="20"/>
  <c r="R54" i="20"/>
  <c r="Q54" i="20"/>
  <c r="P54" i="20"/>
  <c r="O54" i="20"/>
  <c r="N54" i="20"/>
  <c r="M54" i="20"/>
  <c r="L54" i="20"/>
  <c r="R52" i="11" s="1"/>
  <c r="K54" i="20"/>
  <c r="J54" i="20"/>
  <c r="I54" i="20"/>
  <c r="H54" i="20"/>
  <c r="G54" i="20"/>
  <c r="B54" i="20"/>
  <c r="R53" i="20"/>
  <c r="Q53" i="20"/>
  <c r="P53" i="20"/>
  <c r="O53" i="20"/>
  <c r="N53" i="20"/>
  <c r="M53" i="20"/>
  <c r="L53" i="20"/>
  <c r="R51" i="11" s="1"/>
  <c r="K53" i="20"/>
  <c r="J53" i="20"/>
  <c r="I53" i="20"/>
  <c r="H53" i="20"/>
  <c r="G53" i="20"/>
  <c r="B53" i="20"/>
  <c r="R52" i="20"/>
  <c r="Q52" i="20"/>
  <c r="P52" i="20"/>
  <c r="O52" i="20"/>
  <c r="N52" i="20"/>
  <c r="M52" i="20"/>
  <c r="L52" i="20"/>
  <c r="R50" i="11" s="1"/>
  <c r="K52" i="20"/>
  <c r="J52" i="20"/>
  <c r="I52" i="20"/>
  <c r="H52" i="20"/>
  <c r="G52" i="20"/>
  <c r="B52" i="20"/>
  <c r="R51" i="20"/>
  <c r="Q51" i="20"/>
  <c r="P51" i="20"/>
  <c r="O51" i="20"/>
  <c r="N51" i="20"/>
  <c r="M51" i="20"/>
  <c r="L51" i="20"/>
  <c r="R49" i="11" s="1"/>
  <c r="K51" i="20"/>
  <c r="J51" i="20"/>
  <c r="I51" i="20"/>
  <c r="H51" i="20"/>
  <c r="G51" i="20"/>
  <c r="B51" i="20"/>
  <c r="R50" i="20"/>
  <c r="Q50" i="20"/>
  <c r="P50" i="20"/>
  <c r="O50" i="20"/>
  <c r="N50" i="20"/>
  <c r="M50" i="20"/>
  <c r="L50" i="20"/>
  <c r="R48" i="11" s="1"/>
  <c r="K50" i="20"/>
  <c r="J50" i="20"/>
  <c r="I50" i="20"/>
  <c r="H50" i="20"/>
  <c r="G50" i="20"/>
  <c r="B50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B49" i="20"/>
  <c r="R48" i="20"/>
  <c r="Q48" i="20"/>
  <c r="P48" i="20"/>
  <c r="O48" i="20"/>
  <c r="N48" i="20"/>
  <c r="M48" i="20"/>
  <c r="L48" i="20"/>
  <c r="R46" i="11" s="1"/>
  <c r="K48" i="20"/>
  <c r="J48" i="20"/>
  <c r="I48" i="20"/>
  <c r="H48" i="20"/>
  <c r="G48" i="20"/>
  <c r="B48" i="20"/>
  <c r="R47" i="20"/>
  <c r="Q47" i="20"/>
  <c r="P47" i="20"/>
  <c r="O47" i="20"/>
  <c r="N47" i="20"/>
  <c r="M47" i="20"/>
  <c r="L47" i="20"/>
  <c r="R45" i="11" s="1"/>
  <c r="K47" i="20"/>
  <c r="J47" i="20"/>
  <c r="I47" i="20"/>
  <c r="G47" i="20"/>
  <c r="B47" i="20"/>
  <c r="R46" i="20"/>
  <c r="Q46" i="20"/>
  <c r="P46" i="20"/>
  <c r="O46" i="20"/>
  <c r="N46" i="20"/>
  <c r="M46" i="20"/>
  <c r="L46" i="20"/>
  <c r="R44" i="11" s="1"/>
  <c r="K46" i="20"/>
  <c r="J46" i="20"/>
  <c r="I46" i="20"/>
  <c r="H46" i="20"/>
  <c r="G46" i="20"/>
  <c r="B46" i="20"/>
  <c r="R45" i="20"/>
  <c r="Q45" i="20"/>
  <c r="P45" i="20"/>
  <c r="O45" i="20"/>
  <c r="N45" i="20"/>
  <c r="M45" i="20"/>
  <c r="L45" i="20"/>
  <c r="R43" i="11" s="1"/>
  <c r="K45" i="20"/>
  <c r="J45" i="20"/>
  <c r="I45" i="20"/>
  <c r="H45" i="20"/>
  <c r="G45" i="20"/>
  <c r="B45" i="20"/>
  <c r="R44" i="20"/>
  <c r="Q44" i="20"/>
  <c r="P44" i="20"/>
  <c r="O44" i="20"/>
  <c r="N44" i="20"/>
  <c r="M44" i="20"/>
  <c r="L44" i="20"/>
  <c r="R42" i="11" s="1"/>
  <c r="K44" i="20"/>
  <c r="J44" i="20"/>
  <c r="I44" i="20"/>
  <c r="H44" i="20"/>
  <c r="G44" i="20"/>
  <c r="B44" i="20"/>
  <c r="R43" i="20"/>
  <c r="Q43" i="20"/>
  <c r="P43" i="20"/>
  <c r="O43" i="20"/>
  <c r="N43" i="20"/>
  <c r="M43" i="20"/>
  <c r="L43" i="20"/>
  <c r="R41" i="11" s="1"/>
  <c r="K43" i="20"/>
  <c r="J43" i="20"/>
  <c r="I43" i="20"/>
  <c r="H43" i="20"/>
  <c r="G43" i="20"/>
  <c r="B43" i="20"/>
  <c r="B42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B41" i="20"/>
  <c r="R40" i="20"/>
  <c r="Q40" i="20"/>
  <c r="P40" i="20"/>
  <c r="O40" i="20"/>
  <c r="N40" i="20"/>
  <c r="M40" i="20"/>
  <c r="L40" i="20"/>
  <c r="R39" i="11" s="1"/>
  <c r="K40" i="20"/>
  <c r="J40" i="20"/>
  <c r="I40" i="20"/>
  <c r="H40" i="20"/>
  <c r="G40" i="20"/>
  <c r="B40" i="20"/>
  <c r="R39" i="20"/>
  <c r="Q39" i="20"/>
  <c r="P39" i="20"/>
  <c r="O39" i="20"/>
  <c r="N39" i="20"/>
  <c r="M39" i="20"/>
  <c r="L39" i="20"/>
  <c r="R38" i="11" s="1"/>
  <c r="K39" i="20"/>
  <c r="J39" i="20"/>
  <c r="I39" i="20"/>
  <c r="H39" i="20"/>
  <c r="G39" i="20"/>
  <c r="B39" i="20"/>
  <c r="R38" i="20"/>
  <c r="Q38" i="20"/>
  <c r="P38" i="20"/>
  <c r="O38" i="20"/>
  <c r="N38" i="20"/>
  <c r="M38" i="20"/>
  <c r="L38" i="20"/>
  <c r="R37" i="11" s="1"/>
  <c r="K38" i="20"/>
  <c r="J38" i="20"/>
  <c r="I38" i="20"/>
  <c r="H38" i="20"/>
  <c r="G38" i="20"/>
  <c r="B38" i="20"/>
  <c r="R37" i="20"/>
  <c r="Q37" i="20"/>
  <c r="P37" i="20"/>
  <c r="O37" i="20"/>
  <c r="N37" i="20"/>
  <c r="M37" i="20"/>
  <c r="L37" i="20"/>
  <c r="R36" i="11" s="1"/>
  <c r="K37" i="20"/>
  <c r="J37" i="20"/>
  <c r="I37" i="20"/>
  <c r="H37" i="20"/>
  <c r="G37" i="20"/>
  <c r="B37" i="20"/>
  <c r="R36" i="20"/>
  <c r="Q36" i="20"/>
  <c r="P36" i="20"/>
  <c r="O36" i="20"/>
  <c r="N36" i="20"/>
  <c r="M36" i="20"/>
  <c r="L36" i="20"/>
  <c r="R35" i="11" s="1"/>
  <c r="K36" i="20"/>
  <c r="J36" i="20"/>
  <c r="I36" i="20"/>
  <c r="H36" i="20"/>
  <c r="G36" i="20"/>
  <c r="B36" i="20"/>
  <c r="R35" i="20"/>
  <c r="Q35" i="20"/>
  <c r="P35" i="20"/>
  <c r="O35" i="20"/>
  <c r="N35" i="20"/>
  <c r="M35" i="20"/>
  <c r="L35" i="20"/>
  <c r="R34" i="11" s="1"/>
  <c r="K35" i="20"/>
  <c r="J35" i="20"/>
  <c r="I35" i="20"/>
  <c r="H35" i="20"/>
  <c r="G35" i="20"/>
  <c r="B35" i="20"/>
  <c r="R34" i="20"/>
  <c r="Q34" i="20"/>
  <c r="P34" i="20"/>
  <c r="O34" i="20"/>
  <c r="N34" i="20"/>
  <c r="M34" i="20"/>
  <c r="L34" i="20"/>
  <c r="R33" i="11" s="1"/>
  <c r="K34" i="20"/>
  <c r="J34" i="20"/>
  <c r="I34" i="20"/>
  <c r="H34" i="20"/>
  <c r="G34" i="20"/>
  <c r="B34" i="20"/>
  <c r="R33" i="20"/>
  <c r="Q33" i="20"/>
  <c r="P33" i="20"/>
  <c r="O33" i="20"/>
  <c r="N33" i="20"/>
  <c r="M33" i="20"/>
  <c r="L33" i="20"/>
  <c r="R32" i="11" s="1"/>
  <c r="K33" i="20"/>
  <c r="J33" i="20"/>
  <c r="I33" i="20"/>
  <c r="H33" i="20"/>
  <c r="G33" i="20"/>
  <c r="B33" i="20"/>
  <c r="R32" i="20"/>
  <c r="Q32" i="20"/>
  <c r="P32" i="20"/>
  <c r="O32" i="20"/>
  <c r="N32" i="20"/>
  <c r="M32" i="20"/>
  <c r="L32" i="20"/>
  <c r="R31" i="11" s="1"/>
  <c r="K32" i="20"/>
  <c r="J32" i="20"/>
  <c r="I32" i="20"/>
  <c r="H32" i="20"/>
  <c r="G32" i="20"/>
  <c r="B32" i="20"/>
  <c r="B31" i="20"/>
  <c r="B30" i="20"/>
  <c r="B29" i="20"/>
  <c r="R28" i="20"/>
  <c r="Q28" i="20"/>
  <c r="P28" i="20"/>
  <c r="O28" i="20"/>
  <c r="N28" i="20"/>
  <c r="M28" i="20"/>
  <c r="L28" i="20"/>
  <c r="R28" i="11" s="1"/>
  <c r="K28" i="20"/>
  <c r="J28" i="20"/>
  <c r="I28" i="20"/>
  <c r="H28" i="20"/>
  <c r="G28" i="20"/>
  <c r="B28" i="20"/>
  <c r="R27" i="20"/>
  <c r="Q27" i="20"/>
  <c r="P27" i="20"/>
  <c r="O27" i="20"/>
  <c r="N27" i="20"/>
  <c r="M27" i="20"/>
  <c r="L27" i="20"/>
  <c r="R27" i="11" s="1"/>
  <c r="K27" i="20"/>
  <c r="J27" i="20"/>
  <c r="I27" i="20"/>
  <c r="H27" i="20"/>
  <c r="G27" i="20"/>
  <c r="B27" i="20"/>
  <c r="R26" i="20"/>
  <c r="Q26" i="20"/>
  <c r="P26" i="20"/>
  <c r="O26" i="20"/>
  <c r="N26" i="20"/>
  <c r="M26" i="20"/>
  <c r="L26" i="20"/>
  <c r="R26" i="11" s="1"/>
  <c r="K26" i="20"/>
  <c r="J26" i="20"/>
  <c r="I26" i="20"/>
  <c r="H26" i="20"/>
  <c r="G26" i="20"/>
  <c r="B26" i="20"/>
  <c r="R25" i="20"/>
  <c r="Q25" i="20"/>
  <c r="P25" i="20"/>
  <c r="O25" i="20"/>
  <c r="N25" i="20"/>
  <c r="M25" i="20"/>
  <c r="L25" i="20"/>
  <c r="R25" i="11" s="1"/>
  <c r="K25" i="20"/>
  <c r="J25" i="20"/>
  <c r="I25" i="20"/>
  <c r="H25" i="20"/>
  <c r="G25" i="20"/>
  <c r="B25" i="20"/>
  <c r="R24" i="20"/>
  <c r="Q24" i="20"/>
  <c r="P24" i="20"/>
  <c r="O24" i="20"/>
  <c r="N24" i="20"/>
  <c r="M24" i="20"/>
  <c r="L24" i="20"/>
  <c r="R24" i="11" s="1"/>
  <c r="K24" i="20"/>
  <c r="J24" i="20"/>
  <c r="I24" i="20"/>
  <c r="H24" i="20"/>
  <c r="G24" i="20"/>
  <c r="B24" i="20"/>
  <c r="R23" i="20"/>
  <c r="Q23" i="20"/>
  <c r="P23" i="20"/>
  <c r="O23" i="20"/>
  <c r="N23" i="20"/>
  <c r="M23" i="20"/>
  <c r="L23" i="20"/>
  <c r="R23" i="11" s="1"/>
  <c r="K23" i="20"/>
  <c r="J23" i="20"/>
  <c r="I23" i="20"/>
  <c r="H23" i="20"/>
  <c r="G23" i="20"/>
  <c r="B23" i="20"/>
  <c r="R22" i="20"/>
  <c r="Q22" i="20"/>
  <c r="P22" i="20"/>
  <c r="O22" i="20"/>
  <c r="N22" i="20"/>
  <c r="M22" i="20"/>
  <c r="L22" i="20"/>
  <c r="R22" i="11" s="1"/>
  <c r="K22" i="20"/>
  <c r="J22" i="20"/>
  <c r="I22" i="20"/>
  <c r="H22" i="20"/>
  <c r="G22" i="20"/>
  <c r="B22" i="20"/>
  <c r="R21" i="20"/>
  <c r="Q21" i="20"/>
  <c r="P21" i="20"/>
  <c r="O21" i="20"/>
  <c r="N21" i="20"/>
  <c r="M21" i="20"/>
  <c r="L21" i="20"/>
  <c r="R21" i="11" s="1"/>
  <c r="K21" i="20"/>
  <c r="J21" i="20"/>
  <c r="I21" i="20"/>
  <c r="H21" i="20"/>
  <c r="G21" i="20"/>
  <c r="B21" i="20"/>
  <c r="R20" i="20"/>
  <c r="Q20" i="20"/>
  <c r="P20" i="20"/>
  <c r="O20" i="20"/>
  <c r="N20" i="20"/>
  <c r="M20" i="20"/>
  <c r="L20" i="20"/>
  <c r="R20" i="11" s="1"/>
  <c r="K20" i="20"/>
  <c r="J20" i="20"/>
  <c r="I20" i="20"/>
  <c r="H20" i="20"/>
  <c r="G20" i="20"/>
  <c r="B20" i="20"/>
  <c r="R19" i="20"/>
  <c r="Q19" i="20"/>
  <c r="P19" i="20"/>
  <c r="O19" i="20"/>
  <c r="N19" i="20"/>
  <c r="M19" i="20"/>
  <c r="L19" i="20"/>
  <c r="R19" i="11" s="1"/>
  <c r="K19" i="20"/>
  <c r="J19" i="20"/>
  <c r="I19" i="20"/>
  <c r="H19" i="20"/>
  <c r="G19" i="20"/>
  <c r="B19" i="20"/>
  <c r="R18" i="20"/>
  <c r="Q18" i="20"/>
  <c r="P18" i="20"/>
  <c r="O18" i="20"/>
  <c r="N18" i="20"/>
  <c r="M18" i="20"/>
  <c r="L18" i="20"/>
  <c r="R18" i="11" s="1"/>
  <c r="K18" i="20"/>
  <c r="J18" i="20"/>
  <c r="I18" i="20"/>
  <c r="H18" i="20"/>
  <c r="G18" i="20"/>
  <c r="B18" i="20"/>
  <c r="R17" i="20"/>
  <c r="Q17" i="20"/>
  <c r="P17" i="20"/>
  <c r="O17" i="20"/>
  <c r="N17" i="20"/>
  <c r="M17" i="20"/>
  <c r="L17" i="20"/>
  <c r="R17" i="11" s="1"/>
  <c r="K17" i="20"/>
  <c r="J17" i="20"/>
  <c r="I17" i="20"/>
  <c r="H17" i="20"/>
  <c r="G17" i="20"/>
  <c r="B17" i="20"/>
  <c r="R16" i="20"/>
  <c r="Q16" i="20"/>
  <c r="P16" i="20"/>
  <c r="O16" i="20"/>
  <c r="N16" i="20"/>
  <c r="M16" i="20"/>
  <c r="L16" i="20"/>
  <c r="R16" i="11" s="1"/>
  <c r="K16" i="20"/>
  <c r="J16" i="20"/>
  <c r="I16" i="20"/>
  <c r="H16" i="20"/>
  <c r="G16" i="20"/>
  <c r="B16" i="20"/>
  <c r="R15" i="20"/>
  <c r="Q15" i="20"/>
  <c r="P15" i="20"/>
  <c r="O15" i="20"/>
  <c r="N15" i="20"/>
  <c r="M15" i="20"/>
  <c r="L15" i="20"/>
  <c r="R15" i="11" s="1"/>
  <c r="K15" i="20"/>
  <c r="J15" i="20"/>
  <c r="I15" i="20"/>
  <c r="H15" i="20"/>
  <c r="G15" i="20"/>
  <c r="B15" i="20"/>
  <c r="R14" i="20"/>
  <c r="Q14" i="20"/>
  <c r="P14" i="20"/>
  <c r="O14" i="20"/>
  <c r="N14" i="20"/>
  <c r="M14" i="20"/>
  <c r="L14" i="20"/>
  <c r="R14" i="11" s="1"/>
  <c r="K14" i="20"/>
  <c r="J14" i="20"/>
  <c r="I14" i="20"/>
  <c r="H14" i="20"/>
  <c r="G14" i="20"/>
  <c r="B14" i="20"/>
  <c r="R13" i="20"/>
  <c r="Q13" i="20"/>
  <c r="P13" i="20"/>
  <c r="O13" i="20"/>
  <c r="N13" i="20"/>
  <c r="M13" i="20"/>
  <c r="L13" i="20"/>
  <c r="R13" i="11" s="1"/>
  <c r="K13" i="20"/>
  <c r="J13" i="20"/>
  <c r="I13" i="20"/>
  <c r="H13" i="20"/>
  <c r="G13" i="20"/>
  <c r="B13" i="20"/>
  <c r="R12" i="20"/>
  <c r="Q12" i="20"/>
  <c r="P12" i="20"/>
  <c r="O12" i="20"/>
  <c r="N12" i="20"/>
  <c r="M12" i="20"/>
  <c r="L12" i="20"/>
  <c r="R12" i="11" s="1"/>
  <c r="K12" i="20"/>
  <c r="J12" i="20"/>
  <c r="I12" i="20"/>
  <c r="H12" i="20"/>
  <c r="G12" i="20"/>
  <c r="B12" i="20"/>
  <c r="B11" i="20"/>
  <c r="B10" i="20"/>
  <c r="T9" i="20"/>
  <c r="T104" i="20" s="1"/>
  <c r="S8" i="20"/>
  <c r="R8" i="20"/>
  <c r="R103" i="20" s="1"/>
  <c r="Q8" i="20"/>
  <c r="Q103" i="20" s="1"/>
  <c r="P8" i="20"/>
  <c r="P103" i="20" s="1"/>
  <c r="O8" i="20"/>
  <c r="O103" i="20" s="1"/>
  <c r="N8" i="20"/>
  <c r="N103" i="20" s="1"/>
  <c r="M8" i="20"/>
  <c r="M103" i="20" s="1"/>
  <c r="L8" i="20"/>
  <c r="L103" i="20" s="1"/>
  <c r="K8" i="20"/>
  <c r="K103" i="20" s="1"/>
  <c r="J8" i="20"/>
  <c r="J103" i="20" s="1"/>
  <c r="I8" i="20"/>
  <c r="I103" i="20" s="1"/>
  <c r="H8" i="20"/>
  <c r="H103" i="20" s="1"/>
  <c r="G8" i="20"/>
  <c r="G103" i="20" s="1"/>
  <c r="S7" i="20"/>
  <c r="S102" i="20" s="1"/>
  <c r="B7" i="20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K42" i="11" l="1"/>
  <c r="K51" i="11"/>
  <c r="K63" i="11"/>
  <c r="K12" i="11"/>
  <c r="K35" i="11"/>
  <c r="K39" i="11"/>
  <c r="K16" i="11"/>
  <c r="K20" i="11"/>
  <c r="K24" i="11"/>
  <c r="K28" i="11"/>
  <c r="K31" i="11"/>
  <c r="R47" i="11"/>
  <c r="K17" i="11"/>
  <c r="K21" i="11"/>
  <c r="K25" i="11"/>
  <c r="K32" i="11"/>
  <c r="K36" i="11"/>
  <c r="K47" i="11"/>
  <c r="K43" i="11"/>
  <c r="K48" i="11"/>
  <c r="T48" i="11"/>
  <c r="K52" i="11"/>
  <c r="K56" i="11"/>
  <c r="K13" i="11"/>
  <c r="K14" i="11"/>
  <c r="K18" i="11"/>
  <c r="K22" i="11"/>
  <c r="K26" i="11"/>
  <c r="K33" i="11"/>
  <c r="K37" i="11"/>
  <c r="K44" i="11"/>
  <c r="K49" i="11"/>
  <c r="K57" i="11"/>
  <c r="K61" i="11"/>
  <c r="K15" i="11"/>
  <c r="K19" i="11"/>
  <c r="K23" i="11"/>
  <c r="K27" i="11"/>
  <c r="K34" i="11"/>
  <c r="K38" i="11"/>
  <c r="K41" i="11"/>
  <c r="K45" i="11"/>
  <c r="K46" i="11"/>
  <c r="K50" i="11"/>
  <c r="K58" i="11"/>
  <c r="K62" i="11"/>
  <c r="H152" i="20"/>
  <c r="L152" i="20"/>
  <c r="P152" i="20"/>
  <c r="I152" i="21"/>
  <c r="M152" i="21"/>
  <c r="Q152" i="21"/>
  <c r="R58" i="21"/>
  <c r="G152" i="20"/>
  <c r="K152" i="20"/>
  <c r="O152" i="20"/>
  <c r="M58" i="21"/>
  <c r="Q58" i="21"/>
  <c r="J58" i="21"/>
  <c r="N58" i="21"/>
  <c r="H152" i="21"/>
  <c r="L152" i="21"/>
  <c r="P152" i="21"/>
  <c r="N152" i="21"/>
  <c r="P106" i="20"/>
  <c r="P137" i="20"/>
  <c r="P31" i="20"/>
  <c r="J152" i="21"/>
  <c r="Q126" i="20"/>
  <c r="P11" i="21"/>
  <c r="P10" i="21" s="1"/>
  <c r="O42" i="21"/>
  <c r="J57" i="20"/>
  <c r="N57" i="20"/>
  <c r="R57" i="20"/>
  <c r="J114" i="20"/>
  <c r="I126" i="20"/>
  <c r="N152" i="20"/>
  <c r="H31" i="21"/>
  <c r="H107" i="21"/>
  <c r="P107" i="21"/>
  <c r="O107" i="21"/>
  <c r="K127" i="21"/>
  <c r="H138" i="21"/>
  <c r="L138" i="21"/>
  <c r="P138" i="21"/>
  <c r="I31" i="20"/>
  <c r="M31" i="20"/>
  <c r="Q31" i="20"/>
  <c r="L31" i="20"/>
  <c r="R30" i="11" s="1"/>
  <c r="K106" i="20"/>
  <c r="S115" i="20"/>
  <c r="T115" i="20" s="1"/>
  <c r="K114" i="20"/>
  <c r="O114" i="20"/>
  <c r="N114" i="20"/>
  <c r="I114" i="20"/>
  <c r="M114" i="20"/>
  <c r="Q114" i="20"/>
  <c r="P114" i="20"/>
  <c r="S119" i="20"/>
  <c r="T119" i="20" s="1"/>
  <c r="S123" i="20"/>
  <c r="T123" i="20" s="1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6" i="20"/>
  <c r="G107" i="21"/>
  <c r="G115" i="21"/>
  <c r="K115" i="21"/>
  <c r="O115" i="21"/>
  <c r="G42" i="20"/>
  <c r="K42" i="20"/>
  <c r="O42" i="20"/>
  <c r="H114" i="20"/>
  <c r="L114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P11" i="20"/>
  <c r="P10" i="20" s="1"/>
  <c r="N106" i="20"/>
  <c r="I127" i="21"/>
  <c r="M127" i="21"/>
  <c r="Q127" i="21"/>
  <c r="H127" i="21"/>
  <c r="P127" i="21"/>
  <c r="R152" i="21"/>
  <c r="H31" i="20"/>
  <c r="I57" i="20"/>
  <c r="M57" i="20"/>
  <c r="Q57" i="20"/>
  <c r="H57" i="20"/>
  <c r="L57" i="20"/>
  <c r="R55" i="11" s="1"/>
  <c r="P57" i="20"/>
  <c r="H106" i="20"/>
  <c r="L106" i="20"/>
  <c r="S108" i="20"/>
  <c r="T108" i="20" s="1"/>
  <c r="O106" i="20"/>
  <c r="O105" i="20" s="1"/>
  <c r="J106" i="20"/>
  <c r="R106" i="20"/>
  <c r="S112" i="20"/>
  <c r="T112" i="20" s="1"/>
  <c r="R114" i="20"/>
  <c r="H126" i="20"/>
  <c r="L126" i="20"/>
  <c r="P126" i="20"/>
  <c r="S128" i="20"/>
  <c r="T128" i="20" s="1"/>
  <c r="O126" i="20"/>
  <c r="J126" i="20"/>
  <c r="N126" i="20"/>
  <c r="R126" i="20"/>
  <c r="M126" i="20"/>
  <c r="S132" i="20"/>
  <c r="T132" i="20" s="1"/>
  <c r="S136" i="20"/>
  <c r="T136" i="20" s="1"/>
  <c r="H137" i="20"/>
  <c r="L137" i="20"/>
  <c r="G137" i="20"/>
  <c r="K137" i="20"/>
  <c r="O137" i="20"/>
  <c r="N137" i="20"/>
  <c r="R137" i="20"/>
  <c r="J152" i="20"/>
  <c r="R152" i="20"/>
  <c r="G31" i="21"/>
  <c r="K31" i="21"/>
  <c r="O31" i="21"/>
  <c r="S36" i="21"/>
  <c r="T36" i="21" s="1"/>
  <c r="S40" i="21"/>
  <c r="T40" i="21" s="1"/>
  <c r="O127" i="21"/>
  <c r="G152" i="21"/>
  <c r="K152" i="21"/>
  <c r="S25" i="20"/>
  <c r="T25" i="20" s="1"/>
  <c r="S34" i="20"/>
  <c r="T34" i="20" s="1"/>
  <c r="S38" i="20"/>
  <c r="T38" i="20" s="1"/>
  <c r="S64" i="20"/>
  <c r="T64" i="20" s="1"/>
  <c r="M11" i="20"/>
  <c r="M10" i="20" s="1"/>
  <c r="S35" i="20"/>
  <c r="T35" i="20" s="1"/>
  <c r="S39" i="20"/>
  <c r="T39" i="20" s="1"/>
  <c r="L42" i="20"/>
  <c r="S44" i="20"/>
  <c r="T44" i="20" s="1"/>
  <c r="S48" i="20"/>
  <c r="T48" i="20" s="1"/>
  <c r="S52" i="20"/>
  <c r="T52" i="20" s="1"/>
  <c r="G106" i="20"/>
  <c r="S116" i="20"/>
  <c r="T116" i="20" s="1"/>
  <c r="G126" i="20"/>
  <c r="S129" i="20"/>
  <c r="T129" i="20" s="1"/>
  <c r="S133" i="20"/>
  <c r="T133" i="20" s="1"/>
  <c r="I137" i="20"/>
  <c r="M137" i="20"/>
  <c r="Q137" i="20"/>
  <c r="S140" i="20"/>
  <c r="T140" i="20" s="1"/>
  <c r="S144" i="20"/>
  <c r="T144" i="20" s="1"/>
  <c r="S148" i="20"/>
  <c r="T148" i="20" s="1"/>
  <c r="S149" i="20"/>
  <c r="T149" i="20" s="1"/>
  <c r="J11" i="21"/>
  <c r="J10" i="21" s="1"/>
  <c r="N11" i="21"/>
  <c r="N10" i="21" s="1"/>
  <c r="R11" i="21"/>
  <c r="R10" i="21" s="1"/>
  <c r="S15" i="21"/>
  <c r="T15" i="21" s="1"/>
  <c r="S43" i="20"/>
  <c r="T43" i="20" s="1"/>
  <c r="S51" i="20"/>
  <c r="T51" i="20" s="1"/>
  <c r="S60" i="20"/>
  <c r="T60" i="20" s="1"/>
  <c r="I11" i="20"/>
  <c r="S14" i="20"/>
  <c r="T14" i="20" s="1"/>
  <c r="S18" i="20"/>
  <c r="T18" i="20" s="1"/>
  <c r="S22" i="20"/>
  <c r="T22" i="20" s="1"/>
  <c r="S26" i="20"/>
  <c r="T26" i="20" s="1"/>
  <c r="H42" i="20"/>
  <c r="P42" i="20"/>
  <c r="S15" i="20"/>
  <c r="T15" i="20" s="1"/>
  <c r="S19" i="20"/>
  <c r="T19" i="20" s="1"/>
  <c r="S23" i="20"/>
  <c r="T23" i="20" s="1"/>
  <c r="S27" i="20"/>
  <c r="T27" i="20" s="1"/>
  <c r="G31" i="20"/>
  <c r="K31" i="20"/>
  <c r="O31" i="20"/>
  <c r="J31" i="20"/>
  <c r="N31" i="20"/>
  <c r="R31" i="20"/>
  <c r="S36" i="20"/>
  <c r="T36" i="20" s="1"/>
  <c r="S40" i="20"/>
  <c r="T40" i="20" s="1"/>
  <c r="S45" i="20"/>
  <c r="T45" i="20" s="1"/>
  <c r="S49" i="20"/>
  <c r="T49" i="20" s="1"/>
  <c r="S53" i="20"/>
  <c r="T53" i="20" s="1"/>
  <c r="G57" i="20"/>
  <c r="K57" i="20"/>
  <c r="O57" i="20"/>
  <c r="G114" i="20"/>
  <c r="J137" i="20"/>
  <c r="I152" i="20"/>
  <c r="M152" i="20"/>
  <c r="Q152" i="20"/>
  <c r="S160" i="20"/>
  <c r="T160" i="20" s="1"/>
  <c r="L31" i="21"/>
  <c r="P31" i="21"/>
  <c r="P125" i="21"/>
  <c r="P126" i="21" s="1"/>
  <c r="S21" i="20"/>
  <c r="T21" i="20" s="1"/>
  <c r="S47" i="20"/>
  <c r="T47" i="20" s="1"/>
  <c r="Q11" i="20"/>
  <c r="Q10" i="20" s="1"/>
  <c r="G11" i="20"/>
  <c r="K11" i="20"/>
  <c r="O11" i="20"/>
  <c r="O10" i="20" s="1"/>
  <c r="J11" i="20"/>
  <c r="N11" i="20"/>
  <c r="N10" i="20" s="1"/>
  <c r="R11" i="20"/>
  <c r="R10" i="20" s="1"/>
  <c r="H11" i="20"/>
  <c r="S20" i="20"/>
  <c r="T20" i="20" s="1"/>
  <c r="S24" i="20"/>
  <c r="T24" i="20" s="1"/>
  <c r="S28" i="20"/>
  <c r="T28" i="20" s="1"/>
  <c r="S33" i="20"/>
  <c r="T33" i="20" s="1"/>
  <c r="S37" i="20"/>
  <c r="T37" i="20" s="1"/>
  <c r="S41" i="20"/>
  <c r="T41" i="20" s="1"/>
  <c r="J42" i="20"/>
  <c r="N42" i="20"/>
  <c r="R42" i="20"/>
  <c r="I42" i="20"/>
  <c r="M42" i="20"/>
  <c r="Q42" i="20"/>
  <c r="S46" i="20"/>
  <c r="T46" i="20" s="1"/>
  <c r="S50" i="20"/>
  <c r="T50" i="20" s="1"/>
  <c r="S54" i="20"/>
  <c r="T54" i="20" s="1"/>
  <c r="S59" i="20"/>
  <c r="T59" i="20" s="1"/>
  <c r="S63" i="20"/>
  <c r="T63" i="20" s="1"/>
  <c r="S107" i="20"/>
  <c r="T107" i="20" s="1"/>
  <c r="I106" i="20"/>
  <c r="M106" i="20"/>
  <c r="Q106" i="20"/>
  <c r="S111" i="20"/>
  <c r="T111" i="20" s="1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41" i="20"/>
  <c r="T141" i="20" s="1"/>
  <c r="S145" i="20"/>
  <c r="T145" i="20" s="1"/>
  <c r="S153" i="20"/>
  <c r="T153" i="20" s="1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20" i="20"/>
  <c r="T120" i="20" s="1"/>
  <c r="S154" i="20"/>
  <c r="T154" i="20" s="1"/>
  <c r="S155" i="20"/>
  <c r="T155" i="20" s="1"/>
  <c r="S159" i="20"/>
  <c r="T159" i="20" s="1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GC361" i="6"/>
  <c r="J29" i="21"/>
  <c r="J30" i="21" s="1"/>
  <c r="N29" i="21"/>
  <c r="N30" i="21" s="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M138" i="21"/>
  <c r="Q138" i="2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M106" i="21" s="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J106" i="21" s="1"/>
  <c r="N107" i="2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N29" i="20"/>
  <c r="N30" i="20" s="1"/>
  <c r="S58" i="20"/>
  <c r="T58" i="20" s="1"/>
  <c r="S65" i="20"/>
  <c r="T65" i="20" s="1"/>
  <c r="S32" i="20"/>
  <c r="T32" i="20" s="1"/>
  <c r="S109" i="20"/>
  <c r="T109" i="20" s="1"/>
  <c r="S113" i="20"/>
  <c r="T113" i="20" s="1"/>
  <c r="S117" i="20"/>
  <c r="T117" i="20" s="1"/>
  <c r="S121" i="20"/>
  <c r="T121" i="20" s="1"/>
  <c r="S130" i="20"/>
  <c r="T130" i="20" s="1"/>
  <c r="S134" i="20"/>
  <c r="T134" i="20" s="1"/>
  <c r="S138" i="20"/>
  <c r="T138" i="20" s="1"/>
  <c r="S142" i="20"/>
  <c r="T142" i="20" s="1"/>
  <c r="S146" i="20"/>
  <c r="T146" i="20" s="1"/>
  <c r="S158" i="20"/>
  <c r="T158" i="20" s="1"/>
  <c r="S12" i="20"/>
  <c r="T12" i="20" s="1"/>
  <c r="S110" i="20"/>
  <c r="T110" i="20" s="1"/>
  <c r="S118" i="20"/>
  <c r="T118" i="20" s="1"/>
  <c r="S122" i="20"/>
  <c r="T122" i="20" s="1"/>
  <c r="S127" i="20"/>
  <c r="T127" i="20" s="1"/>
  <c r="S131" i="20"/>
  <c r="T131" i="20" s="1"/>
  <c r="S135" i="20"/>
  <c r="T135" i="20" s="1"/>
  <c r="S139" i="20"/>
  <c r="T139" i="20" s="1"/>
  <c r="S143" i="20"/>
  <c r="T143" i="20" s="1"/>
  <c r="S147" i="20"/>
  <c r="T147" i="20" s="1"/>
  <c r="R29" i="20" l="1"/>
  <c r="R30" i="20" s="1"/>
  <c r="S57" i="20"/>
  <c r="T57" i="20" s="1"/>
  <c r="K40" i="11"/>
  <c r="S114" i="20"/>
  <c r="T114" i="20" s="1"/>
  <c r="K30" i="11"/>
  <c r="K55" i="11"/>
  <c r="I124" i="20"/>
  <c r="L10" i="20"/>
  <c r="R10" i="11" s="1"/>
  <c r="R11" i="11"/>
  <c r="N106" i="21"/>
  <c r="K11" i="11"/>
  <c r="L29" i="20"/>
  <c r="R40" i="11"/>
  <c r="K10" i="20"/>
  <c r="J10" i="20"/>
  <c r="Q29" i="21"/>
  <c r="Q30" i="21" s="1"/>
  <c r="O29" i="20"/>
  <c r="O30" i="20" s="1"/>
  <c r="S127" i="21"/>
  <c r="T127" i="21" s="1"/>
  <c r="S31" i="20"/>
  <c r="T31" i="20" s="1"/>
  <c r="P124" i="20"/>
  <c r="P125" i="20" s="1"/>
  <c r="M125" i="21"/>
  <c r="M126" i="21" s="1"/>
  <c r="I125" i="21"/>
  <c r="I126" i="21" s="1"/>
  <c r="P105" i="20"/>
  <c r="M29" i="21"/>
  <c r="M30" i="21" s="1"/>
  <c r="Q105" i="20"/>
  <c r="K29" i="20"/>
  <c r="Q124" i="20"/>
  <c r="Q125" i="20" s="1"/>
  <c r="G125" i="21"/>
  <c r="G126" i="21" s="1"/>
  <c r="I10" i="20"/>
  <c r="N105" i="20"/>
  <c r="M124" i="20"/>
  <c r="M125" i="20" s="1"/>
  <c r="K106" i="21"/>
  <c r="K105" i="20"/>
  <c r="L124" i="20"/>
  <c r="L125" i="20" s="1"/>
  <c r="K29" i="21"/>
  <c r="K30" i="21" s="1"/>
  <c r="S126" i="20"/>
  <c r="T126" i="20" s="1"/>
  <c r="L105" i="20"/>
  <c r="P106" i="21"/>
  <c r="P150" i="21" s="1"/>
  <c r="L125" i="21"/>
  <c r="L126" i="21" s="1"/>
  <c r="S137" i="20"/>
  <c r="T137" i="20" s="1"/>
  <c r="S11" i="20"/>
  <c r="T11" i="20" s="1"/>
  <c r="M105" i="20"/>
  <c r="Q29" i="20"/>
  <c r="Q30" i="20" s="1"/>
  <c r="S42" i="20"/>
  <c r="T42" i="20" s="1"/>
  <c r="S106" i="20"/>
  <c r="T106" i="20" s="1"/>
  <c r="G29" i="20"/>
  <c r="G30" i="20" s="1"/>
  <c r="R106" i="21"/>
  <c r="J125" i="21"/>
  <c r="J126" i="21" s="1"/>
  <c r="S152" i="21"/>
  <c r="T152" i="21" s="1"/>
  <c r="O29" i="21"/>
  <c r="O30" i="21" s="1"/>
  <c r="K124" i="20"/>
  <c r="K125" i="20" s="1"/>
  <c r="H125" i="21"/>
  <c r="H126" i="21" s="1"/>
  <c r="Q125" i="21"/>
  <c r="Q126" i="21" s="1"/>
  <c r="I105" i="20"/>
  <c r="I150" i="20" s="1"/>
  <c r="M29" i="20"/>
  <c r="M30" i="20" s="1"/>
  <c r="J124" i="20"/>
  <c r="J125" i="20" s="1"/>
  <c r="P29" i="20"/>
  <c r="P30" i="20" s="1"/>
  <c r="G124" i="20"/>
  <c r="G125" i="20" s="1"/>
  <c r="J105" i="20"/>
  <c r="H105" i="20"/>
  <c r="I106" i="21"/>
  <c r="H106" i="21"/>
  <c r="GE350" i="6"/>
  <c r="GE361" i="6"/>
  <c r="H10" i="20"/>
  <c r="H29" i="20"/>
  <c r="R29" i="21"/>
  <c r="R30" i="21" s="1"/>
  <c r="J55" i="21"/>
  <c r="J56" i="21" s="1"/>
  <c r="J57" i="21" s="1"/>
  <c r="S115" i="21"/>
  <c r="T115" i="21" s="1"/>
  <c r="S42" i="21"/>
  <c r="T42" i="21" s="1"/>
  <c r="S31" i="21"/>
  <c r="T31" i="21" s="1"/>
  <c r="K125" i="21"/>
  <c r="K126" i="21" s="1"/>
  <c r="O106" i="21"/>
  <c r="H29" i="21"/>
  <c r="H30" i="21" s="1"/>
  <c r="O125" i="21"/>
  <c r="O126" i="21" s="1"/>
  <c r="G106" i="21"/>
  <c r="G150" i="21" s="1"/>
  <c r="I29" i="21"/>
  <c r="I30" i="21" s="1"/>
  <c r="I29" i="20"/>
  <c r="S152" i="20"/>
  <c r="T152" i="20" s="1"/>
  <c r="O124" i="20"/>
  <c r="O125" i="20" s="1"/>
  <c r="H124" i="20"/>
  <c r="H125" i="20" s="1"/>
  <c r="R124" i="20"/>
  <c r="R125" i="20" s="1"/>
  <c r="N124" i="20"/>
  <c r="N125" i="20" s="1"/>
  <c r="R105" i="20"/>
  <c r="L106" i="21"/>
  <c r="I125" i="20"/>
  <c r="M55" i="20"/>
  <c r="S138" i="21"/>
  <c r="T138" i="21" s="1"/>
  <c r="R125" i="21"/>
  <c r="R126" i="21" s="1"/>
  <c r="Q106" i="21"/>
  <c r="S11" i="21"/>
  <c r="T11" i="21" s="1"/>
  <c r="G29" i="21"/>
  <c r="P29" i="21"/>
  <c r="J29" i="20"/>
  <c r="G105" i="20"/>
  <c r="K55" i="21"/>
  <c r="K56" i="21" s="1"/>
  <c r="Q150" i="20"/>
  <c r="L29" i="21"/>
  <c r="N55" i="21"/>
  <c r="N56" i="21" s="1"/>
  <c r="N62" i="21" s="1"/>
  <c r="N67" i="21" s="1"/>
  <c r="N63" i="21" s="1"/>
  <c r="Q55" i="21"/>
  <c r="Q56" i="21" s="1"/>
  <c r="Q62" i="21" s="1"/>
  <c r="Q67" i="21" s="1"/>
  <c r="Q63" i="21" s="1"/>
  <c r="G10" i="20"/>
  <c r="N150" i="21"/>
  <c r="S58" i="21"/>
  <c r="T58" i="21" s="1"/>
  <c r="S160" i="21"/>
  <c r="T160" i="21" s="1"/>
  <c r="S10" i="21"/>
  <c r="T10" i="21" s="1"/>
  <c r="S159" i="21"/>
  <c r="T159" i="21" s="1"/>
  <c r="S161" i="21"/>
  <c r="T161" i="21" s="1"/>
  <c r="S107" i="21"/>
  <c r="T107" i="21" s="1"/>
  <c r="N55" i="20"/>
  <c r="R55" i="20"/>
  <c r="I150" i="21" l="1"/>
  <c r="I157" i="21" s="1"/>
  <c r="L55" i="20"/>
  <c r="R53" i="11" s="1"/>
  <c r="L30" i="20"/>
  <c r="R29" i="11"/>
  <c r="K10" i="11"/>
  <c r="P150" i="20"/>
  <c r="K29" i="11"/>
  <c r="P55" i="20"/>
  <c r="K30" i="20"/>
  <c r="J30" i="20"/>
  <c r="R55" i="21"/>
  <c r="R56" i="21" s="1"/>
  <c r="R57" i="21" s="1"/>
  <c r="N57" i="21"/>
  <c r="M150" i="21"/>
  <c r="M151" i="21" s="1"/>
  <c r="H150" i="21"/>
  <c r="H157" i="21" s="1"/>
  <c r="H162" i="21" s="1"/>
  <c r="H158" i="21" s="1"/>
  <c r="I55" i="20"/>
  <c r="M55" i="21"/>
  <c r="M56" i="21" s="1"/>
  <c r="M57" i="21" s="1"/>
  <c r="J150" i="21"/>
  <c r="J151" i="21" s="1"/>
  <c r="J62" i="21"/>
  <c r="J67" i="21" s="1"/>
  <c r="J63" i="21" s="1"/>
  <c r="H55" i="21"/>
  <c r="H56" i="21" s="1"/>
  <c r="O55" i="20"/>
  <c r="O61" i="20" s="1"/>
  <c r="O66" i="20" s="1"/>
  <c r="O62" i="20" s="1"/>
  <c r="J150" i="20"/>
  <c r="J151" i="20" s="1"/>
  <c r="R150" i="21"/>
  <c r="K55" i="20"/>
  <c r="M150" i="20"/>
  <c r="M151" i="20" s="1"/>
  <c r="L150" i="20"/>
  <c r="L151" i="20" s="1"/>
  <c r="K150" i="20"/>
  <c r="O55" i="21"/>
  <c r="O56" i="21" s="1"/>
  <c r="O150" i="20"/>
  <c r="O156" i="20" s="1"/>
  <c r="O161" i="20" s="1"/>
  <c r="O157" i="20" s="1"/>
  <c r="I30" i="20"/>
  <c r="Q150" i="21"/>
  <c r="H55" i="20"/>
  <c r="H56" i="20" s="1"/>
  <c r="L150" i="21"/>
  <c r="L151" i="21" s="1"/>
  <c r="Q55" i="20"/>
  <c r="Q61" i="20" s="1"/>
  <c r="Q66" i="20" s="1"/>
  <c r="Q62" i="20" s="1"/>
  <c r="G55" i="20"/>
  <c r="H30" i="20"/>
  <c r="M62" i="21"/>
  <c r="M67" i="21" s="1"/>
  <c r="M63" i="21" s="1"/>
  <c r="S126" i="21"/>
  <c r="T126" i="21" s="1"/>
  <c r="O150" i="21"/>
  <c r="O151" i="21" s="1"/>
  <c r="S29" i="21"/>
  <c r="T29" i="21" s="1"/>
  <c r="G55" i="21"/>
  <c r="G56" i="21" s="1"/>
  <c r="G30" i="21"/>
  <c r="I55" i="21"/>
  <c r="I56" i="21" s="1"/>
  <c r="S125" i="20"/>
  <c r="T125" i="20" s="1"/>
  <c r="S106" i="21"/>
  <c r="T106" i="21" s="1"/>
  <c r="K150" i="21"/>
  <c r="O62" i="21"/>
  <c r="O67" i="21" s="1"/>
  <c r="O63" i="21" s="1"/>
  <c r="O57" i="21"/>
  <c r="S125" i="21"/>
  <c r="T125" i="21" s="1"/>
  <c r="S124" i="20"/>
  <c r="T124" i="20" s="1"/>
  <c r="R150" i="20"/>
  <c r="N150" i="20"/>
  <c r="P156" i="20"/>
  <c r="P161" i="20" s="1"/>
  <c r="P157" i="20" s="1"/>
  <c r="P151" i="20"/>
  <c r="K151" i="20"/>
  <c r="K156" i="20"/>
  <c r="K161" i="20" s="1"/>
  <c r="K157" i="20" s="1"/>
  <c r="H150" i="20"/>
  <c r="H151" i="21"/>
  <c r="M61" i="20"/>
  <c r="M66" i="20" s="1"/>
  <c r="M62" i="20" s="1"/>
  <c r="M56" i="20"/>
  <c r="L56" i="20"/>
  <c r="R54" i="11" s="1"/>
  <c r="L61" i="20"/>
  <c r="S10" i="20"/>
  <c r="T10" i="20" s="1"/>
  <c r="P56" i="20"/>
  <c r="P61" i="20"/>
  <c r="P66" i="20" s="1"/>
  <c r="P62" i="20" s="1"/>
  <c r="L30" i="21"/>
  <c r="L55" i="21"/>
  <c r="L56" i="21" s="1"/>
  <c r="P157" i="21"/>
  <c r="P162" i="21" s="1"/>
  <c r="P158" i="21" s="1"/>
  <c r="P151" i="21"/>
  <c r="I151" i="20"/>
  <c r="I156" i="20"/>
  <c r="I161" i="20" s="1"/>
  <c r="I157" i="20" s="1"/>
  <c r="K57" i="21"/>
  <c r="K62" i="21"/>
  <c r="K67" i="21" s="1"/>
  <c r="K63" i="21" s="1"/>
  <c r="S29" i="20"/>
  <c r="T29" i="20" s="1"/>
  <c r="Q57" i="21"/>
  <c r="G151" i="21"/>
  <c r="G157" i="21"/>
  <c r="G162" i="21" s="1"/>
  <c r="G158" i="21" s="1"/>
  <c r="H61" i="20"/>
  <c r="J55" i="20"/>
  <c r="G150" i="20"/>
  <c r="S105" i="20"/>
  <c r="T105" i="20" s="1"/>
  <c r="Q151" i="20"/>
  <c r="Q156" i="20"/>
  <c r="Q161" i="20" s="1"/>
  <c r="Q157" i="20" s="1"/>
  <c r="I61" i="20"/>
  <c r="I56" i="20"/>
  <c r="P30" i="21"/>
  <c r="P55" i="21"/>
  <c r="P56" i="21" s="1"/>
  <c r="Q151" i="21"/>
  <c r="Q157" i="21"/>
  <c r="Q162" i="21" s="1"/>
  <c r="Q158" i="21" s="1"/>
  <c r="N151" i="21"/>
  <c r="N157" i="21"/>
  <c r="N162" i="21" s="1"/>
  <c r="N158" i="21" s="1"/>
  <c r="J157" i="21"/>
  <c r="J162" i="21" s="1"/>
  <c r="J158" i="21" s="1"/>
  <c r="R151" i="21"/>
  <c r="R157" i="21"/>
  <c r="R162" i="21" s="1"/>
  <c r="R158" i="21" s="1"/>
  <c r="G56" i="20"/>
  <c r="G61" i="20"/>
  <c r="R56" i="20"/>
  <c r="R61" i="20"/>
  <c r="R66" i="20" s="1"/>
  <c r="R62" i="20" s="1"/>
  <c r="N56" i="20"/>
  <c r="N61" i="20"/>
  <c r="N66" i="20" s="1"/>
  <c r="N62" i="20" s="1"/>
  <c r="I151" i="21" l="1"/>
  <c r="M157" i="21"/>
  <c r="M162" i="21" s="1"/>
  <c r="M158" i="21" s="1"/>
  <c r="J156" i="20"/>
  <c r="J161" i="20" s="1"/>
  <c r="J157" i="20" s="1"/>
  <c r="L66" i="20"/>
  <c r="R59" i="11"/>
  <c r="K53" i="11"/>
  <c r="L157" i="21"/>
  <c r="L162" i="21" s="1"/>
  <c r="L158" i="21" s="1"/>
  <c r="M156" i="20"/>
  <c r="M161" i="20" s="1"/>
  <c r="M157" i="20" s="1"/>
  <c r="O56" i="20"/>
  <c r="Q56" i="20"/>
  <c r="O157" i="21"/>
  <c r="O162" i="21" s="1"/>
  <c r="O158" i="21" s="1"/>
  <c r="R62" i="21"/>
  <c r="R67" i="21" s="1"/>
  <c r="R63" i="21" s="1"/>
  <c r="S30" i="20"/>
  <c r="T30" i="20" s="1"/>
  <c r="L156" i="20"/>
  <c r="L161" i="20" s="1"/>
  <c r="L157" i="20" s="1"/>
  <c r="O151" i="20"/>
  <c r="H62" i="21"/>
  <c r="H67" i="21" s="1"/>
  <c r="H63" i="21" s="1"/>
  <c r="H57" i="21"/>
  <c r="K56" i="20"/>
  <c r="K61" i="20"/>
  <c r="S30" i="21"/>
  <c r="T30" i="21" s="1"/>
  <c r="I66" i="20"/>
  <c r="H66" i="20"/>
  <c r="S150" i="21"/>
  <c r="T150" i="21" s="1"/>
  <c r="I62" i="21"/>
  <c r="I67" i="21" s="1"/>
  <c r="I63" i="21" s="1"/>
  <c r="I57" i="21"/>
  <c r="K157" i="21"/>
  <c r="K162" i="21" s="1"/>
  <c r="K158" i="21" s="1"/>
  <c r="K151" i="21"/>
  <c r="S151" i="21" s="1"/>
  <c r="T151" i="21" s="1"/>
  <c r="H156" i="20"/>
  <c r="H161" i="20" s="1"/>
  <c r="H157" i="20" s="1"/>
  <c r="H151" i="20"/>
  <c r="N156" i="20"/>
  <c r="N161" i="20" s="1"/>
  <c r="N157" i="20" s="1"/>
  <c r="N151" i="20"/>
  <c r="R151" i="20"/>
  <c r="R156" i="20"/>
  <c r="R161" i="20" s="1"/>
  <c r="R157" i="20" s="1"/>
  <c r="J56" i="20"/>
  <c r="K54" i="11" s="1"/>
  <c r="J61" i="20"/>
  <c r="K59" i="11" s="1"/>
  <c r="L57" i="21"/>
  <c r="L62" i="21"/>
  <c r="L67" i="21" s="1"/>
  <c r="L63" i="21" s="1"/>
  <c r="S55" i="20"/>
  <c r="T55" i="20" s="1"/>
  <c r="P62" i="21"/>
  <c r="P67" i="21" s="1"/>
  <c r="P63" i="21" s="1"/>
  <c r="P57" i="21"/>
  <c r="G151" i="20"/>
  <c r="G156" i="20"/>
  <c r="S150" i="20"/>
  <c r="T150" i="20" s="1"/>
  <c r="S55" i="21"/>
  <c r="T55" i="21" s="1"/>
  <c r="G57" i="21"/>
  <c r="S56" i="21"/>
  <c r="T56" i="21" s="1"/>
  <c r="G62" i="21"/>
  <c r="I162" i="21"/>
  <c r="G66" i="20"/>
  <c r="L62" i="20" l="1"/>
  <c r="R60" i="11" s="1"/>
  <c r="R64" i="11"/>
  <c r="K66" i="20"/>
  <c r="J66" i="20"/>
  <c r="S56" i="20"/>
  <c r="T56" i="20" s="1"/>
  <c r="I62" i="20"/>
  <c r="H62" i="20"/>
  <c r="S157" i="21"/>
  <c r="T157" i="21" s="1"/>
  <c r="S151" i="20"/>
  <c r="T151" i="20" s="1"/>
  <c r="S61" i="20"/>
  <c r="T61" i="20" s="1"/>
  <c r="S57" i="21"/>
  <c r="T57" i="21" s="1"/>
  <c r="S156" i="20"/>
  <c r="T156" i="20" s="1"/>
  <c r="G161" i="20"/>
  <c r="I158" i="21"/>
  <c r="S158" i="21" s="1"/>
  <c r="T158" i="21" s="1"/>
  <c r="S162" i="21"/>
  <c r="T162" i="21" s="1"/>
  <c r="G67" i="21"/>
  <c r="S62" i="21"/>
  <c r="T62" i="21" s="1"/>
  <c r="G62" i="20"/>
  <c r="K64" i="11" l="1"/>
  <c r="S66" i="20"/>
  <c r="T66" i="20" s="1"/>
  <c r="K62" i="20"/>
  <c r="J62" i="20"/>
  <c r="K60" i="11" s="1"/>
  <c r="S161" i="20"/>
  <c r="T161" i="20" s="1"/>
  <c r="G157" i="20"/>
  <c r="S157" i="20" s="1"/>
  <c r="T157" i="20" s="1"/>
  <c r="S67" i="21"/>
  <c r="T67" i="21" s="1"/>
  <c r="G63" i="21"/>
  <c r="S63" i="21" s="1"/>
  <c r="T63" i="21" s="1"/>
  <c r="S62" i="20" l="1"/>
  <c r="T62" i="20" s="1"/>
  <c r="N6" i="11"/>
  <c r="G11" i="2"/>
  <c r="H154" i="19"/>
  <c r="I154" i="19"/>
  <c r="J154" i="19"/>
  <c r="K154" i="19"/>
  <c r="L154" i="19"/>
  <c r="O61" i="11" s="1"/>
  <c r="M154" i="19"/>
  <c r="N154" i="19"/>
  <c r="O154" i="19"/>
  <c r="P154" i="19"/>
  <c r="Q154" i="19"/>
  <c r="R154" i="19"/>
  <c r="H155" i="19"/>
  <c r="I155" i="19"/>
  <c r="J155" i="19"/>
  <c r="K155" i="19"/>
  <c r="L155" i="19"/>
  <c r="O62" i="11" s="1"/>
  <c r="M155" i="19"/>
  <c r="N155" i="19"/>
  <c r="O155" i="19"/>
  <c r="P155" i="19"/>
  <c r="Q155" i="19"/>
  <c r="R155" i="19"/>
  <c r="H156" i="19"/>
  <c r="I156" i="19"/>
  <c r="J156" i="19"/>
  <c r="K156" i="19"/>
  <c r="L156" i="19"/>
  <c r="O63" i="11" s="1"/>
  <c r="M156" i="19"/>
  <c r="N156" i="19"/>
  <c r="O156" i="19"/>
  <c r="P156" i="19"/>
  <c r="Q156" i="19"/>
  <c r="R156" i="19"/>
  <c r="H149" i="19"/>
  <c r="I149" i="19"/>
  <c r="J149" i="19"/>
  <c r="K149" i="19"/>
  <c r="L149" i="19"/>
  <c r="O56" i="11" s="1"/>
  <c r="M149" i="19"/>
  <c r="N149" i="19"/>
  <c r="O149" i="19"/>
  <c r="P149" i="19"/>
  <c r="Q149" i="19"/>
  <c r="R149" i="19"/>
  <c r="H150" i="19"/>
  <c r="I150" i="19"/>
  <c r="J150" i="19"/>
  <c r="K150" i="19"/>
  <c r="L150" i="19"/>
  <c r="O57" i="11" s="1"/>
  <c r="M150" i="19"/>
  <c r="N150" i="19"/>
  <c r="O150" i="19"/>
  <c r="P150" i="19"/>
  <c r="Q150" i="19"/>
  <c r="R150" i="19"/>
  <c r="H141" i="19"/>
  <c r="I141" i="19"/>
  <c r="J141" i="19"/>
  <c r="K141" i="19"/>
  <c r="L141" i="19"/>
  <c r="O48" i="11" s="1"/>
  <c r="M141" i="19"/>
  <c r="N141" i="19"/>
  <c r="O141" i="19"/>
  <c r="P141" i="19"/>
  <c r="Q141" i="19"/>
  <c r="R141" i="19"/>
  <c r="H142" i="19"/>
  <c r="I142" i="19"/>
  <c r="J142" i="19"/>
  <c r="K142" i="19"/>
  <c r="L142" i="19"/>
  <c r="O49" i="11" s="1"/>
  <c r="M142" i="19"/>
  <c r="N142" i="19"/>
  <c r="O142" i="19"/>
  <c r="P142" i="19"/>
  <c r="Q142" i="19"/>
  <c r="R142" i="19"/>
  <c r="H143" i="19"/>
  <c r="I143" i="19"/>
  <c r="J143" i="19"/>
  <c r="K143" i="19"/>
  <c r="L143" i="19"/>
  <c r="O50" i="11" s="1"/>
  <c r="M143" i="19"/>
  <c r="N143" i="19"/>
  <c r="O143" i="19"/>
  <c r="P143" i="19"/>
  <c r="Q143" i="19"/>
  <c r="R143" i="19"/>
  <c r="H144" i="19"/>
  <c r="I144" i="19"/>
  <c r="J144" i="19"/>
  <c r="K144" i="19"/>
  <c r="L144" i="19"/>
  <c r="O51" i="11" s="1"/>
  <c r="M144" i="19"/>
  <c r="N144" i="19"/>
  <c r="O144" i="19"/>
  <c r="P144" i="19"/>
  <c r="Q144" i="19"/>
  <c r="R144" i="19"/>
  <c r="H145" i="19"/>
  <c r="I145" i="19"/>
  <c r="J145" i="19"/>
  <c r="K145" i="19"/>
  <c r="L145" i="19"/>
  <c r="O52" i="11" s="1"/>
  <c r="M145" i="19"/>
  <c r="N145" i="19"/>
  <c r="O145" i="19"/>
  <c r="P145" i="19"/>
  <c r="Q145" i="19"/>
  <c r="R145" i="19"/>
  <c r="H139" i="19"/>
  <c r="I139" i="19"/>
  <c r="J139" i="19"/>
  <c r="K139" i="19"/>
  <c r="L139" i="19"/>
  <c r="O46" i="11" s="1"/>
  <c r="M139" i="19"/>
  <c r="N139" i="19"/>
  <c r="O139" i="19"/>
  <c r="P139" i="19"/>
  <c r="Q139" i="19"/>
  <c r="R139" i="19"/>
  <c r="H140" i="19"/>
  <c r="I140" i="19"/>
  <c r="J140" i="19"/>
  <c r="K140" i="19"/>
  <c r="L140" i="19"/>
  <c r="O47" i="11" s="1"/>
  <c r="M140" i="19"/>
  <c r="N140" i="19"/>
  <c r="O140" i="19"/>
  <c r="P140" i="19"/>
  <c r="Q140" i="19"/>
  <c r="R140" i="19"/>
  <c r="H134" i="19"/>
  <c r="I134" i="19"/>
  <c r="J134" i="19"/>
  <c r="K134" i="19"/>
  <c r="L134" i="19"/>
  <c r="O41" i="11" s="1"/>
  <c r="M134" i="19"/>
  <c r="N134" i="19"/>
  <c r="O134" i="19"/>
  <c r="P134" i="19"/>
  <c r="Q134" i="19"/>
  <c r="R134" i="19"/>
  <c r="H135" i="19"/>
  <c r="I135" i="19"/>
  <c r="J135" i="19"/>
  <c r="K135" i="19"/>
  <c r="L135" i="19"/>
  <c r="O42" i="11" s="1"/>
  <c r="M135" i="19"/>
  <c r="N135" i="19"/>
  <c r="O135" i="19"/>
  <c r="P135" i="19"/>
  <c r="Q135" i="19"/>
  <c r="R135" i="19"/>
  <c r="H136" i="19"/>
  <c r="I136" i="19"/>
  <c r="J136" i="19"/>
  <c r="K136" i="19"/>
  <c r="L136" i="19"/>
  <c r="O43" i="11" s="1"/>
  <c r="M136" i="19"/>
  <c r="N136" i="19"/>
  <c r="O136" i="19"/>
  <c r="P136" i="19"/>
  <c r="Q136" i="19"/>
  <c r="R136" i="19"/>
  <c r="H137" i="19"/>
  <c r="I137" i="19"/>
  <c r="J137" i="19"/>
  <c r="K137" i="19"/>
  <c r="L137" i="19"/>
  <c r="O44" i="11" s="1"/>
  <c r="M137" i="19"/>
  <c r="N137" i="19"/>
  <c r="O137" i="19"/>
  <c r="P137" i="19"/>
  <c r="Q137" i="19"/>
  <c r="R137" i="19"/>
  <c r="H138" i="19"/>
  <c r="I138" i="19"/>
  <c r="J138" i="19"/>
  <c r="K138" i="19"/>
  <c r="L138" i="19"/>
  <c r="O45" i="11" s="1"/>
  <c r="M138" i="19"/>
  <c r="N138" i="19"/>
  <c r="O138" i="19"/>
  <c r="P138" i="19"/>
  <c r="Q138" i="19"/>
  <c r="R138" i="19"/>
  <c r="H124" i="19"/>
  <c r="I124" i="19"/>
  <c r="J124" i="19"/>
  <c r="K124" i="19"/>
  <c r="L124" i="19"/>
  <c r="O31" i="11" s="1"/>
  <c r="M124" i="19"/>
  <c r="N124" i="19"/>
  <c r="O124" i="19"/>
  <c r="P124" i="19"/>
  <c r="Q124" i="19"/>
  <c r="R124" i="19"/>
  <c r="H125" i="19"/>
  <c r="I125" i="19"/>
  <c r="J125" i="19"/>
  <c r="K125" i="19"/>
  <c r="L125" i="19"/>
  <c r="O32" i="11" s="1"/>
  <c r="M125" i="19"/>
  <c r="N125" i="19"/>
  <c r="O125" i="19"/>
  <c r="P125" i="19"/>
  <c r="Q125" i="19"/>
  <c r="R125" i="19"/>
  <c r="H126" i="19"/>
  <c r="I126" i="19"/>
  <c r="J126" i="19"/>
  <c r="K126" i="19"/>
  <c r="L126" i="19"/>
  <c r="O33" i="11" s="1"/>
  <c r="M126" i="19"/>
  <c r="N126" i="19"/>
  <c r="O126" i="19"/>
  <c r="P126" i="19"/>
  <c r="Q126" i="19"/>
  <c r="R126" i="19"/>
  <c r="H127" i="19"/>
  <c r="I127" i="19"/>
  <c r="J127" i="19"/>
  <c r="K127" i="19"/>
  <c r="L127" i="19"/>
  <c r="O34" i="11" s="1"/>
  <c r="M127" i="19"/>
  <c r="N127" i="19"/>
  <c r="O127" i="19"/>
  <c r="P127" i="19"/>
  <c r="Q127" i="19"/>
  <c r="R127" i="19"/>
  <c r="H128" i="19"/>
  <c r="I128" i="19"/>
  <c r="J128" i="19"/>
  <c r="K128" i="19"/>
  <c r="L128" i="19"/>
  <c r="O35" i="11" s="1"/>
  <c r="M128" i="19"/>
  <c r="N128" i="19"/>
  <c r="O128" i="19"/>
  <c r="P128" i="19"/>
  <c r="Q128" i="19"/>
  <c r="R128" i="19"/>
  <c r="H129" i="19"/>
  <c r="I129" i="19"/>
  <c r="J129" i="19"/>
  <c r="K129" i="19"/>
  <c r="L129" i="19"/>
  <c r="O36" i="11" s="1"/>
  <c r="M129" i="19"/>
  <c r="N129" i="19"/>
  <c r="O129" i="19"/>
  <c r="P129" i="19"/>
  <c r="Q129" i="19"/>
  <c r="R129" i="19"/>
  <c r="H130" i="19"/>
  <c r="I130" i="19"/>
  <c r="J130" i="19"/>
  <c r="K130" i="19"/>
  <c r="L130" i="19"/>
  <c r="O37" i="11" s="1"/>
  <c r="M130" i="19"/>
  <c r="N130" i="19"/>
  <c r="O130" i="19"/>
  <c r="P130" i="19"/>
  <c r="Q130" i="19"/>
  <c r="R130" i="19"/>
  <c r="H131" i="19"/>
  <c r="I131" i="19"/>
  <c r="J131" i="19"/>
  <c r="K131" i="19"/>
  <c r="L131" i="19"/>
  <c r="O38" i="11" s="1"/>
  <c r="M131" i="19"/>
  <c r="N131" i="19"/>
  <c r="O131" i="19"/>
  <c r="P131" i="19"/>
  <c r="Q131" i="19"/>
  <c r="R131" i="19"/>
  <c r="H132" i="19"/>
  <c r="I132" i="19"/>
  <c r="J132" i="19"/>
  <c r="K132" i="19"/>
  <c r="L132" i="19"/>
  <c r="O39" i="11" s="1"/>
  <c r="M132" i="19"/>
  <c r="N132" i="19"/>
  <c r="O132" i="19"/>
  <c r="P132" i="19"/>
  <c r="Q132" i="19"/>
  <c r="R132" i="19"/>
  <c r="G156" i="19"/>
  <c r="G155" i="19"/>
  <c r="G154" i="19"/>
  <c r="H61" i="11" s="1"/>
  <c r="G151" i="19"/>
  <c r="H58" i="11" s="1"/>
  <c r="G150" i="19"/>
  <c r="G149" i="19"/>
  <c r="G145" i="19"/>
  <c r="G144" i="19"/>
  <c r="G143" i="19"/>
  <c r="G142" i="19"/>
  <c r="G141" i="19"/>
  <c r="H48" i="11" s="1"/>
  <c r="G140" i="19"/>
  <c r="G139" i="19"/>
  <c r="G138" i="19"/>
  <c r="G137" i="19"/>
  <c r="H44" i="11" s="1"/>
  <c r="G136" i="19"/>
  <c r="G135" i="19"/>
  <c r="G134" i="19"/>
  <c r="G132" i="19"/>
  <c r="G131" i="19"/>
  <c r="G130" i="19"/>
  <c r="G129" i="19"/>
  <c r="G128" i="19"/>
  <c r="H35" i="11" s="1"/>
  <c r="G127" i="19"/>
  <c r="G126" i="19"/>
  <c r="G125" i="19"/>
  <c r="G124" i="19"/>
  <c r="H31" i="11" s="1"/>
  <c r="R117" i="19"/>
  <c r="R118" i="19"/>
  <c r="R119" i="19"/>
  <c r="R120" i="19"/>
  <c r="R121" i="19"/>
  <c r="H117" i="19"/>
  <c r="I117" i="19"/>
  <c r="J117" i="19"/>
  <c r="K117" i="19"/>
  <c r="L117" i="19"/>
  <c r="O24" i="11" s="1"/>
  <c r="M117" i="19"/>
  <c r="N117" i="19"/>
  <c r="O117" i="19"/>
  <c r="P117" i="19"/>
  <c r="Q117" i="19"/>
  <c r="H118" i="19"/>
  <c r="I118" i="19"/>
  <c r="J118" i="19"/>
  <c r="K118" i="19"/>
  <c r="L118" i="19"/>
  <c r="O25" i="11" s="1"/>
  <c r="M118" i="19"/>
  <c r="N118" i="19"/>
  <c r="O118" i="19"/>
  <c r="P118" i="19"/>
  <c r="Q118" i="19"/>
  <c r="H119" i="19"/>
  <c r="I119" i="19"/>
  <c r="J119" i="19"/>
  <c r="K119" i="19"/>
  <c r="L119" i="19"/>
  <c r="O26" i="11" s="1"/>
  <c r="M119" i="19"/>
  <c r="N119" i="19"/>
  <c r="O119" i="19"/>
  <c r="P119" i="19"/>
  <c r="Q119" i="19"/>
  <c r="H120" i="19"/>
  <c r="I120" i="19"/>
  <c r="J120" i="19"/>
  <c r="K120" i="19"/>
  <c r="L120" i="19"/>
  <c r="O27" i="11" s="1"/>
  <c r="M120" i="19"/>
  <c r="N120" i="19"/>
  <c r="O120" i="19"/>
  <c r="P120" i="19"/>
  <c r="Q120" i="19"/>
  <c r="H121" i="19"/>
  <c r="I121" i="19"/>
  <c r="J121" i="19"/>
  <c r="K121" i="19"/>
  <c r="L121" i="19"/>
  <c r="O28" i="11" s="1"/>
  <c r="M121" i="19"/>
  <c r="N121" i="19"/>
  <c r="O121" i="19"/>
  <c r="P121" i="19"/>
  <c r="Q121" i="19"/>
  <c r="H113" i="19"/>
  <c r="I113" i="19"/>
  <c r="J113" i="19"/>
  <c r="K113" i="19"/>
  <c r="L113" i="19"/>
  <c r="O20" i="11" s="1"/>
  <c r="M113" i="19"/>
  <c r="N113" i="19"/>
  <c r="O113" i="19"/>
  <c r="P113" i="19"/>
  <c r="Q113" i="19"/>
  <c r="R113" i="19"/>
  <c r="H114" i="19"/>
  <c r="I114" i="19"/>
  <c r="J114" i="19"/>
  <c r="K114" i="19"/>
  <c r="L114" i="19"/>
  <c r="O21" i="11" s="1"/>
  <c r="M114" i="19"/>
  <c r="N114" i="19"/>
  <c r="O114" i="19"/>
  <c r="P114" i="19"/>
  <c r="Q114" i="19"/>
  <c r="R114" i="19"/>
  <c r="H115" i="19"/>
  <c r="I115" i="19"/>
  <c r="J115" i="19"/>
  <c r="K115" i="19"/>
  <c r="L115" i="19"/>
  <c r="O22" i="11" s="1"/>
  <c r="M115" i="19"/>
  <c r="N115" i="19"/>
  <c r="O115" i="19"/>
  <c r="P115" i="19"/>
  <c r="Q115" i="19"/>
  <c r="R115" i="19"/>
  <c r="H116" i="19"/>
  <c r="I116" i="19"/>
  <c r="J116" i="19"/>
  <c r="K116" i="19"/>
  <c r="L116" i="19"/>
  <c r="O23" i="11" s="1"/>
  <c r="M116" i="19"/>
  <c r="N116" i="19"/>
  <c r="O116" i="19"/>
  <c r="P116" i="19"/>
  <c r="Q116" i="19"/>
  <c r="R116" i="19"/>
  <c r="H105" i="19"/>
  <c r="I105" i="19"/>
  <c r="J105" i="19"/>
  <c r="K105" i="19"/>
  <c r="L105" i="19"/>
  <c r="O12" i="11" s="1"/>
  <c r="M105" i="19"/>
  <c r="N105" i="19"/>
  <c r="O105" i="19"/>
  <c r="P105" i="19"/>
  <c r="Q105" i="19"/>
  <c r="R105" i="19"/>
  <c r="H106" i="19"/>
  <c r="I106" i="19"/>
  <c r="J106" i="19"/>
  <c r="K106" i="19"/>
  <c r="L106" i="19"/>
  <c r="O13" i="11" s="1"/>
  <c r="M106" i="19"/>
  <c r="N106" i="19"/>
  <c r="O106" i="19"/>
  <c r="P106" i="19"/>
  <c r="Q106" i="19"/>
  <c r="R106" i="19"/>
  <c r="H107" i="19"/>
  <c r="I107" i="19"/>
  <c r="J107" i="19"/>
  <c r="K107" i="19"/>
  <c r="L107" i="19"/>
  <c r="O14" i="11" s="1"/>
  <c r="M107" i="19"/>
  <c r="N107" i="19"/>
  <c r="O107" i="19"/>
  <c r="P107" i="19"/>
  <c r="Q107" i="19"/>
  <c r="R107" i="19"/>
  <c r="H108" i="19"/>
  <c r="I108" i="19"/>
  <c r="J108" i="19"/>
  <c r="K108" i="19"/>
  <c r="L108" i="19"/>
  <c r="O15" i="11" s="1"/>
  <c r="M108" i="19"/>
  <c r="N108" i="19"/>
  <c r="O108" i="19"/>
  <c r="P108" i="19"/>
  <c r="Q108" i="19"/>
  <c r="R108" i="19"/>
  <c r="H109" i="19"/>
  <c r="I109" i="19"/>
  <c r="J109" i="19"/>
  <c r="K109" i="19"/>
  <c r="L109" i="19"/>
  <c r="O16" i="11" s="1"/>
  <c r="M109" i="19"/>
  <c r="N109" i="19"/>
  <c r="O109" i="19"/>
  <c r="P109" i="19"/>
  <c r="Q109" i="19"/>
  <c r="R109" i="19"/>
  <c r="H110" i="19"/>
  <c r="I110" i="19"/>
  <c r="J110" i="19"/>
  <c r="K110" i="19"/>
  <c r="L110" i="19"/>
  <c r="O17" i="11" s="1"/>
  <c r="M110" i="19"/>
  <c r="N110" i="19"/>
  <c r="O110" i="19"/>
  <c r="P110" i="19"/>
  <c r="Q110" i="19"/>
  <c r="R110" i="19"/>
  <c r="H111" i="19"/>
  <c r="I111" i="19"/>
  <c r="J111" i="19"/>
  <c r="K111" i="19"/>
  <c r="L111" i="19"/>
  <c r="O18" i="11" s="1"/>
  <c r="M111" i="19"/>
  <c r="N111" i="19"/>
  <c r="O111" i="19"/>
  <c r="P111" i="19"/>
  <c r="Q111" i="19"/>
  <c r="R111" i="19"/>
  <c r="G111" i="19"/>
  <c r="G121" i="19"/>
  <c r="G120" i="19"/>
  <c r="G119" i="19"/>
  <c r="H26" i="11" s="1"/>
  <c r="G118" i="19"/>
  <c r="G117" i="19"/>
  <c r="G114" i="19"/>
  <c r="G115" i="19"/>
  <c r="H22" i="11" s="1"/>
  <c r="G116" i="19"/>
  <c r="G113" i="19"/>
  <c r="G106" i="19"/>
  <c r="G107" i="19"/>
  <c r="H14" i="11" s="1"/>
  <c r="G108" i="19"/>
  <c r="G109" i="19"/>
  <c r="G110" i="19"/>
  <c r="G105" i="19"/>
  <c r="H12" i="11" s="1"/>
  <c r="H39" i="11" l="1"/>
  <c r="H52" i="11"/>
  <c r="H56" i="11"/>
  <c r="H62" i="11"/>
  <c r="H50" i="11"/>
  <c r="H57" i="11"/>
  <c r="H63" i="11"/>
  <c r="H28" i="11"/>
  <c r="H27" i="11"/>
  <c r="H25" i="11"/>
  <c r="H24" i="11"/>
  <c r="H21" i="11"/>
  <c r="H20" i="11"/>
  <c r="H23" i="11"/>
  <c r="H18" i="11"/>
  <c r="H17" i="11"/>
  <c r="H16" i="11"/>
  <c r="H13" i="11"/>
  <c r="H15" i="11"/>
  <c r="H51" i="11"/>
  <c r="H49" i="11"/>
  <c r="H47" i="11"/>
  <c r="H46" i="11"/>
  <c r="H45" i="11"/>
  <c r="H43" i="11"/>
  <c r="H42" i="11"/>
  <c r="H41" i="11"/>
  <c r="H38" i="11"/>
  <c r="H37" i="11"/>
  <c r="H36" i="11"/>
  <c r="H34" i="11"/>
  <c r="H33" i="11"/>
  <c r="H32" i="11"/>
  <c r="A157" i="19"/>
  <c r="S156" i="19"/>
  <c r="A156" i="19"/>
  <c r="A155" i="19"/>
  <c r="A154" i="19"/>
  <c r="A153" i="19"/>
  <c r="A152" i="19"/>
  <c r="P148" i="19"/>
  <c r="L148" i="19"/>
  <c r="O55" i="11" s="1"/>
  <c r="H148" i="19"/>
  <c r="A150" i="19"/>
  <c r="Q148" i="19"/>
  <c r="M148" i="19"/>
  <c r="I148" i="19"/>
  <c r="A149" i="19"/>
  <c r="R148" i="19"/>
  <c r="O148" i="19"/>
  <c r="N148" i="19"/>
  <c r="K148" i="19"/>
  <c r="J148" i="19"/>
  <c r="G148" i="19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O40" i="11" s="1"/>
  <c r="H133" i="19"/>
  <c r="A134" i="19"/>
  <c r="P133" i="19"/>
  <c r="K133" i="19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S125" i="19"/>
  <c r="A125" i="19"/>
  <c r="P123" i="19"/>
  <c r="L123" i="19"/>
  <c r="O30" i="11" s="1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A113" i="19"/>
  <c r="R112" i="19"/>
  <c r="L112" i="19"/>
  <c r="O19" i="11" s="1"/>
  <c r="G112" i="19"/>
  <c r="A112" i="19"/>
  <c r="A111" i="19"/>
  <c r="A110" i="19"/>
  <c r="A109" i="19"/>
  <c r="O104" i="19"/>
  <c r="K104" i="19"/>
  <c r="A108" i="19"/>
  <c r="P104" i="19"/>
  <c r="P103" i="19" s="1"/>
  <c r="A107" i="19"/>
  <c r="A106" i="19"/>
  <c r="R104" i="19"/>
  <c r="L104" i="19"/>
  <c r="O11" i="11" s="1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9"/>
  <c r="M63" i="19"/>
  <c r="L63" i="19"/>
  <c r="N63" i="11" s="1"/>
  <c r="K63" i="19"/>
  <c r="J63" i="19"/>
  <c r="I63" i="19"/>
  <c r="H63" i="19"/>
  <c r="G63" i="19"/>
  <c r="R62" i="19"/>
  <c r="Q62" i="19"/>
  <c r="P62" i="19"/>
  <c r="O62" i="19"/>
  <c r="N62" i="19"/>
  <c r="M62" i="19"/>
  <c r="L62" i="19"/>
  <c r="N62" i="11" s="1"/>
  <c r="K62" i="19"/>
  <c r="J62" i="19"/>
  <c r="I62" i="19"/>
  <c r="H62" i="19"/>
  <c r="G62" i="19"/>
  <c r="R61" i="19"/>
  <c r="Q61" i="19"/>
  <c r="P61" i="19"/>
  <c r="O61" i="19"/>
  <c r="N61" i="19"/>
  <c r="M61" i="19"/>
  <c r="L61" i="19"/>
  <c r="N61" i="11" s="1"/>
  <c r="K61" i="19"/>
  <c r="J61" i="19"/>
  <c r="I61" i="19"/>
  <c r="H61" i="19"/>
  <c r="G61" i="19"/>
  <c r="R58" i="19"/>
  <c r="Q58" i="19"/>
  <c r="P58" i="19"/>
  <c r="O58" i="19"/>
  <c r="N58" i="19"/>
  <c r="M58" i="19"/>
  <c r="L58" i="19"/>
  <c r="N58" i="11" s="1"/>
  <c r="K58" i="19"/>
  <c r="J58" i="19"/>
  <c r="I58" i="19"/>
  <c r="H58" i="19"/>
  <c r="G58" i="19"/>
  <c r="R57" i="19"/>
  <c r="Q57" i="19"/>
  <c r="P57" i="19"/>
  <c r="O57" i="19"/>
  <c r="N57" i="19"/>
  <c r="M57" i="19"/>
  <c r="L57" i="19"/>
  <c r="N57" i="11" s="1"/>
  <c r="K57" i="19"/>
  <c r="J57" i="19"/>
  <c r="I57" i="19"/>
  <c r="H57" i="19"/>
  <c r="G57" i="19"/>
  <c r="R56" i="19"/>
  <c r="Q56" i="19"/>
  <c r="P56" i="19"/>
  <c r="O56" i="19"/>
  <c r="N56" i="19"/>
  <c r="M56" i="19"/>
  <c r="L56" i="19"/>
  <c r="N56" i="11" s="1"/>
  <c r="K56" i="19"/>
  <c r="J56" i="19"/>
  <c r="I56" i="19"/>
  <c r="H56" i="19"/>
  <c r="G56" i="19"/>
  <c r="R52" i="19"/>
  <c r="Q52" i="19"/>
  <c r="P52" i="19"/>
  <c r="O52" i="19"/>
  <c r="N52" i="19"/>
  <c r="M52" i="19"/>
  <c r="L52" i="19"/>
  <c r="N52" i="11" s="1"/>
  <c r="K52" i="19"/>
  <c r="J52" i="19"/>
  <c r="I52" i="19"/>
  <c r="H52" i="19"/>
  <c r="G52" i="19"/>
  <c r="R51" i="19"/>
  <c r="Q51" i="19"/>
  <c r="P51" i="19"/>
  <c r="O51" i="19"/>
  <c r="N51" i="19"/>
  <c r="M51" i="19"/>
  <c r="L51" i="19"/>
  <c r="N51" i="11" s="1"/>
  <c r="K51" i="19"/>
  <c r="J51" i="19"/>
  <c r="I51" i="19"/>
  <c r="H51" i="19"/>
  <c r="G51" i="19"/>
  <c r="R50" i="19"/>
  <c r="Q50" i="19"/>
  <c r="P50" i="19"/>
  <c r="O50" i="19"/>
  <c r="N50" i="19"/>
  <c r="M50" i="19"/>
  <c r="L50" i="19"/>
  <c r="N50" i="11" s="1"/>
  <c r="K50" i="19"/>
  <c r="J50" i="19"/>
  <c r="I50" i="19"/>
  <c r="H50" i="19"/>
  <c r="G50" i="19"/>
  <c r="R49" i="19"/>
  <c r="Q49" i="19"/>
  <c r="P49" i="19"/>
  <c r="O49" i="19"/>
  <c r="N49" i="19"/>
  <c r="M49" i="19"/>
  <c r="L49" i="19"/>
  <c r="N49" i="11" s="1"/>
  <c r="K49" i="19"/>
  <c r="J49" i="19"/>
  <c r="I49" i="19"/>
  <c r="H49" i="19"/>
  <c r="G49" i="19"/>
  <c r="R47" i="19"/>
  <c r="Q47" i="19"/>
  <c r="P47" i="19"/>
  <c r="O47" i="19"/>
  <c r="N47" i="19"/>
  <c r="M47" i="19"/>
  <c r="L47" i="19"/>
  <c r="N47" i="11" s="1"/>
  <c r="K47" i="19"/>
  <c r="J47" i="19"/>
  <c r="I47" i="19"/>
  <c r="H47" i="19"/>
  <c r="G47" i="19"/>
  <c r="R46" i="19"/>
  <c r="Q46" i="19"/>
  <c r="P46" i="19"/>
  <c r="O46" i="19"/>
  <c r="N46" i="19"/>
  <c r="M46" i="19"/>
  <c r="L46" i="19"/>
  <c r="N46" i="11" s="1"/>
  <c r="K46" i="19"/>
  <c r="J46" i="19"/>
  <c r="I46" i="19"/>
  <c r="H46" i="19"/>
  <c r="G46" i="19"/>
  <c r="R45" i="19"/>
  <c r="Q45" i="19"/>
  <c r="P45" i="19"/>
  <c r="O45" i="19"/>
  <c r="N45" i="19"/>
  <c r="M45" i="19"/>
  <c r="L45" i="19"/>
  <c r="N45" i="11" s="1"/>
  <c r="K45" i="19"/>
  <c r="J45" i="19"/>
  <c r="I45" i="19"/>
  <c r="H45" i="19"/>
  <c r="G45" i="19"/>
  <c r="R44" i="19"/>
  <c r="Q44" i="19"/>
  <c r="P44" i="19"/>
  <c r="O44" i="19"/>
  <c r="N44" i="19"/>
  <c r="M44" i="19"/>
  <c r="L44" i="19"/>
  <c r="N44" i="11" s="1"/>
  <c r="K44" i="19"/>
  <c r="J44" i="19"/>
  <c r="I44" i="19"/>
  <c r="H44" i="19"/>
  <c r="G44" i="19"/>
  <c r="R43" i="19"/>
  <c r="Q43" i="19"/>
  <c r="P43" i="19"/>
  <c r="O43" i="19"/>
  <c r="N43" i="19"/>
  <c r="M43" i="19"/>
  <c r="L43" i="19"/>
  <c r="N43" i="11" s="1"/>
  <c r="K43" i="19"/>
  <c r="J43" i="19"/>
  <c r="I43" i="19"/>
  <c r="H43" i="19"/>
  <c r="G43" i="19"/>
  <c r="R42" i="19"/>
  <c r="Q42" i="19"/>
  <c r="P42" i="19"/>
  <c r="O42" i="19"/>
  <c r="N42" i="19"/>
  <c r="M42" i="19"/>
  <c r="L42" i="19"/>
  <c r="N42" i="11" s="1"/>
  <c r="K42" i="19"/>
  <c r="J42" i="19"/>
  <c r="I42" i="19"/>
  <c r="H42" i="19"/>
  <c r="G42" i="19"/>
  <c r="R41" i="19"/>
  <c r="Q41" i="19"/>
  <c r="P41" i="19"/>
  <c r="O41" i="19"/>
  <c r="N41" i="19"/>
  <c r="M41" i="19"/>
  <c r="L41" i="19"/>
  <c r="N41" i="11" s="1"/>
  <c r="K41" i="19"/>
  <c r="J41" i="19"/>
  <c r="I41" i="19"/>
  <c r="H41" i="19"/>
  <c r="G41" i="19"/>
  <c r="R39" i="19"/>
  <c r="Q39" i="19"/>
  <c r="P39" i="19"/>
  <c r="O39" i="19"/>
  <c r="N39" i="19"/>
  <c r="M39" i="19"/>
  <c r="L39" i="19"/>
  <c r="N39" i="11" s="1"/>
  <c r="K39" i="19"/>
  <c r="J39" i="19"/>
  <c r="I39" i="19"/>
  <c r="H39" i="19"/>
  <c r="G39" i="19"/>
  <c r="R38" i="19"/>
  <c r="Q38" i="19"/>
  <c r="P38" i="19"/>
  <c r="O38" i="19"/>
  <c r="N38" i="19"/>
  <c r="M38" i="19"/>
  <c r="L38" i="19"/>
  <c r="N38" i="11" s="1"/>
  <c r="K38" i="19"/>
  <c r="J38" i="19"/>
  <c r="I38" i="19"/>
  <c r="H38" i="19"/>
  <c r="G38" i="19"/>
  <c r="R37" i="19"/>
  <c r="Q37" i="19"/>
  <c r="P37" i="19"/>
  <c r="O37" i="19"/>
  <c r="N37" i="19"/>
  <c r="M37" i="19"/>
  <c r="L37" i="19"/>
  <c r="N37" i="11" s="1"/>
  <c r="K37" i="19"/>
  <c r="J37" i="19"/>
  <c r="I37" i="19"/>
  <c r="H37" i="19"/>
  <c r="G37" i="19"/>
  <c r="R36" i="19"/>
  <c r="Q36" i="19"/>
  <c r="P36" i="19"/>
  <c r="O36" i="19"/>
  <c r="N36" i="19"/>
  <c r="M36" i="19"/>
  <c r="L36" i="19"/>
  <c r="N36" i="11" s="1"/>
  <c r="K36" i="19"/>
  <c r="J36" i="19"/>
  <c r="I36" i="19"/>
  <c r="H36" i="19"/>
  <c r="G36" i="19"/>
  <c r="R35" i="19"/>
  <c r="Q35" i="19"/>
  <c r="P35" i="19"/>
  <c r="O35" i="19"/>
  <c r="N35" i="19"/>
  <c r="M35" i="19"/>
  <c r="L35" i="19"/>
  <c r="N35" i="11" s="1"/>
  <c r="K35" i="19"/>
  <c r="J35" i="19"/>
  <c r="I35" i="19"/>
  <c r="H35" i="19"/>
  <c r="G35" i="19"/>
  <c r="R34" i="19"/>
  <c r="Q34" i="19"/>
  <c r="P34" i="19"/>
  <c r="O34" i="19"/>
  <c r="N34" i="19"/>
  <c r="M34" i="19"/>
  <c r="L34" i="19"/>
  <c r="N34" i="11" s="1"/>
  <c r="K34" i="19"/>
  <c r="J34" i="19"/>
  <c r="I34" i="19"/>
  <c r="H34" i="19"/>
  <c r="G34" i="19"/>
  <c r="R33" i="19"/>
  <c r="Q33" i="19"/>
  <c r="P33" i="19"/>
  <c r="O33" i="19"/>
  <c r="N33" i="19"/>
  <c r="M33" i="19"/>
  <c r="L33" i="19"/>
  <c r="N33" i="11" s="1"/>
  <c r="K33" i="19"/>
  <c r="J33" i="19"/>
  <c r="I33" i="19"/>
  <c r="H33" i="19"/>
  <c r="G33" i="19"/>
  <c r="R32" i="19"/>
  <c r="Q32" i="19"/>
  <c r="P32" i="19"/>
  <c r="O32" i="19"/>
  <c r="N32" i="19"/>
  <c r="M32" i="19"/>
  <c r="L32" i="19"/>
  <c r="N32" i="11" s="1"/>
  <c r="K32" i="19"/>
  <c r="J32" i="19"/>
  <c r="I32" i="19"/>
  <c r="H32" i="19"/>
  <c r="G32" i="19"/>
  <c r="R31" i="19"/>
  <c r="Q31" i="19"/>
  <c r="P31" i="19"/>
  <c r="O31" i="19"/>
  <c r="N31" i="19"/>
  <c r="M31" i="19"/>
  <c r="L31" i="19"/>
  <c r="N31" i="11" s="1"/>
  <c r="K31" i="19"/>
  <c r="J31" i="19"/>
  <c r="I31" i="19"/>
  <c r="H31" i="19"/>
  <c r="G31" i="19"/>
  <c r="R28" i="19"/>
  <c r="Q28" i="19"/>
  <c r="P28" i="19"/>
  <c r="O28" i="19"/>
  <c r="N28" i="19"/>
  <c r="M28" i="19"/>
  <c r="L28" i="19"/>
  <c r="N28" i="11" s="1"/>
  <c r="K28" i="19"/>
  <c r="J28" i="19"/>
  <c r="I28" i="19"/>
  <c r="H28" i="19"/>
  <c r="G28" i="19"/>
  <c r="R27" i="19"/>
  <c r="Q27" i="19"/>
  <c r="P27" i="19"/>
  <c r="O27" i="19"/>
  <c r="N27" i="19"/>
  <c r="M27" i="19"/>
  <c r="L27" i="19"/>
  <c r="N27" i="11" s="1"/>
  <c r="K27" i="19"/>
  <c r="J27" i="19"/>
  <c r="I27" i="19"/>
  <c r="H27" i="19"/>
  <c r="G27" i="19"/>
  <c r="R26" i="19"/>
  <c r="Q26" i="19"/>
  <c r="P26" i="19"/>
  <c r="O26" i="19"/>
  <c r="N26" i="19"/>
  <c r="M26" i="19"/>
  <c r="L26" i="19"/>
  <c r="N26" i="11" s="1"/>
  <c r="K26" i="19"/>
  <c r="J26" i="19"/>
  <c r="I26" i="19"/>
  <c r="H26" i="19"/>
  <c r="G26" i="19"/>
  <c r="R25" i="19"/>
  <c r="Q25" i="19"/>
  <c r="P25" i="19"/>
  <c r="O25" i="19"/>
  <c r="N25" i="19"/>
  <c r="M25" i="19"/>
  <c r="L25" i="19"/>
  <c r="N25" i="11" s="1"/>
  <c r="K25" i="19"/>
  <c r="J25" i="19"/>
  <c r="I25" i="19"/>
  <c r="H25" i="19"/>
  <c r="G25" i="19"/>
  <c r="R24" i="19"/>
  <c r="Q24" i="19"/>
  <c r="P24" i="19"/>
  <c r="O24" i="19"/>
  <c r="N24" i="19"/>
  <c r="M24" i="19"/>
  <c r="L24" i="19"/>
  <c r="N24" i="11" s="1"/>
  <c r="K24" i="19"/>
  <c r="J24" i="19"/>
  <c r="I24" i="19"/>
  <c r="H24" i="19"/>
  <c r="G24" i="19"/>
  <c r="R23" i="19"/>
  <c r="Q23" i="19"/>
  <c r="P23" i="19"/>
  <c r="O23" i="19"/>
  <c r="N23" i="19"/>
  <c r="M23" i="19"/>
  <c r="L23" i="19"/>
  <c r="N23" i="11" s="1"/>
  <c r="K23" i="19"/>
  <c r="J23" i="19"/>
  <c r="I23" i="19"/>
  <c r="H23" i="19"/>
  <c r="G23" i="19"/>
  <c r="R22" i="19"/>
  <c r="Q22" i="19"/>
  <c r="P22" i="19"/>
  <c r="O22" i="19"/>
  <c r="N22" i="19"/>
  <c r="M22" i="19"/>
  <c r="L22" i="19"/>
  <c r="N22" i="11" s="1"/>
  <c r="K22" i="19"/>
  <c r="J22" i="19"/>
  <c r="I22" i="19"/>
  <c r="H22" i="19"/>
  <c r="G22" i="19"/>
  <c r="R21" i="19"/>
  <c r="Q21" i="19"/>
  <c r="P21" i="19"/>
  <c r="O21" i="19"/>
  <c r="N21" i="19"/>
  <c r="M21" i="19"/>
  <c r="L21" i="19"/>
  <c r="N21" i="11" s="1"/>
  <c r="K21" i="19"/>
  <c r="J21" i="19"/>
  <c r="I21" i="19"/>
  <c r="H21" i="19"/>
  <c r="G21" i="19"/>
  <c r="R20" i="19"/>
  <c r="Q20" i="19"/>
  <c r="P20" i="19"/>
  <c r="O20" i="19"/>
  <c r="N20" i="19"/>
  <c r="M20" i="19"/>
  <c r="L20" i="19"/>
  <c r="N20" i="11" s="1"/>
  <c r="K20" i="19"/>
  <c r="J20" i="19"/>
  <c r="I20" i="19"/>
  <c r="H20" i="19"/>
  <c r="G20" i="19"/>
  <c r="R19" i="19"/>
  <c r="Q19" i="19"/>
  <c r="P19" i="19"/>
  <c r="O19" i="19"/>
  <c r="N19" i="19"/>
  <c r="M19" i="19"/>
  <c r="L19" i="19"/>
  <c r="N19" i="11" s="1"/>
  <c r="K19" i="19"/>
  <c r="J19" i="19"/>
  <c r="I19" i="19"/>
  <c r="H19" i="19"/>
  <c r="G19" i="19"/>
  <c r="R18" i="19"/>
  <c r="Q18" i="19"/>
  <c r="P18" i="19"/>
  <c r="O18" i="19"/>
  <c r="N18" i="19"/>
  <c r="M18" i="19"/>
  <c r="L18" i="19"/>
  <c r="N18" i="11" s="1"/>
  <c r="K18" i="19"/>
  <c r="J18" i="19"/>
  <c r="I18" i="19"/>
  <c r="H18" i="19"/>
  <c r="G18" i="19"/>
  <c r="R17" i="19"/>
  <c r="Q17" i="19"/>
  <c r="P17" i="19"/>
  <c r="O17" i="19"/>
  <c r="N17" i="19"/>
  <c r="M17" i="19"/>
  <c r="L17" i="19"/>
  <c r="N17" i="11" s="1"/>
  <c r="K17" i="19"/>
  <c r="J17" i="19"/>
  <c r="I17" i="19"/>
  <c r="H17" i="19"/>
  <c r="G17" i="19"/>
  <c r="R16" i="19"/>
  <c r="Q16" i="19"/>
  <c r="P16" i="19"/>
  <c r="O16" i="19"/>
  <c r="N16" i="19"/>
  <c r="M16" i="19"/>
  <c r="L16" i="19"/>
  <c r="N16" i="11" s="1"/>
  <c r="K16" i="19"/>
  <c r="J16" i="19"/>
  <c r="I16" i="19"/>
  <c r="H16" i="19"/>
  <c r="G16" i="19"/>
  <c r="R15" i="19"/>
  <c r="Q15" i="19"/>
  <c r="P15" i="19"/>
  <c r="O15" i="19"/>
  <c r="N15" i="19"/>
  <c r="M15" i="19"/>
  <c r="L15" i="19"/>
  <c r="N15" i="11" s="1"/>
  <c r="K15" i="19"/>
  <c r="J15" i="19"/>
  <c r="I15" i="19"/>
  <c r="H15" i="19"/>
  <c r="G15" i="19"/>
  <c r="R14" i="19"/>
  <c r="Q14" i="19"/>
  <c r="P14" i="19"/>
  <c r="O14" i="19"/>
  <c r="N14" i="19"/>
  <c r="M14" i="19"/>
  <c r="L14" i="19"/>
  <c r="N14" i="11" s="1"/>
  <c r="K14" i="19"/>
  <c r="J14" i="19"/>
  <c r="I14" i="19"/>
  <c r="H14" i="19"/>
  <c r="G14" i="19"/>
  <c r="R13" i="19"/>
  <c r="Q13" i="19"/>
  <c r="P13" i="19"/>
  <c r="O13" i="19"/>
  <c r="N13" i="19"/>
  <c r="M13" i="19"/>
  <c r="L13" i="19"/>
  <c r="N13" i="11" s="1"/>
  <c r="K13" i="19"/>
  <c r="J13" i="19"/>
  <c r="I13" i="19"/>
  <c r="H13" i="19"/>
  <c r="G13" i="19"/>
  <c r="R12" i="19"/>
  <c r="Q12" i="19"/>
  <c r="P12" i="19"/>
  <c r="O12" i="19"/>
  <c r="N12" i="19"/>
  <c r="M12" i="19"/>
  <c r="L12" i="19"/>
  <c r="N12" i="11" s="1"/>
  <c r="K12" i="19"/>
  <c r="J12" i="19"/>
  <c r="I12" i="19"/>
  <c r="H12" i="19"/>
  <c r="G12" i="19"/>
  <c r="R5" i="19"/>
  <c r="Q5" i="19"/>
  <c r="P5" i="19"/>
  <c r="O5" i="19"/>
  <c r="N5" i="19"/>
  <c r="M5" i="19"/>
  <c r="L5" i="19"/>
  <c r="K5" i="19"/>
  <c r="J5" i="19"/>
  <c r="I5" i="19"/>
  <c r="H5" i="19"/>
  <c r="G5" i="19"/>
  <c r="H55" i="11" l="1"/>
  <c r="T26" i="11"/>
  <c r="T27" i="11"/>
  <c r="T47" i="11"/>
  <c r="T52" i="11"/>
  <c r="T125" i="19"/>
  <c r="T156" i="19"/>
  <c r="T129" i="19"/>
  <c r="L103" i="19"/>
  <c r="O10" i="11" s="1"/>
  <c r="L122" i="19"/>
  <c r="O29" i="11" s="1"/>
  <c r="K122" i="19"/>
  <c r="P122" i="19"/>
  <c r="I55" i="19"/>
  <c r="Q55" i="19"/>
  <c r="O103" i="19"/>
  <c r="H103" i="19"/>
  <c r="R103" i="19"/>
  <c r="H122" i="19"/>
  <c r="N122" i="19"/>
  <c r="O122" i="19"/>
  <c r="R122" i="19"/>
  <c r="S122" i="19" s="1"/>
  <c r="K103" i="19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T130" i="19"/>
  <c r="I133" i="19"/>
  <c r="H40" i="11" s="1"/>
  <c r="M133" i="19"/>
  <c r="M122" i="19" s="1"/>
  <c r="Q133" i="19"/>
  <c r="Q122" i="19" s="1"/>
  <c r="S136" i="19"/>
  <c r="T136" i="19" s="1"/>
  <c r="S140" i="19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H19" i="11" s="1"/>
  <c r="M112" i="19"/>
  <c r="Q112" i="19"/>
  <c r="S117" i="19"/>
  <c r="T117" i="19" s="1"/>
  <c r="S121" i="19"/>
  <c r="T121" i="19" s="1"/>
  <c r="G123" i="19"/>
  <c r="H30" i="11" s="1"/>
  <c r="S137" i="19"/>
  <c r="T137" i="19" s="1"/>
  <c r="S141" i="19"/>
  <c r="T141" i="19" s="1"/>
  <c r="S149" i="19"/>
  <c r="T149" i="19" s="1"/>
  <c r="G104" i="19"/>
  <c r="H11" i="11" s="1"/>
  <c r="S114" i="19"/>
  <c r="T114" i="19" s="1"/>
  <c r="S118" i="19"/>
  <c r="T118" i="19" s="1"/>
  <c r="T124" i="19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N30" i="11" s="1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M30" i="19"/>
  <c r="Q30" i="19"/>
  <c r="S37" i="19"/>
  <c r="T37" i="19" s="1"/>
  <c r="S44" i="19"/>
  <c r="T44" i="19" s="1"/>
  <c r="S48" i="19"/>
  <c r="T48" i="19" s="1"/>
  <c r="S52" i="19"/>
  <c r="T52" i="19" s="1"/>
  <c r="M55" i="19"/>
  <c r="R55" i="19"/>
  <c r="J55" i="19"/>
  <c r="N55" i="19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O40" i="19"/>
  <c r="S45" i="19"/>
  <c r="T45" i="19" s="1"/>
  <c r="H11" i="19"/>
  <c r="L11" i="19"/>
  <c r="P11" i="19"/>
  <c r="P10" i="19" s="1"/>
  <c r="H40" i="19"/>
  <c r="L40" i="19"/>
  <c r="N40" i="11" s="1"/>
  <c r="P40" i="19"/>
  <c r="I11" i="19"/>
  <c r="M11" i="19"/>
  <c r="M10" i="19" s="1"/>
  <c r="Q11" i="19"/>
  <c r="Q10" i="19" s="1"/>
  <c r="H30" i="19"/>
  <c r="P30" i="19"/>
  <c r="K55" i="19"/>
  <c r="O55" i="19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G40" i="19"/>
  <c r="J30" i="19"/>
  <c r="N30" i="19"/>
  <c r="R30" i="19"/>
  <c r="J11" i="19"/>
  <c r="N11" i="19"/>
  <c r="N10" i="19" s="1"/>
  <c r="R11" i="19"/>
  <c r="R10" i="19" s="1"/>
  <c r="I40" i="19"/>
  <c r="M40" i="19"/>
  <c r="Q40" i="19"/>
  <c r="H55" i="19"/>
  <c r="L55" i="19"/>
  <c r="N55" i="11" s="1"/>
  <c r="P55" i="19"/>
  <c r="K30" i="19"/>
  <c r="O30" i="19"/>
  <c r="K11" i="19"/>
  <c r="O11" i="19"/>
  <c r="O10" i="19" s="1"/>
  <c r="J40" i="19"/>
  <c r="N40" i="19"/>
  <c r="R40" i="19"/>
  <c r="G30" i="19"/>
  <c r="G11" i="19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T140" i="19" l="1"/>
  <c r="L10" i="19"/>
  <c r="N10" i="11" s="1"/>
  <c r="N11" i="11"/>
  <c r="K10" i="19"/>
  <c r="J10" i="19"/>
  <c r="I122" i="19"/>
  <c r="I10" i="19"/>
  <c r="H10" i="19"/>
  <c r="G103" i="19"/>
  <c r="K146" i="19"/>
  <c r="P146" i="19"/>
  <c r="P147" i="19" s="1"/>
  <c r="L146" i="19"/>
  <c r="N146" i="19"/>
  <c r="N147" i="19" s="1"/>
  <c r="G122" i="19"/>
  <c r="H29" i="11" s="1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S133" i="19"/>
  <c r="T133" i="19" s="1"/>
  <c r="H146" i="19"/>
  <c r="K29" i="19"/>
  <c r="O146" i="19"/>
  <c r="S112" i="19"/>
  <c r="T112" i="19" s="1"/>
  <c r="R146" i="19"/>
  <c r="J152" i="19"/>
  <c r="J157" i="19" s="1"/>
  <c r="J153" i="19" s="1"/>
  <c r="S123" i="19"/>
  <c r="T123" i="19" s="1"/>
  <c r="L29" i="19"/>
  <c r="N29" i="11" s="1"/>
  <c r="P29" i="19"/>
  <c r="M103" i="19"/>
  <c r="M146" i="19" s="1"/>
  <c r="M147" i="19" s="1"/>
  <c r="S104" i="19"/>
  <c r="T104" i="19" s="1"/>
  <c r="I103" i="19"/>
  <c r="Q103" i="19"/>
  <c r="Q146" i="19" s="1"/>
  <c r="Q147" i="19" s="1"/>
  <c r="H29" i="19"/>
  <c r="M29" i="19"/>
  <c r="I29" i="19"/>
  <c r="O29" i="19"/>
  <c r="Q29" i="19"/>
  <c r="R29" i="19"/>
  <c r="S11" i="19"/>
  <c r="S40" i="19"/>
  <c r="T40" i="19" s="1"/>
  <c r="J29" i="19"/>
  <c r="S55" i="19"/>
  <c r="T55" i="19" s="1"/>
  <c r="S30" i="19"/>
  <c r="T30" i="19" s="1"/>
  <c r="G29" i="19"/>
  <c r="N29" i="19"/>
  <c r="FM61" i="6"/>
  <c r="FQ101" i="6"/>
  <c r="FQ86" i="6"/>
  <c r="FQ76" i="6"/>
  <c r="FQ69" i="6"/>
  <c r="FN76" i="6"/>
  <c r="P152" i="19" l="1"/>
  <c r="P157" i="19" s="1"/>
  <c r="P153" i="19" s="1"/>
  <c r="H10" i="11"/>
  <c r="L147" i="19"/>
  <c r="O54" i="11" s="1"/>
  <c r="O53" i="11"/>
  <c r="K147" i="19"/>
  <c r="I146" i="19"/>
  <c r="L152" i="19"/>
  <c r="T11" i="19"/>
  <c r="G11" i="11"/>
  <c r="T122" i="19"/>
  <c r="N152" i="19"/>
  <c r="N157" i="19" s="1"/>
  <c r="N153" i="19" s="1"/>
  <c r="G146" i="19"/>
  <c r="K152" i="19"/>
  <c r="S10" i="19"/>
  <c r="K53" i="19"/>
  <c r="G55" i="11"/>
  <c r="G30" i="11"/>
  <c r="G40" i="11"/>
  <c r="G53" i="19"/>
  <c r="G54" i="19" s="1"/>
  <c r="H147" i="19"/>
  <c r="H152" i="19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M53" i="19"/>
  <c r="M59" i="19" s="1"/>
  <c r="M64" i="19" s="1"/>
  <c r="M60" i="19" s="1"/>
  <c r="L53" i="19"/>
  <c r="I53" i="19"/>
  <c r="S103" i="19"/>
  <c r="T103" i="19" s="1"/>
  <c r="M152" i="19"/>
  <c r="M157" i="19" s="1"/>
  <c r="M153" i="19" s="1"/>
  <c r="Q152" i="19"/>
  <c r="Q157" i="19" s="1"/>
  <c r="Q153" i="19" s="1"/>
  <c r="O53" i="19"/>
  <c r="O59" i="19" s="1"/>
  <c r="O64" i="19" s="1"/>
  <c r="O60" i="19" s="1"/>
  <c r="Q53" i="19"/>
  <c r="Q54" i="19" s="1"/>
  <c r="J53" i="19"/>
  <c r="S29" i="19"/>
  <c r="T29" i="19" s="1"/>
  <c r="N53" i="19"/>
  <c r="N59" i="19" s="1"/>
  <c r="N64" i="19" s="1"/>
  <c r="N60" i="19" s="1"/>
  <c r="FP101" i="6"/>
  <c r="FO101" i="6"/>
  <c r="FN101" i="6"/>
  <c r="FM101" i="6"/>
  <c r="FL101" i="6"/>
  <c r="FK101" i="6"/>
  <c r="FJ101" i="6"/>
  <c r="FI101" i="6"/>
  <c r="FH101" i="6"/>
  <c r="FG101" i="6"/>
  <c r="FF101" i="6"/>
  <c r="FN86" i="6"/>
  <c r="FL86" i="6"/>
  <c r="FK86" i="6"/>
  <c r="FG86" i="6"/>
  <c r="FP76" i="6"/>
  <c r="FO76" i="6"/>
  <c r="FM76" i="6"/>
  <c r="FL76" i="6"/>
  <c r="FK76" i="6"/>
  <c r="FJ76" i="6"/>
  <c r="FI76" i="6"/>
  <c r="FH76" i="6"/>
  <c r="FG76" i="6"/>
  <c r="FF76" i="6"/>
  <c r="FP69" i="6"/>
  <c r="FO69" i="6"/>
  <c r="FN69" i="6"/>
  <c r="FK69" i="6"/>
  <c r="FH69" i="6"/>
  <c r="FG69" i="6"/>
  <c r="FQ61" i="6"/>
  <c r="FP61" i="6"/>
  <c r="FO61" i="6"/>
  <c r="FN61" i="6"/>
  <c r="FL61" i="6"/>
  <c r="FK61" i="6"/>
  <c r="FJ61" i="6"/>
  <c r="FI61" i="6"/>
  <c r="FH61" i="6"/>
  <c r="FG61" i="6"/>
  <c r="T10" i="19" l="1"/>
  <c r="G10" i="11"/>
  <c r="H12" i="1" s="1"/>
  <c r="I12" i="1" s="1"/>
  <c r="H53" i="11"/>
  <c r="L157" i="19"/>
  <c r="O59" i="11"/>
  <c r="L59" i="19"/>
  <c r="N53" i="11"/>
  <c r="K157" i="19"/>
  <c r="K59" i="19"/>
  <c r="J59" i="19"/>
  <c r="I147" i="19"/>
  <c r="I59" i="19"/>
  <c r="H54" i="19"/>
  <c r="H157" i="19"/>
  <c r="G152" i="19"/>
  <c r="G147" i="19"/>
  <c r="I54" i="19"/>
  <c r="K54" i="19"/>
  <c r="G29" i="11"/>
  <c r="H16" i="1" s="1"/>
  <c r="I16" i="1" s="1"/>
  <c r="G59" i="19"/>
  <c r="R59" i="19"/>
  <c r="R64" i="19" s="1"/>
  <c r="R60" i="19" s="1"/>
  <c r="Q59" i="19"/>
  <c r="Q64" i="19" s="1"/>
  <c r="Q60" i="19" s="1"/>
  <c r="H59" i="19"/>
  <c r="P59" i="19"/>
  <c r="P64" i="19" s="1"/>
  <c r="P60" i="19" s="1"/>
  <c r="O54" i="19"/>
  <c r="M54" i="19"/>
  <c r="L54" i="19"/>
  <c r="N54" i="11" s="1"/>
  <c r="I152" i="19"/>
  <c r="S146" i="19"/>
  <c r="T146" i="19" s="1"/>
  <c r="J54" i="19"/>
  <c r="S53" i="19"/>
  <c r="T53" i="19" s="1"/>
  <c r="N54" i="19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H54" i="11" l="1"/>
  <c r="L153" i="19"/>
  <c r="O60" i="11" s="1"/>
  <c r="O64" i="11"/>
  <c r="H59" i="11"/>
  <c r="L64" i="19"/>
  <c r="N59" i="11"/>
  <c r="K153" i="19"/>
  <c r="K64" i="19"/>
  <c r="J64" i="19"/>
  <c r="I64" i="19"/>
  <c r="H64" i="19"/>
  <c r="H153" i="19"/>
  <c r="S147" i="19"/>
  <c r="T147" i="19" s="1"/>
  <c r="G157" i="19"/>
  <c r="G64" i="19"/>
  <c r="G53" i="11"/>
  <c r="H20" i="1" s="1"/>
  <c r="I20" i="1" s="1"/>
  <c r="S59" i="19"/>
  <c r="T59" i="19" s="1"/>
  <c r="I157" i="19"/>
  <c r="S152" i="19"/>
  <c r="T152" i="19" s="1"/>
  <c r="S54" i="19"/>
  <c r="T54" i="19" s="1"/>
  <c r="H64" i="11" l="1"/>
  <c r="L60" i="19"/>
  <c r="N60" i="11" s="1"/>
  <c r="N64" i="11"/>
  <c r="K60" i="19"/>
  <c r="J60" i="19"/>
  <c r="I60" i="19"/>
  <c r="H60" i="19"/>
  <c r="G153" i="19"/>
  <c r="G60" i="19"/>
  <c r="S64" i="19"/>
  <c r="T64" i="19" s="1"/>
  <c r="G54" i="11"/>
  <c r="G59" i="11"/>
  <c r="I153" i="19"/>
  <c r="S157" i="19"/>
  <c r="T157" i="19" s="1"/>
  <c r="H60" i="11" l="1"/>
  <c r="S153" i="19"/>
  <c r="T153" i="19" s="1"/>
  <c r="S60" i="19"/>
  <c r="T60" i="19" s="1"/>
  <c r="G64" i="11"/>
  <c r="G12" i="2"/>
  <c r="G60" i="11" l="1"/>
  <c r="I63" i="11"/>
  <c r="J63" i="11"/>
  <c r="I62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N218" i="6"/>
  <c r="EN217" i="6" s="1"/>
  <c r="EN216" i="6" s="1"/>
  <c r="EO218" i="6"/>
  <c r="EO217" i="6" s="1"/>
  <c r="EO216" i="6" s="1"/>
  <c r="EP218" i="6"/>
  <c r="EP217" i="6" s="1"/>
  <c r="EP216" i="6" s="1"/>
  <c r="EQ218" i="6"/>
  <c r="EQ217" i="6" s="1"/>
  <c r="EQ216" i="6" s="1"/>
  <c r="ER218" i="6"/>
  <c r="ER217" i="6" s="1"/>
  <c r="ER216" i="6" s="1"/>
  <c r="ES218" i="6"/>
  <c r="ES217" i="6" s="1"/>
  <c r="ES216" i="6" s="1"/>
  <c r="EM217" i="6" l="1"/>
  <c r="EM216" i="6" s="1"/>
  <c r="G20" i="2"/>
  <c r="G19" i="2"/>
  <c r="G14" i="2"/>
  <c r="L58" i="11" l="1"/>
  <c r="M61" i="11" l="1"/>
  <c r="L61" i="11"/>
  <c r="M63" i="11"/>
  <c r="L63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W217" i="6" s="1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B142" i="19" s="1"/>
  <c r="G212" i="2"/>
  <c r="B144" i="19" s="1"/>
  <c r="G211" i="2"/>
  <c r="G210" i="2"/>
  <c r="G209" i="2"/>
  <c r="B143" i="19" s="1"/>
  <c r="G208" i="2"/>
  <c r="G207" i="2"/>
  <c r="G206" i="2"/>
  <c r="G205" i="2"/>
  <c r="G204" i="2"/>
  <c r="G203" i="2"/>
  <c r="G202" i="2"/>
  <c r="G201" i="2"/>
  <c r="G200" i="2"/>
  <c r="G199" i="2"/>
  <c r="B141" i="19" s="1"/>
  <c r="G198" i="2"/>
  <c r="G197" i="2"/>
  <c r="G196" i="2"/>
  <c r="G195" i="2"/>
  <c r="G194" i="2"/>
  <c r="G193" i="2"/>
  <c r="G192" i="2"/>
  <c r="G191" i="2"/>
  <c r="G190" i="2"/>
  <c r="G189" i="2"/>
  <c r="G188" i="2"/>
  <c r="B140" i="19" s="1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B139" i="19" s="1"/>
  <c r="G169" i="2"/>
  <c r="G168" i="2"/>
  <c r="G167" i="2"/>
  <c r="G166" i="2"/>
  <c r="B138" i="19" s="1"/>
  <c r="G165" i="2"/>
  <c r="G164" i="2"/>
  <c r="B137" i="19" s="1"/>
  <c r="G163" i="2"/>
  <c r="G162" i="2"/>
  <c r="G161" i="2"/>
  <c r="G160" i="2"/>
  <c r="G159" i="2"/>
  <c r="G158" i="2"/>
  <c r="G157" i="2"/>
  <c r="G156" i="2"/>
  <c r="B136" i="19" s="1"/>
  <c r="G155" i="2"/>
  <c r="G154" i="2"/>
  <c r="G153" i="2"/>
  <c r="G152" i="2"/>
  <c r="G151" i="2"/>
  <c r="G150" i="2"/>
  <c r="B135" i="19" s="1"/>
  <c r="G148" i="2"/>
  <c r="G147" i="2"/>
  <c r="G146" i="2"/>
  <c r="G145" i="2"/>
  <c r="G144" i="2"/>
  <c r="G143" i="2"/>
  <c r="G142" i="2"/>
  <c r="G141" i="2"/>
  <c r="B134" i="19" s="1"/>
  <c r="G140" i="2"/>
  <c r="B133" i="19" s="1"/>
  <c r="G139" i="2"/>
  <c r="G138" i="2"/>
  <c r="G137" i="2"/>
  <c r="G136" i="2"/>
  <c r="G135" i="2"/>
  <c r="G134" i="2"/>
  <c r="G133" i="2"/>
  <c r="G132" i="2"/>
  <c r="G131" i="2"/>
  <c r="G130" i="2"/>
  <c r="B132" i="19" s="1"/>
  <c r="G129" i="2"/>
  <c r="G128" i="2"/>
  <c r="G127" i="2"/>
  <c r="G126" i="2"/>
  <c r="B131" i="19" s="1"/>
  <c r="G125" i="2"/>
  <c r="G124" i="2"/>
  <c r="G123" i="2"/>
  <c r="G122" i="2"/>
  <c r="B130" i="19" s="1"/>
  <c r="G121" i="2"/>
  <c r="G120" i="2"/>
  <c r="G119" i="2"/>
  <c r="B129" i="19" s="1"/>
  <c r="G118" i="2"/>
  <c r="G117" i="2"/>
  <c r="G116" i="2"/>
  <c r="G115" i="2"/>
  <c r="B128" i="19" s="1"/>
  <c r="G114" i="2"/>
  <c r="G113" i="2"/>
  <c r="G112" i="2"/>
  <c r="G111" i="2"/>
  <c r="G110" i="2"/>
  <c r="G109" i="2"/>
  <c r="G108" i="2"/>
  <c r="G107" i="2"/>
  <c r="G106" i="2"/>
  <c r="G105" i="2"/>
  <c r="B127" i="19" s="1"/>
  <c r="G104" i="2"/>
  <c r="G103" i="2"/>
  <c r="G102" i="2"/>
  <c r="G101" i="2"/>
  <c r="G100" i="2"/>
  <c r="G99" i="2"/>
  <c r="G98" i="2"/>
  <c r="B126" i="19" s="1"/>
  <c r="G96" i="2"/>
  <c r="G95" i="2"/>
  <c r="G94" i="2"/>
  <c r="G93" i="2"/>
  <c r="G92" i="2"/>
  <c r="G91" i="2"/>
  <c r="G90" i="2"/>
  <c r="G89" i="2"/>
  <c r="B125" i="19" s="1"/>
  <c r="G88" i="2"/>
  <c r="G87" i="2"/>
  <c r="G86" i="2"/>
  <c r="G85" i="2"/>
  <c r="G84" i="2"/>
  <c r="G83" i="2"/>
  <c r="B124" i="19" s="1"/>
  <c r="G82" i="2"/>
  <c r="B123" i="19" s="1"/>
  <c r="G81" i="2"/>
  <c r="G80" i="2"/>
  <c r="B122" i="19" s="1"/>
  <c r="G79" i="2"/>
  <c r="G78" i="2"/>
  <c r="G77" i="2"/>
  <c r="G76" i="2"/>
  <c r="G75" i="2"/>
  <c r="G74" i="2"/>
  <c r="G73" i="2"/>
  <c r="B121" i="19" s="1"/>
  <c r="G72" i="2"/>
  <c r="G71" i="2"/>
  <c r="G70" i="2"/>
  <c r="B120" i="19" s="1"/>
  <c r="G69" i="2"/>
  <c r="G68" i="2"/>
  <c r="G67" i="2"/>
  <c r="G66" i="2"/>
  <c r="G65" i="2"/>
  <c r="G64" i="2"/>
  <c r="G63" i="2"/>
  <c r="G62" i="2"/>
  <c r="G61" i="2"/>
  <c r="B119" i="19" s="1"/>
  <c r="G60" i="2"/>
  <c r="G59" i="2"/>
  <c r="G58" i="2"/>
  <c r="G57" i="2"/>
  <c r="G56" i="2"/>
  <c r="G55" i="2"/>
  <c r="G54" i="2"/>
  <c r="G53" i="2"/>
  <c r="G52" i="2"/>
  <c r="G51" i="2"/>
  <c r="B118" i="19" s="1"/>
  <c r="G50" i="2"/>
  <c r="G49" i="2"/>
  <c r="G48" i="2"/>
  <c r="G47" i="2"/>
  <c r="G46" i="2"/>
  <c r="G45" i="2"/>
  <c r="G44" i="2"/>
  <c r="B117" i="19" s="1"/>
  <c r="G43" i="2"/>
  <c r="B116" i="19" s="1"/>
  <c r="G42" i="2"/>
  <c r="B115" i="19" s="1"/>
  <c r="G41" i="2"/>
  <c r="B114" i="19" s="1"/>
  <c r="G40" i="2"/>
  <c r="B113" i="19" s="1"/>
  <c r="G39" i="2"/>
  <c r="B112" i="19" s="1"/>
  <c r="G38" i="2"/>
  <c r="B111" i="19" s="1"/>
  <c r="G36" i="2"/>
  <c r="B110" i="19" s="1"/>
  <c r="G35" i="2"/>
  <c r="B109" i="19" s="1"/>
  <c r="G34" i="2"/>
  <c r="B108" i="19" s="1"/>
  <c r="G33" i="2"/>
  <c r="B107" i="19" s="1"/>
  <c r="G32" i="2"/>
  <c r="B106" i="19" s="1"/>
  <c r="G31" i="2"/>
  <c r="B105" i="19" s="1"/>
  <c r="G30" i="2"/>
  <c r="G29" i="2"/>
  <c r="G28" i="2"/>
  <c r="G27" i="2"/>
  <c r="G26" i="2"/>
  <c r="G25" i="2"/>
  <c r="G24" i="2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S389" i="6"/>
  <c r="DR389" i="6"/>
  <c r="DQ389" i="6"/>
  <c r="DP389" i="6"/>
  <c r="DO389" i="6"/>
  <c r="DN389" i="6"/>
  <c r="DN385" i="6" s="1"/>
  <c r="DM389" i="6"/>
  <c r="DL389" i="6"/>
  <c r="DK389" i="6"/>
  <c r="DJ389" i="6"/>
  <c r="DI389" i="6"/>
  <c r="DH389" i="6"/>
  <c r="DG389" i="6"/>
  <c r="DF389" i="6"/>
  <c r="DE389" i="6"/>
  <c r="DD389" i="6"/>
  <c r="DC389" i="6"/>
  <c r="DB389" i="6"/>
  <c r="DA389" i="6"/>
  <c r="CZ389" i="6"/>
  <c r="CY389" i="6"/>
  <c r="CX389" i="6"/>
  <c r="CW389" i="6"/>
  <c r="CV389" i="6"/>
  <c r="CU389" i="6"/>
  <c r="CT389" i="6"/>
  <c r="CT385" i="6" s="1"/>
  <c r="CS389" i="6"/>
  <c r="CS386" i="6"/>
  <c r="CR389" i="6"/>
  <c r="CQ389" i="6"/>
  <c r="CQ385" i="6" s="1"/>
  <c r="CP389" i="6"/>
  <c r="CO389" i="6"/>
  <c r="CO386" i="6"/>
  <c r="CN389" i="6"/>
  <c r="CM389" i="6"/>
  <c r="CL389" i="6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N386" i="6"/>
  <c r="DM386" i="6"/>
  <c r="DM385" i="6" s="1"/>
  <c r="DL386" i="6"/>
  <c r="DK386" i="6"/>
  <c r="DK385" i="6" s="1"/>
  <c r="DJ386" i="6"/>
  <c r="DI386" i="6"/>
  <c r="DH386" i="6"/>
  <c r="DG386" i="6"/>
  <c r="DG385" i="6" s="1"/>
  <c r="DF386" i="6"/>
  <c r="DE386" i="6"/>
  <c r="DD386" i="6"/>
  <c r="DC386" i="6"/>
  <c r="DC385" i="6" s="1"/>
  <c r="DB386" i="6"/>
  <c r="DA386" i="6"/>
  <c r="CZ386" i="6"/>
  <c r="CY386" i="6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U350" i="6" s="1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CL320" i="6" s="1"/>
  <c r="D330" i="6"/>
  <c r="D328" i="6"/>
  <c r="D327" i="6"/>
  <c r="D326" i="6"/>
  <c r="D325" i="6"/>
  <c r="D324" i="6"/>
  <c r="D323" i="6"/>
  <c r="D322" i="6"/>
  <c r="DU321" i="6"/>
  <c r="DT321" i="6"/>
  <c r="DT320" i="6" s="1"/>
  <c r="DS321" i="6"/>
  <c r="DR321" i="6"/>
  <c r="DQ321" i="6"/>
  <c r="DP321" i="6"/>
  <c r="DP320" i="6" s="1"/>
  <c r="DO321" i="6"/>
  <c r="DN321" i="6"/>
  <c r="DM321" i="6"/>
  <c r="DL321" i="6"/>
  <c r="DL320" i="6" s="1"/>
  <c r="DK321" i="6"/>
  <c r="DJ321" i="6"/>
  <c r="DI321" i="6"/>
  <c r="DH321" i="6"/>
  <c r="DH320" i="6" s="1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X49" i="6" s="1"/>
  <c r="DI49" i="6"/>
  <c r="DH49" i="6"/>
  <c r="DG49" i="6"/>
  <c r="DF49" i="6"/>
  <c r="DE49" i="6"/>
  <c r="DD49" i="6"/>
  <c r="DC49" i="6"/>
  <c r="DB49" i="6"/>
  <c r="DA49" i="6"/>
  <c r="CZ49" i="6"/>
  <c r="CY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DD320" i="6"/>
  <c r="CZ385" i="6"/>
  <c r="DP385" i="6"/>
  <c r="CT350" i="6"/>
  <c r="DR350" i="6"/>
  <c r="CS350" i="6"/>
  <c r="CY385" i="6"/>
  <c r="DA350" i="6"/>
  <c r="DO385" i="6"/>
  <c r="DB320" i="6" l="1"/>
  <c r="DK320" i="6"/>
  <c r="CQ350" i="6"/>
  <c r="G8" i="3"/>
  <c r="N8" i="3" s="1"/>
  <c r="G8" i="11"/>
  <c r="CN320" i="6"/>
  <c r="CR320" i="6"/>
  <c r="CZ320" i="6"/>
  <c r="CO350" i="6"/>
  <c r="CW350" i="6"/>
  <c r="DI350" i="6"/>
  <c r="DM350" i="6"/>
  <c r="DQ350" i="6"/>
  <c r="DT350" i="6"/>
  <c r="CL385" i="6"/>
  <c r="CV385" i="6"/>
  <c r="DD385" i="6"/>
  <c r="DH385" i="6"/>
  <c r="DL385" i="6"/>
  <c r="DT385" i="6"/>
  <c r="CO320" i="6"/>
  <c r="DO320" i="6"/>
  <c r="B47" i="19"/>
  <c r="B11" i="19"/>
  <c r="B104" i="19"/>
  <c r="B15" i="19"/>
  <c r="B19" i="19"/>
  <c r="B23" i="19"/>
  <c r="B25" i="19"/>
  <c r="B63" i="19"/>
  <c r="B156" i="19"/>
  <c r="B62" i="19"/>
  <c r="B155" i="19"/>
  <c r="B31" i="19"/>
  <c r="B40" i="19"/>
  <c r="B58" i="19"/>
  <c r="B57" i="19"/>
  <c r="B150" i="19"/>
  <c r="B51" i="19"/>
  <c r="B59" i="19"/>
  <c r="B152" i="19"/>
  <c r="B52" i="11"/>
  <c r="B52" i="19"/>
  <c r="H8" i="19"/>
  <c r="H101" i="19" s="1"/>
  <c r="B7" i="19"/>
  <c r="B12" i="11"/>
  <c r="B12" i="19"/>
  <c r="B16" i="19"/>
  <c r="B20" i="19"/>
  <c r="B24" i="19"/>
  <c r="B29" i="19"/>
  <c r="B34" i="11"/>
  <c r="B34" i="19"/>
  <c r="B41" i="11"/>
  <c r="B41" i="19"/>
  <c r="B42" i="19"/>
  <c r="B45" i="19"/>
  <c r="B46" i="11"/>
  <c r="B46" i="19"/>
  <c r="B55" i="19"/>
  <c r="B148" i="19"/>
  <c r="B50" i="19"/>
  <c r="B49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7" i="19"/>
  <c r="B21" i="19"/>
  <c r="B26" i="19"/>
  <c r="B28" i="19"/>
  <c r="B32" i="19"/>
  <c r="B33" i="19"/>
  <c r="B37" i="19"/>
  <c r="B38" i="19"/>
  <c r="B39" i="19"/>
  <c r="B54" i="19"/>
  <c r="B147" i="19"/>
  <c r="J8" i="19"/>
  <c r="J101" i="19" s="1"/>
  <c r="N8" i="19"/>
  <c r="N101" i="19" s="1"/>
  <c r="R8" i="19"/>
  <c r="R101" i="19" s="1"/>
  <c r="E3" i="19"/>
  <c r="B14" i="19"/>
  <c r="B18" i="19"/>
  <c r="B22" i="19"/>
  <c r="B27" i="19"/>
  <c r="B61" i="19"/>
  <c r="B154" i="19"/>
  <c r="B30" i="19"/>
  <c r="B35" i="19"/>
  <c r="B36" i="19"/>
  <c r="B43" i="11"/>
  <c r="B43" i="19"/>
  <c r="B44" i="19"/>
  <c r="B48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N8" i="1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29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5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H11" i="1" s="1"/>
  <c r="I31" i="11"/>
  <c r="CM190" i="6"/>
  <c r="CN190" i="6"/>
  <c r="CP190" i="6"/>
  <c r="CQ190" i="6"/>
  <c r="G274" i="2"/>
  <c r="H19" i="1" s="1"/>
  <c r="G273" i="2"/>
  <c r="H15" i="1" s="1"/>
  <c r="G268" i="2"/>
  <c r="D11" i="1" s="1"/>
  <c r="G270" i="2"/>
  <c r="D19" i="1" s="1"/>
  <c r="G244" i="2"/>
  <c r="R8" i="3"/>
  <c r="R8" i="11"/>
  <c r="G269" i="2"/>
  <c r="D15" i="1" s="1"/>
  <c r="I50" i="11"/>
  <c r="J49" i="11"/>
  <c r="J31" i="11"/>
  <c r="I52" i="11"/>
  <c r="J52" i="11"/>
  <c r="I43" i="11"/>
  <c r="DJ262" i="6" l="1"/>
  <c r="S8" i="19"/>
  <c r="G7" i="11"/>
  <c r="S101" i="19"/>
  <c r="T9" i="19"/>
  <c r="T102" i="19" s="1"/>
  <c r="P8" i="3"/>
  <c r="S8" i="3" s="1"/>
  <c r="DH192" i="6"/>
  <c r="P58" i="11"/>
  <c r="Q45" i="11"/>
  <c r="P57" i="11"/>
  <c r="Q36" i="11"/>
  <c r="P34" i="11"/>
  <c r="P23" i="11"/>
  <c r="Q16" i="11"/>
  <c r="P17" i="11"/>
  <c r="Q14" i="11"/>
  <c r="Q56" i="11"/>
  <c r="Q46" i="11"/>
  <c r="Q40" i="11"/>
  <c r="Q5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S59" i="11"/>
  <c r="S63" i="11"/>
  <c r="T63" i="11"/>
  <c r="S62" i="11"/>
  <c r="T58" i="11"/>
  <c r="S58" i="11"/>
  <c r="Q58" i="11"/>
  <c r="S61" i="11"/>
  <c r="T61" i="11"/>
  <c r="CU190" i="6"/>
  <c r="S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S33" i="11"/>
  <c r="S15" i="11"/>
  <c r="T51" i="11"/>
  <c r="S28" i="11"/>
  <c r="T50" i="11"/>
  <c r="S26" i="11"/>
  <c r="S32" i="11"/>
  <c r="T23" i="11"/>
  <c r="T56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T57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45" i="11"/>
  <c r="I48" i="11"/>
  <c r="L27" i="11"/>
  <c r="L18" i="11"/>
  <c r="I18" i="11"/>
  <c r="S36" i="11"/>
  <c r="S51" i="11"/>
  <c r="J18" i="11"/>
  <c r="T36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J27" i="11"/>
  <c r="J33" i="11"/>
  <c r="I28" i="11"/>
  <c r="I33" i="11"/>
  <c r="J51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I21" i="1" l="1"/>
  <c r="I17" i="1"/>
  <c r="I13" i="1"/>
  <c r="M30" i="1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Q57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B7" i="11" s="1"/>
  <c r="Q19" i="11"/>
  <c r="P40" i="11"/>
  <c r="P1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J10" i="11"/>
  <c r="I10" i="11"/>
  <c r="J29" i="11" l="1"/>
  <c r="M29" i="11"/>
  <c r="L29" i="11"/>
  <c r="I29" i="11"/>
  <c r="I53" i="11"/>
  <c r="Q53" i="11"/>
  <c r="P53" i="11"/>
  <c r="P54" i="11"/>
  <c r="CL192" i="6"/>
  <c r="L53" i="11" l="1"/>
  <c r="P64" i="11"/>
  <c r="P59" i="11"/>
  <c r="Q59" i="11"/>
  <c r="J53" i="11"/>
  <c r="S54" i="11"/>
  <c r="Q54" i="11"/>
  <c r="J54" i="11" l="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<sst xmlns="http://schemas.openxmlformats.org/spreadsheetml/2006/main" count="1445" uniqueCount="811">
  <si>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</si>
  <si>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</si>
  <si>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</si>
  <si>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</si>
  <si>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</si>
  <si>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</si>
  <si>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</si>
  <si>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</si>
  <si>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</si>
  <si>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</si>
  <si>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</si>
  <si>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</si>
  <si>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</si>
  <si>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</si>
  <si>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</si>
  <si>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</si>
  <si>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</si>
  <si>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</si>
  <si>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</si>
  <si>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</si>
  <si>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</si>
  <si>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</si>
  <si>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</si>
  <si>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</si>
  <si>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</si>
  <si>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</si>
  <si>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</si>
  <si>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</si>
  <si>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</si>
  <si>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</si>
  <si>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</si>
  <si>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</si>
  <si>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</si>
  <si>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</si>
  <si>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</si>
  <si>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</si>
  <si>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</si>
  <si>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</si>
  <si>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</si>
  <si>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</si>
  <si>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</si>
  <si>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</si>
  <si>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</si>
  <si>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</si>
  <si>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</si>
  <si>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</si>
  <si>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</si>
  <si>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</si>
  <si>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</si>
  <si>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</si>
  <si>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</si>
  <si>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</si>
  <si>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</si>
  <si>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</si>
  <si>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</si>
  <si>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</si>
  <si>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</si>
  <si>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</si>
  <si>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</si>
  <si>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</si>
  <si>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</si>
  <si>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</si>
  <si>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</si>
  <si>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</si>
  <si>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</si>
  <si>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</si>
  <si>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</si>
  <si>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</si>
  <si>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</si>
  <si>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</si>
  <si>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</si>
  <si>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</si>
  <si>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</si>
  <si>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</si>
  <si>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</si>
  <si>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</si>
  <si>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</si>
  <si>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</si>
  <si>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</si>
  <si>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</si>
  <si>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</si>
  <si>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</si>
  <si>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</si>
  <si>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</si>
  <si>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</si>
  <si>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</si>
  <si>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</si>
  <si>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</si>
  <si>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</si>
  <si>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</si>
  <si>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</si>
  <si>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</si>
  <si>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</si>
  <si>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</si>
  <si>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</si>
  <si>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</si>
  <si>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</si>
  <si>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</si>
  <si>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</si>
  <si>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</si>
  <si>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</si>
  <si>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</si>
  <si>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</si>
  <si>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</si>
  <si>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</si>
  <si>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</si>
  <si>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</si>
  <si>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</si>
  <si>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</si>
  <si>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</si>
  <si>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</si>
  <si>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</si>
  <si>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</si>
  <si>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</si>
  <si>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</si>
  <si>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</si>
  <si>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</si>
  <si>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</si>
  <si>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</si>
  <si>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</si>
  <si>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</si>
  <si>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</si>
  <si>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</si>
  <si>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</si>
  <si>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</si>
  <si>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</si>
  <si>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</si>
  <si>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</si>
  <si>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</si>
  <si>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</si>
  <si>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</si>
  <si>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</si>
  <si>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</si>
  <si>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</si>
  <si>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</si>
  <si>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</si>
  <si>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</si>
  <si>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</si>
  <si>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</si>
  <si>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</si>
  <si>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</si>
  <si>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</si>
  <si>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</si>
  <si>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</si>
  <si>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</si>
  <si>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</si>
  <si>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</si>
  <si>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</si>
  <si>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</si>
  <si>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</si>
  <si>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</si>
  <si>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</si>
  <si>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</si>
  <si>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</si>
  <si>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</si>
  <si>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</si>
  <si>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</si>
  <si>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</si>
  <si>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</si>
  <si>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</si>
  <si>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</si>
  <si>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</si>
  <si>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</si>
  <si>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</si>
  <si>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</si>
  <si>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</si>
  <si>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</si>
  <si>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</si>
  <si>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</si>
  <si>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</si>
  <si>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</si>
  <si>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</si>
  <si>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</si>
  <si>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</si>
  <si>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</si>
  <si>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</si>
  <si>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</si>
  <si>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</si>
  <si>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</si>
  <si>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</si>
  <si>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</si>
  <si>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</si>
  <si>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</si>
  <si>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</si>
  <si>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</si>
  <si>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</si>
  <si>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</si>
  <si>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</si>
  <si>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</si>
  <si>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</si>
  <si>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</si>
  <si>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</si>
  <si>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</si>
  <si>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</si>
  <si>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</si>
  <si>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</si>
  <si>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</si>
  <si>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</si>
  <si>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</si>
  <si>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</si>
  <si>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</si>
  <si>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</si>
  <si>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</si>
  <si>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</si>
  <si>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</si>
  <si>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</si>
  <si>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</si>
  <si>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</si>
  <si>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</si>
  <si>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</si>
  <si>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</si>
  <si>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</si>
  <si>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</si>
  <si>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</si>
  <si>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</si>
  <si>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</si>
  <si>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</si>
  <si>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</si>
  <si>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</si>
  <si>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</si>
  <si>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</si>
  <si>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</si>
  <si>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</si>
  <si>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</si>
  <si>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</si>
  <si>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</si>
  <si>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</si>
  <si>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</si>
  <si>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</si>
  <si>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</si>
  <si>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</si>
  <si>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</si>
  <si>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</si>
  <si>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</si>
  <si>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</si>
  <si>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</si>
  <si>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</si>
  <si>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</si>
  <si>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</si>
  <si>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</si>
  <si>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</si>
  <si>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</si>
  <si>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</si>
  <si>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</si>
  <si>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</si>
  <si>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</si>
  <si>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</si>
  <si>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</si>
  <si>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</si>
  <si>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</si>
  <si>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</si>
  <si>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</si>
  <si>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</si>
  <si>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</si>
  <si>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</si>
  <si>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</si>
  <si>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</si>
  <si>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</si>
  <si>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</si>
  <si>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</si>
  <si>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</si>
  <si>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</si>
  <si>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</si>
  <si>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</si>
  <si>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</si>
  <si>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</si>
  <si>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</si>
  <si>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</si>
  <si>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</si>
  <si>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</si>
  <si>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</si>
  <si>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</si>
  <si>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</si>
  <si>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</si>
  <si>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</si>
  <si>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</si>
  <si>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</si>
  <si>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</si>
  <si>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</si>
  <si>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</si>
  <si>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</si>
  <si>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</si>
  <si>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</si>
  <si>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</si>
  <si>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</si>
  <si>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</si>
  <si>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</si>
  <si>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</si>
  <si>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</si>
  <si>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</si>
  <si>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</si>
  <si>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</si>
  <si>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</si>
  <si>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</si>
  <si>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</si>
  <si>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</si>
  <si>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</si>
  <si>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</si>
  <si>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</si>
  <si>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</si>
  <si>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</si>
  <si>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</si>
  <si>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</si>
  <si>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</si>
  <si>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</si>
  <si>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</si>
  <si>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</si>
  <si>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</si>
  <si>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</si>
  <si>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</si>
  <si>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</si>
  <si>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</si>
  <si>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</si>
  <si>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</si>
  <si>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</si>
  <si>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</si>
  <si>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</si>
  <si>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</si>
  <si>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</si>
  <si>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</si>
  <si>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</si>
  <si>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</si>
  <si>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</si>
  <si>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</si>
  <si>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</si>
  <si>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</si>
  <si>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</si>
  <si>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</si>
  <si>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</si>
  <si>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</si>
  <si>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</si>
  <si>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</si>
  <si>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</si>
  <si>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</si>
  <si>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</si>
  <si>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</si>
  <si>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</si>
  <si>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</si>
  <si>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</si>
  <si>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</si>
  <si>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</si>
  <si>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</si>
  <si>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</si>
  <si>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</si>
  <si>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</si>
  <si>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</si>
  <si>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</si>
  <si>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</si>
  <si>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</si>
  <si>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</si>
  <si>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</si>
  <si>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</si>
  <si>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</si>
  <si>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</si>
  <si>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</si>
  <si>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</si>
  <si>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</si>
  <si>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</si>
  <si>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</si>
  <si>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</si>
  <si>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</si>
  <si>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</si>
  <si>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</si>
  <si>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</si>
  <si>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</si>
  <si>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</si>
  <si>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</si>
  <si>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</si>
  <si>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</si>
  <si>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</si>
  <si>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</si>
  <si>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</si>
  <si>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</si>
  <si>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</si>
  <si>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</si>
  <si>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</si>
  <si>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</si>
  <si>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</si>
  <si>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</si>
  <si>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</si>
  <si>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</si>
  <si>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</si>
  <si>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</si>
  <si>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</si>
  <si>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</si>
  <si>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</si>
  <si>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</si>
  <si>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</si>
  <si>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</si>
  <si>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</si>
  <si>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</si>
  <si>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</si>
  <si>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</si>
  <si>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</si>
  <si>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</si>
  <si>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</si>
  <si>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</si>
  <si>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</si>
  <si>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</si>
  <si>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</si>
  <si>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</si>
  <si>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</si>
  <si>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</si>
  <si>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</si>
  <si>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</si>
  <si>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</si>
  <si>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</si>
  <si>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</si>
  <si>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</si>
  <si>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</si>
  <si>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</si>
  <si>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</si>
  <si>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</si>
  <si>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</si>
  <si>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</si>
  <si>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</si>
  <si>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</si>
  <si>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</si>
  <si>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</si>
  <si>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</si>
  <si>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</si>
  <si>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</si>
  <si>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</si>
  <si>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</si>
  <si>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</si>
  <si>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</si>
  <si>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</si>
  <si>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</si>
  <si>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</si>
  <si>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</si>
  <si>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</si>
  <si>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</si>
  <si>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</si>
  <si>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</si>
  <si>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</si>
  <si>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</si>
  <si>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</si>
  <si>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</si>
  <si>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</si>
  <si>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</si>
  <si>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</si>
  <si>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</si>
  <si>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</si>
  <si>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</si>
  <si>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</si>
  <si>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</si>
  <si>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</si>
  <si>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</si>
  <si>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</si>
  <si>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</si>
  <si>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</si>
  <si>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</si>
  <si>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</si>
  <si>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</si>
  <si>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</si>
  <si>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</si>
  <si>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</si>
  <si>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</si>
  <si>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</si>
  <si>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</si>
  <si>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</si>
  <si>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</si>
  <si>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</si>
  <si>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</si>
  <si>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</si>
  <si>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</si>
  <si>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</si>
  <si>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</si>
  <si>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</si>
  <si>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</si>
  <si>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</si>
  <si>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</si>
  <si>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</si>
  <si>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</si>
  <si>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</si>
  <si>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</si>
  <si>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</si>
  <si>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</si>
  <si>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</si>
  <si>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</si>
  <si>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</si>
  <si>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</si>
  <si>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</si>
  <si>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</si>
  <si>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</si>
  <si>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</si>
  <si>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</si>
  <si>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</si>
  <si>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</si>
  <si>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</si>
  <si>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</si>
  <si>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</si>
  <si>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</si>
  <si>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</si>
  <si>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</si>
  <si>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</si>
  <si>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</si>
  <si>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</si>
  <si>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</si>
  <si>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</si>
  <si>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</si>
  <si>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</si>
  <si>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</si>
  <si>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</si>
  <si>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</si>
  <si>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</si>
  <si>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</si>
  <si>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</si>
  <si>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</si>
  <si>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</si>
  <si>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</si>
  <si>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</si>
  <si>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</si>
  <si>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</si>
  <si>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</si>
  <si>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</si>
  <si>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</si>
  <si>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</si>
  <si>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</si>
  <si>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</si>
  <si>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</si>
  <si>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</si>
  <si>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</si>
  <si>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</si>
  <si>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</si>
  <si>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</si>
  <si>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</si>
  <si>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</si>
  <si>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</si>
  <si>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</si>
  <si>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</si>
  <si>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</si>
  <si>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</si>
  <si>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</si>
  <si>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</si>
  <si>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</si>
  <si>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</si>
  <si>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</si>
  <si>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</si>
  <si>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</si>
  <si>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</si>
  <si>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</si>
  <si>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</si>
  <si>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</si>
  <si>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</si>
  <si>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</si>
  <si>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</si>
  <si>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</si>
  <si>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</si>
  <si>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</si>
  <si>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</si>
  <si>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</si>
  <si>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</si>
  <si>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</si>
  <si>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</si>
  <si>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</si>
  <si>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</si>
  <si>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</si>
  <si>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</si>
  <si>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</si>
  <si>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</si>
  <si>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</si>
  <si>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</si>
  <si>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</si>
  <si>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</si>
  <si>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</si>
  <si>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</si>
  <si>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</si>
  <si>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</si>
  <si>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</si>
  <si>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</si>
  <si>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</si>
  <si>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</si>
  <si>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</si>
  <si>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</si>
  <si>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</si>
  <si>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</si>
  <si>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</si>
  <si>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</si>
  <si>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</si>
  <si>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</si>
  <si>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</si>
  <si>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</si>
  <si>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</si>
  <si>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</si>
  <si>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</si>
  <si>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</si>
  <si>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</si>
  <si>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</si>
  <si>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</si>
  <si>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</si>
  <si>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</si>
  <si>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</si>
  <si>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</si>
  <si>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</si>
  <si>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</si>
  <si>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</si>
  <si>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</si>
  <si>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</si>
  <si>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</si>
  <si>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</si>
  <si>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</si>
  <si>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</si>
  <si>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</si>
  <si>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</si>
  <si>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</si>
  <si>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</si>
  <si>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</si>
  <si>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</si>
  <si>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</si>
  <si>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</si>
  <si>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</si>
  <si>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</si>
  <si>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</si>
  <si>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</si>
  <si>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</si>
  <si>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</si>
  <si>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</si>
  <si>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</si>
  <si>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</si>
  <si>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</si>
  <si>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</si>
  <si>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</si>
  <si>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</si>
  <si>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</si>
  <si>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</si>
  <si>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</si>
  <si>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</si>
  <si>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</si>
  <si>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</si>
  <si>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</si>
  <si>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</si>
  <si>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</si>
  <si>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</si>
  <si>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</si>
  <si>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</si>
  <si>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</si>
  <si>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</si>
  <si>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</si>
  <si>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</si>
  <si>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</si>
  <si>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</si>
  <si>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</si>
  <si>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</si>
  <si>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</si>
  <si>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</si>
  <si>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</si>
  <si>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</si>
  <si>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</si>
  <si>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</si>
  <si>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</si>
  <si>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</si>
  <si>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</si>
  <si>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</si>
  <si>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</si>
  <si>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</si>
  <si>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</si>
  <si>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</si>
  <si>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</si>
  <si>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</si>
  <si>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</si>
  <si>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</si>
  <si>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</si>
  <si>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</si>
  <si>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</si>
  <si>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</si>
  <si>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</si>
  <si>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</si>
  <si>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</si>
  <si>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</si>
  <si>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</si>
  <si>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</si>
  <si>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</si>
  <si>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</si>
  <si>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</si>
  <si>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</si>
  <si>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</si>
  <si>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</si>
  <si>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</si>
  <si>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</si>
  <si>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</si>
  <si>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</si>
  <si>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</si>
  <si>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</si>
  <si>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</si>
  <si>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</si>
  <si>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</si>
  <si>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</si>
  <si>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</si>
  <si>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</si>
  <si>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</si>
  <si>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</si>
  <si>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</si>
  <si>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</si>
  <si>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</si>
  <si>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</si>
  <si>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</si>
  <si>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</si>
  <si>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</si>
  <si>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</si>
  <si>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</si>
  <si>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</si>
  <si>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</si>
  <si>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</si>
  <si>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</si>
  <si>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</si>
  <si>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</si>
  <si>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</si>
  <si>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</si>
  <si>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</si>
  <si>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</si>
  <si>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</si>
  <si>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</si>
  <si>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</si>
  <si>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</si>
  <si>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</si>
  <si>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</si>
  <si>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</si>
  <si>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</si>
  <si>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</si>
  <si>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</si>
  <si>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</si>
  <si>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</si>
  <si>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</si>
  <si>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</si>
  <si>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</si>
  <si>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</si>
  <si>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</si>
  <si>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</si>
  <si>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</si>
  <si>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</si>
  <si>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</si>
  <si>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</si>
  <si>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</si>
  <si>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</si>
  <si>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</si>
  <si>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</si>
  <si>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</si>
  <si>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</si>
  <si>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</si>
  <si>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</si>
  <si>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</si>
  <si>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</si>
  <si>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</si>
  <si>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</si>
  <si>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</si>
  <si>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</si>
  <si>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</si>
  <si>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</si>
  <si>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</si>
  <si>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</si>
  <si>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</si>
  <si>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</si>
  <si>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</si>
  <si>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</si>
  <si>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</si>
  <si>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</si>
  <si>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</si>
  <si>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</si>
  <si>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</si>
  <si>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</si>
  <si>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</si>
  <si>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</si>
  <si>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</si>
  <si>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</si>
  <si>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</si>
  <si>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</si>
  <si>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</si>
  <si>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</si>
  <si>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</si>
  <si>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</si>
  <si>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</si>
  <si>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</si>
  <si>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</si>
  <si>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</si>
  <si>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</si>
  <si>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</si>
  <si>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</si>
  <si>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</si>
  <si>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</si>
  <si>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</si>
  <si>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</si>
  <si>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</si>
  <si>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</si>
  <si>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</si>
  <si>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</si>
  <si>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</si>
  <si>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</si>
  <si>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</si>
  <si>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</si>
  <si>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</si>
  <si>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</si>
  <si>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</si>
  <si>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</si>
  <si>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</si>
  <si>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</si>
  <si>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</si>
  <si>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</si>
  <si>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Izdaci</t>
  </si>
  <si>
    <t>Primarni suficit/deficit</t>
  </si>
  <si>
    <t>Primary surplus/deficit</t>
  </si>
  <si>
    <t>Otplata obaveza iz prethodnog perioda</t>
  </si>
  <si>
    <t>Repayments of liabilities form the previous period</t>
  </si>
  <si>
    <t>162,784,38 </t>
  </si>
  <si>
    <t>164,923,78 </t>
  </si>
  <si>
    <t>301,562,06 </t>
  </si>
  <si>
    <t>473,691,07 </t>
  </si>
  <si>
    <t>Ost pr iz ob soc,zaš</t>
  </si>
  <si>
    <t>....</t>
  </si>
  <si>
    <t>.....</t>
  </si>
  <si>
    <t>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</si>
</sst>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9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6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7" fillId="0" borderId="0" xfId="0" applyNumberFormat="1" applyFont="1"/>
    <xf numFmtId="4" fontId="76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167" fontId="27" fillId="41" borderId="46" xfId="1" applyNumberFormat="1" applyFont="1" applyFill="1" applyBorder="1" applyAlignment="1" applyProtection="1">
      <alignment horizontal="center"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  <xf numFmtId="166" fontId="6" fillId="2" borderId="4" xfId="0" applyNumberFormat="1" applyFont="1" applyFill="1" applyBorder="1" applyAlignment="1">
      <alignment horizontal="center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730592"/>
        <c:axId val="2057740928"/>
      </c:lineChart>
      <c:catAx>
        <c:axId val="2057730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2057740928"/>
        <c:crosses val="autoZero"/>
        <c:auto val="1"/>
        <c:lblAlgn val="ctr"/>
        <c:lblOffset val="100"/>
        <c:tickLblSkip val="3"/>
        <c:noMultiLvlLbl val="0"/>
      </c:catAx>
      <c:valAx>
        <c:axId val="2057740928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2057730592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727328"/>
        <c:axId val="2057737664"/>
      </c:lineChart>
      <c:catAx>
        <c:axId val="205772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2057737664"/>
        <c:crosses val="autoZero"/>
        <c:auto val="1"/>
        <c:lblAlgn val="ctr"/>
        <c:lblOffset val="100"/>
        <c:tickLblSkip val="3"/>
        <c:noMultiLvlLbl val="0"/>
      </c:catAx>
      <c:valAx>
        <c:axId val="2057737664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205772732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jun 2020. godine iznosili su 747,8 mil.€ ili 16,2% BDP-a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 veći su za 3,2 mil.€ ili 0,4% u odnosu na plan. U odnosu na isti period prethodne godine prihodi su manji za 76,3 mil.€ ili 9,3%.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jun 2020. godine iznosili su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954,4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20,7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BDP-a i veći su za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66,4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 € ili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7,5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u odnosu na isti period prethodne godine. U odnosu na planirane, izdaci su manji za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17,2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mil.€ ili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1,8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%. U periodu januar - jun 2020.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206,6 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4,5%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vremenskog usklađivanja, dok su ostale stavke prikazane na gotovinskoj osnovi.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Latn-M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Ostale napomene: Plan primitaka i izdataka budžeta revidiran je shodno Zakonu o izmjenama i dopunama zakona o budžetu za 2020. godinu (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+mn-cs"/>
            </a:rPr>
            <a:t>"Sl.list CG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+mn-cs"/>
            </a:rPr>
            <a:t>, br: 61/2020).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8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7</xdr:col>
      <xdr:colOff>438151</xdr:colOff>
      <xdr:row>1</xdr:row>
      <xdr:rowOff>122092</xdr:rowOff>
    </xdr:from>
    <xdr:to>
      <xdr:col>10</xdr:col>
      <xdr:colOff>202623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10</xdr:col>
      <xdr:colOff>644238</xdr:colOff>
      <xdr:row>1</xdr:row>
      <xdr:rowOff>182706</xdr:rowOff>
    </xdr:from>
    <xdr:to>
      <xdr:col>12</xdr:col>
      <xdr:colOff>765303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13</xdr:col>
      <xdr:colOff>237260</xdr:colOff>
      <xdr:row>1</xdr:row>
      <xdr:rowOff>174048</xdr:rowOff>
    </xdr:from>
    <xdr:to>
      <xdr:col>15</xdr:col>
      <xdr:colOff>444916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706583</xdr:colOff>
      <xdr:row>1</xdr:row>
      <xdr:rowOff>176646</xdr:rowOff>
    </xdr:from>
    <xdr:to>
      <xdr:col>17</xdr:col>
      <xdr:colOff>862284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28575</xdr:colOff>
      <xdr:row>2</xdr:row>
      <xdr:rowOff>123824</xdr:rowOff>
    </xdr:from>
    <xdr:to>
      <xdr:col>10</xdr:col>
      <xdr:colOff>248285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10</xdr:col>
      <xdr:colOff>552450</xdr:colOff>
      <xdr:row>2</xdr:row>
      <xdr:rowOff>123824</xdr:rowOff>
    </xdr:from>
    <xdr:to>
      <xdr:col>13</xdr:col>
      <xdr:colOff>302260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619125</xdr:colOff>
      <xdr:row>3</xdr:row>
      <xdr:rowOff>28575</xdr:rowOff>
    </xdr:from>
    <xdr:to>
      <xdr:col>15</xdr:col>
      <xdr:colOff>476568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16</xdr:col>
      <xdr:colOff>47625</xdr:colOff>
      <xdr:row>3</xdr:row>
      <xdr:rowOff>9525</xdr:rowOff>
    </xdr:from>
    <xdr:to>
      <xdr:col>17</xdr:col>
      <xdr:colOff>619443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466725</xdr:colOff>
      <xdr:row>2</xdr:row>
      <xdr:rowOff>76200</xdr:rowOff>
    </xdr:from>
    <xdr:to>
      <xdr:col>10</xdr:col>
      <xdr:colOff>686435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409575</xdr:colOff>
      <xdr:row>2</xdr:row>
      <xdr:rowOff>152400</xdr:rowOff>
    </xdr:from>
    <xdr:to>
      <xdr:col>13</xdr:col>
      <xdr:colOff>267018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628650</xdr:colOff>
      <xdr:row>2</xdr:row>
      <xdr:rowOff>161925</xdr:rowOff>
    </xdr:from>
    <xdr:to>
      <xdr:col>15</xdr:col>
      <xdr:colOff>486093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581025</xdr:colOff>
      <xdr:row>2</xdr:row>
      <xdr:rowOff>66674</xdr:rowOff>
    </xdr:from>
    <xdr:to>
      <xdr:col>11</xdr:col>
      <xdr:colOff>86360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523875</xdr:colOff>
      <xdr:row>2</xdr:row>
      <xdr:rowOff>161925</xdr:rowOff>
    </xdr:from>
    <xdr:to>
      <xdr:col>13</xdr:col>
      <xdr:colOff>381318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14</xdr:col>
      <xdr:colOff>57150</xdr:colOff>
      <xdr:row>2</xdr:row>
      <xdr:rowOff>171450</xdr:rowOff>
    </xdr:from>
    <xdr:to>
      <xdr:col>15</xdr:col>
      <xdr:colOff>628968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183</xdr:col>
      <xdr:colOff>219075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.minic/Desktop/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0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0</v>
          </cell>
          <cell r="ER49">
            <v>0</v>
          </cell>
          <cell r="ES49">
            <v>0</v>
          </cell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8784836.1999999993</v>
          </cell>
          <cell r="FL49">
            <v>0</v>
          </cell>
          <cell r="FM49">
            <v>0</v>
          </cell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>
            <v>0</v>
          </cell>
          <cell r="EZ51">
            <v>18000000</v>
          </cell>
          <cell r="FA51">
            <v>59000000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18000000</v>
          </cell>
          <cell r="FG51">
            <v>54000000</v>
          </cell>
          <cell r="FH51">
            <v>0</v>
          </cell>
          <cell r="FI51">
            <v>74623000</v>
          </cell>
          <cell r="FJ51">
            <v>67815000</v>
          </cell>
          <cell r="FK51">
            <v>0</v>
          </cell>
          <cell r="FL51">
            <v>18000000</v>
          </cell>
          <cell r="FM51">
            <v>54000000</v>
          </cell>
          <cell r="FN51">
            <v>0</v>
          </cell>
          <cell r="FO51">
            <v>0</v>
          </cell>
          <cell r="FP51">
            <v>47000000</v>
          </cell>
          <cell r="FQ51">
            <v>30000000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160221133.53999999</v>
          </cell>
          <cell r="ER52">
            <v>163344901.65000001</v>
          </cell>
          <cell r="ES52">
            <v>0</v>
          </cell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53180290.399999999</v>
          </cell>
          <cell r="ER53">
            <v>57739544.189999998</v>
          </cell>
          <cell r="ES53">
            <v>0</v>
          </cell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>
            <v>0</v>
          </cell>
          <cell r="EZ111">
            <v>0</v>
          </cell>
          <cell r="FA111">
            <v>47052428.659999996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>
            <v>0</v>
          </cell>
          <cell r="FG142">
            <v>16553117.15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>
            <v>0</v>
          </cell>
          <cell r="FG152">
            <v>2077471.58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68939595.359999999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305701.3</v>
          </cell>
          <cell r="FF168">
            <v>0</v>
          </cell>
          <cell r="FG168">
            <v>35272.089999999997</v>
          </cell>
          <cell r="FH168">
            <v>0</v>
          </cell>
          <cell r="FI168">
            <v>39948396.369999997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14495201.140000001</v>
          </cell>
          <cell r="FQ168">
            <v>2849828.78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>
            <v>0</v>
          </cell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80000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>
            <v>0</v>
          </cell>
          <cell r="EZ177">
            <v>0</v>
          </cell>
          <cell r="FA177">
            <v>40542466.609999999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>
            <v>0</v>
          </cell>
          <cell r="EZ178">
            <v>0</v>
          </cell>
          <cell r="FA178">
            <v>39580105.140000001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2253720.0299999998</v>
          </cell>
          <cell r="FG181">
            <v>494.04</v>
          </cell>
          <cell r="FH181">
            <v>7180485.3399999999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29250000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>
            <v>0</v>
          </cell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5000</v>
          </cell>
          <cell r="EI186">
            <v>25400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-15133946.66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13993228.51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28097590.27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>
            <v>0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>
            <v>0</v>
          </cell>
          <cell r="B238">
            <v>0</v>
          </cell>
          <cell r="C238">
            <v>714</v>
          </cell>
          <cell r="D238" t="str">
            <v>714p</v>
          </cell>
          <cell r="E238" t="str">
            <v>Naknade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>
            <v>0</v>
          </cell>
        </row>
        <row r="239">
          <cell r="D239" t="str">
            <v>7141p</v>
          </cell>
          <cell r="E239" t="str">
            <v>Naknade za korišćenje dobara od opšteg interesa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>
            <v>0</v>
          </cell>
          <cell r="B245">
            <v>0</v>
          </cell>
          <cell r="C245">
            <v>715</v>
          </cell>
          <cell r="D245" t="str">
            <v>715p</v>
          </cell>
          <cell r="E245" t="str">
            <v>Ostali prihodi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>
            <v>0</v>
          </cell>
        </row>
        <row r="246">
          <cell r="D246" t="str">
            <v>7151p</v>
          </cell>
          <cell r="E246" t="str">
            <v>Prihodi od kapitala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>
            <v>0</v>
          </cell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</row>
        <row r="253">
          <cell r="A253">
            <v>0</v>
          </cell>
          <cell r="B253">
            <v>73</v>
          </cell>
          <cell r="C253">
            <v>0</v>
          </cell>
          <cell r="D253" t="str">
            <v>73p</v>
          </cell>
          <cell r="E253" t="str">
            <v>Primici od otplate kredita i sredstva prenesena iz prethodne godine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</row>
        <row r="256">
          <cell r="A256">
            <v>0</v>
          </cell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</row>
        <row r="260">
          <cell r="A260">
            <v>0</v>
          </cell>
          <cell r="B260">
            <v>0</v>
          </cell>
          <cell r="C260">
            <v>751</v>
          </cell>
          <cell r="D260" t="str">
            <v>751p</v>
          </cell>
          <cell r="E260" t="str">
            <v>Pozajmice i krediti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133231658.01000001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>
            <v>0</v>
          </cell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52652196.172500007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>
            <v>0</v>
          </cell>
        </row>
        <row r="265">
          <cell r="A265">
            <v>0</v>
          </cell>
          <cell r="B265">
            <v>0</v>
          </cell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</row>
        <row r="267">
          <cell r="D267" t="str">
            <v>4112p</v>
          </cell>
          <cell r="E267" t="str">
            <v>Porez na zarade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</row>
        <row r="268">
          <cell r="D268" t="str">
            <v>4113p</v>
          </cell>
          <cell r="E268" t="str">
            <v>Doprinosi na teret zaposlenog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</row>
        <row r="269">
          <cell r="D269" t="str">
            <v>4114p</v>
          </cell>
          <cell r="E269" t="str">
            <v>Doprinosi na teret poslodavca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</row>
        <row r="270">
          <cell r="D270" t="str">
            <v>4115p</v>
          </cell>
          <cell r="E270" t="str">
            <v>Opštinski prirez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</row>
        <row r="271">
          <cell r="A271">
            <v>0</v>
          </cell>
          <cell r="B271">
            <v>0</v>
          </cell>
          <cell r="C271">
            <v>412</v>
          </cell>
          <cell r="D271" t="str">
            <v>412p</v>
          </cell>
          <cell r="E271" t="str">
            <v>Ostala lična primanja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4122p</v>
          </cell>
          <cell r="E273" t="str">
            <v>Naknada za stanovanje i odvojen život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4123p</v>
          </cell>
          <cell r="E274" t="str">
            <v>Naknada za prevoz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4124p</v>
          </cell>
          <cell r="E275" t="str">
            <v>Jubilarne nagrade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4125p</v>
          </cell>
          <cell r="E276" t="str">
            <v>Otpremnine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D277" t="str">
            <v>4126p</v>
          </cell>
          <cell r="E277" t="str">
            <v>Naknada skupstinskim poslanicima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</row>
        <row r="278">
          <cell r="D278" t="str">
            <v>4127p</v>
          </cell>
          <cell r="E278" t="str">
            <v>Ostale naknade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A279">
            <v>0</v>
          </cell>
          <cell r="B279">
            <v>0</v>
          </cell>
          <cell r="C279">
            <v>413</v>
          </cell>
          <cell r="D279" t="str">
            <v>413p</v>
          </cell>
          <cell r="E279" t="str">
            <v>Rashodi za materijal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4132p</v>
          </cell>
          <cell r="E281" t="str">
            <v>Materijal za zdravstvenu zaštitu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4133p</v>
          </cell>
          <cell r="E282" t="str">
            <v>Materijal za posebne namjene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4134p</v>
          </cell>
          <cell r="E283" t="str">
            <v>Rashodi za energiju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4135p</v>
          </cell>
          <cell r="E284" t="str">
            <v>Rashodi za gorivo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D285" t="str">
            <v>4139p</v>
          </cell>
          <cell r="E285" t="str">
            <v>Ostali 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</row>
        <row r="286">
          <cell r="A286">
            <v>0</v>
          </cell>
          <cell r="B286">
            <v>0</v>
          </cell>
          <cell r="C286">
            <v>414</v>
          </cell>
          <cell r="D286" t="str">
            <v>414p</v>
          </cell>
          <cell r="E286" t="str">
            <v>Rashodi za usluge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4142p</v>
          </cell>
          <cell r="E288" t="str">
            <v>Reprezentacija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4143p</v>
          </cell>
          <cell r="E289" t="str">
            <v>Komunikacione usluge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4144p</v>
          </cell>
          <cell r="E290" t="str">
            <v>Bankarske usluge i negativne kursne razlike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4145p</v>
          </cell>
          <cell r="E291" t="str">
            <v>Usluge prevoza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D292" t="str">
            <v>4146p</v>
          </cell>
          <cell r="E292" t="str">
            <v>Advokatske, notarske i pravne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</row>
        <row r="293">
          <cell r="D293" t="str">
            <v>4147p</v>
          </cell>
          <cell r="E293" t="str">
            <v>Konsultantske usluge, projekti i studije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4148p</v>
          </cell>
          <cell r="E294" t="str">
            <v>Usluge stručnog usavršavanja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4149p</v>
          </cell>
          <cell r="E295" t="str">
            <v>Ostale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A296">
            <v>0</v>
          </cell>
          <cell r="B296">
            <v>0</v>
          </cell>
          <cell r="C296">
            <v>415</v>
          </cell>
          <cell r="D296" t="str">
            <v>415p</v>
          </cell>
          <cell r="E296" t="str">
            <v>Rashodi za tekuće održavanje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4152p</v>
          </cell>
          <cell r="E298" t="str">
            <v>Tekuće održavanje građevinskih objekata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4153p</v>
          </cell>
          <cell r="E299" t="str">
            <v>Tekuće održavanje opreme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A300">
            <v>0</v>
          </cell>
          <cell r="B300">
            <v>0</v>
          </cell>
          <cell r="C300">
            <v>416</v>
          </cell>
          <cell r="D300" t="str">
            <v>416p</v>
          </cell>
          <cell r="E300" t="str">
            <v>Kamate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D302" t="str">
            <v>4162p</v>
          </cell>
          <cell r="E302" t="str">
            <v>Kamate nerezidentima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</row>
        <row r="303">
          <cell r="A303">
            <v>0</v>
          </cell>
          <cell r="B303">
            <v>0</v>
          </cell>
          <cell r="C303">
            <v>417</v>
          </cell>
          <cell r="D303" t="str">
            <v>417p</v>
          </cell>
          <cell r="E303" t="str">
            <v>Renta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4172p</v>
          </cell>
          <cell r="E305" t="str">
            <v>Zakup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D306" t="str">
            <v>4173p</v>
          </cell>
          <cell r="E306" t="str">
            <v>Zakup zemljišta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</row>
        <row r="307">
          <cell r="A307">
            <v>0</v>
          </cell>
          <cell r="B307">
            <v>0</v>
          </cell>
          <cell r="C307">
            <v>418</v>
          </cell>
          <cell r="D307" t="str">
            <v>418p</v>
          </cell>
          <cell r="E307" t="str">
            <v>Subvencije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D309" t="str">
            <v>4182p</v>
          </cell>
          <cell r="E309" t="str">
            <v>Izvozne subvencije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</row>
        <row r="310">
          <cell r="D310" t="str">
            <v>4183p</v>
          </cell>
          <cell r="E310" t="str">
            <v>Uvozne subvencije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A311">
            <v>0</v>
          </cell>
          <cell r="B311">
            <v>0</v>
          </cell>
          <cell r="C311">
            <v>419</v>
          </cell>
          <cell r="D311" t="str">
            <v>419p</v>
          </cell>
          <cell r="E311" t="str">
            <v>Ostali izdaci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D313" t="str">
            <v>4192p</v>
          </cell>
          <cell r="E313" t="str">
            <v>Izdaci po osnovu troškova sudskih postupaka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</row>
        <row r="314">
          <cell r="D314" t="str">
            <v>4193p</v>
          </cell>
          <cell r="E314" t="str">
            <v>Izrada i održavanje softvera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4194p</v>
          </cell>
          <cell r="E315" t="str">
            <v>Osiguranje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4195p</v>
          </cell>
          <cell r="E316" t="str">
            <v>Kontribucije za članstvo u domaćim i međunarodnim organizacijama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D317" t="str">
            <v>4196p</v>
          </cell>
          <cell r="E317" t="str">
            <v>Komunalne naknade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</row>
        <row r="318">
          <cell r="D318" t="str">
            <v>4197p</v>
          </cell>
          <cell r="E318" t="str">
            <v>Kazne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4198p</v>
          </cell>
          <cell r="E319" t="str">
            <v>Takse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4199p</v>
          </cell>
          <cell r="E320" t="str">
            <v>Ostalo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A321">
            <v>0</v>
          </cell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>
            <v>0</v>
          </cell>
          <cell r="B322">
            <v>0</v>
          </cell>
          <cell r="C322">
            <v>421</v>
          </cell>
          <cell r="D322" t="str">
            <v>421p</v>
          </cell>
          <cell r="E322" t="str">
            <v>Prava iz oblasti socijalne zaštite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4212p</v>
          </cell>
          <cell r="E324" t="str">
            <v>Boračko invalidska zaštita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4213p</v>
          </cell>
          <cell r="E325" t="str">
            <v>Materijalno obezbjeđenje porodice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4214p</v>
          </cell>
          <cell r="E326" t="str">
            <v>Porodiljska odsustva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D327" t="str">
            <v>4215p</v>
          </cell>
          <cell r="E327" t="str">
            <v>Tuđa njega i pomoć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</row>
        <row r="328">
          <cell r="D328" t="str">
            <v>4216p</v>
          </cell>
          <cell r="E328" t="str">
            <v>Ishrana djece u predškolskim ustanovama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</row>
        <row r="329">
          <cell r="D329" t="str">
            <v>4217p</v>
          </cell>
          <cell r="E329" t="str">
            <v>Izdržavanje štićenika u domovima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A330">
            <v>0</v>
          </cell>
          <cell r="B330">
            <v>0</v>
          </cell>
          <cell r="C330">
            <v>422</v>
          </cell>
          <cell r="D330" t="str">
            <v>422p</v>
          </cell>
          <cell r="E330" t="str">
            <v>Sredstva za tehnološke viškove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4222p</v>
          </cell>
          <cell r="E332" t="str">
            <v>Otpremnine za tehnološke viškove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4223p</v>
          </cell>
          <cell r="E333" t="str">
            <v>Dokup staža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4224p</v>
          </cell>
          <cell r="E334" t="str">
            <v>Naknade nezaposlenim licima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4225p</v>
          </cell>
          <cell r="E335" t="str">
            <v>Ostalo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4232p</v>
          </cell>
          <cell r="E338" t="str">
            <v>Invalidska penzija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4233p</v>
          </cell>
          <cell r="E339" t="str">
            <v>Porodična penzija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4234p</v>
          </cell>
          <cell r="E340" t="str">
            <v>Naknade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4235p</v>
          </cell>
          <cell r="E341" t="str">
            <v>Dodaci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D342" t="str">
            <v>4236p</v>
          </cell>
          <cell r="E342" t="str">
            <v>Ostala prava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</row>
        <row r="343">
          <cell r="D343" t="str">
            <v>4237p</v>
          </cell>
          <cell r="E343" t="str">
            <v>Doprinos za zdravstvenu zaštitu penzionera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A344">
            <v>0</v>
          </cell>
          <cell r="B344">
            <v>0</v>
          </cell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A346">
            <v>0</v>
          </cell>
          <cell r="B346">
            <v>0</v>
          </cell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4252p</v>
          </cell>
          <cell r="E348" t="str">
            <v>Naknade za bolovanje preko 60 dana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4253p</v>
          </cell>
          <cell r="E349" t="str">
            <v>Naknade za putne troškove osiguranika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FF349">
            <v>0</v>
          </cell>
        </row>
        <row r="350">
          <cell r="A350" t="str">
            <v xml:space="preserve"> </v>
          </cell>
          <cell r="B350">
            <v>43</v>
          </cell>
          <cell r="C350">
            <v>0</v>
          </cell>
          <cell r="D350" t="str">
            <v>43p</v>
          </cell>
          <cell r="E350" t="str">
            <v xml:space="preserve">Transferi institucijama, pojedincima, nevladinom i javnom sektoru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</row>
        <row r="353">
          <cell r="D353" t="str">
            <v>4312p</v>
          </cell>
          <cell r="E353" t="str">
            <v>Transferi obrazovanju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4313p</v>
          </cell>
          <cell r="E354" t="str">
            <v>Transferi institucijama kulture i sporta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4314p</v>
          </cell>
          <cell r="E355" t="str">
            <v>Transferi nevladinim organizacijama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D356" t="str">
            <v>4315p</v>
          </cell>
          <cell r="E356" t="str">
            <v>Transferi političkim partijama, strankama i udruženjima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</row>
        <row r="357">
          <cell r="D357" t="str">
            <v>4316p</v>
          </cell>
          <cell r="E357" t="str">
            <v>Transferi za jednokratne socijalne pomoći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</row>
        <row r="358">
          <cell r="D358" t="str">
            <v>4317p</v>
          </cell>
          <cell r="E358" t="str">
            <v>Transferi za lična primanja pripravnika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4318p</v>
          </cell>
          <cell r="E359" t="str">
            <v>Ostali transferi pojedincima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4319p</v>
          </cell>
          <cell r="E360" t="str">
            <v>Ostali transferi institucijama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4322p</v>
          </cell>
          <cell r="E363" t="str">
            <v>Transferi Fondu zdravstva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4323p</v>
          </cell>
          <cell r="E364" t="str">
            <v>Transferi zavodu za zapošljavanje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4324p</v>
          </cell>
          <cell r="E365" t="str">
            <v>Transferi opštinama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4325p</v>
          </cell>
          <cell r="E366" t="str">
            <v>Transferi budžetu države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D367" t="str">
            <v>4326p</v>
          </cell>
          <cell r="E367" t="str">
            <v>Transferi javnim preduzećima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</row>
        <row r="368">
          <cell r="A368">
            <v>0</v>
          </cell>
          <cell r="B368">
            <v>0</v>
          </cell>
          <cell r="C368">
            <v>441</v>
          </cell>
          <cell r="D368" t="str">
            <v>44p</v>
          </cell>
          <cell r="E368" t="str">
            <v>Kapitalni budžet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>
            <v>0</v>
          </cell>
          <cell r="B369">
            <v>0</v>
          </cell>
          <cell r="C369">
            <v>441</v>
          </cell>
          <cell r="D369" t="str">
            <v>440p</v>
          </cell>
          <cell r="E369" t="str">
            <v>Kapitalni izdaci u tekućem budžetu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4412p</v>
          </cell>
          <cell r="E371" t="str">
            <v>Izdaci za lokalnu infrastrukturu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4413p</v>
          </cell>
          <cell r="E372" t="str">
            <v>Izdaci za građevinske objekte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4414p</v>
          </cell>
          <cell r="E373" t="str">
            <v>Izdaci za uređenje zemljišta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D374" t="str">
            <v>4415p</v>
          </cell>
          <cell r="E374" t="str">
            <v>Izdaci za opremu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</row>
        <row r="375">
          <cell r="D375" t="str">
            <v>4416p</v>
          </cell>
          <cell r="E375" t="str">
            <v>Izdaci za investiciono održavanje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</row>
        <row r="376">
          <cell r="D376" t="str">
            <v>4417p</v>
          </cell>
          <cell r="E376" t="str">
            <v>Izdaci za zalihe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4418p</v>
          </cell>
          <cell r="E377" t="str">
            <v>Izdaci za kupovinu hartija od vrijednosti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A379" t="str">
            <v xml:space="preserve"> </v>
          </cell>
          <cell r="B379">
            <v>45</v>
          </cell>
          <cell r="C379">
            <v>0</v>
          </cell>
          <cell r="D379" t="str">
            <v>p</v>
          </cell>
          <cell r="E379" t="str">
            <v>Krediti i pozajmice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4511p</v>
          </cell>
          <cell r="E381" t="str">
            <v>Pozajmice i krediti nefinansijskim institucijama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4512p</v>
          </cell>
          <cell r="E382" t="str">
            <v>Pozajmice i krediti finansijskim institucijama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4513p</v>
          </cell>
          <cell r="E383" t="str">
            <v>Pozajmice i krediti pojedincima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4514p</v>
          </cell>
          <cell r="E384" t="str">
            <v>Pozajmice i krediti vanbudžetskim fondovima i opštinama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D385" t="str">
            <v>4515p</v>
          </cell>
          <cell r="E385" t="str">
            <v>Ostale pozajmice i krediti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</row>
        <row r="386">
          <cell r="A386" t="str">
            <v xml:space="preserve"> </v>
          </cell>
          <cell r="B386">
            <v>46</v>
          </cell>
          <cell r="C386">
            <v>0</v>
          </cell>
          <cell r="D386" t="str">
            <v>p</v>
          </cell>
          <cell r="E386" t="str">
            <v>Otplata dugova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>
            <v>0</v>
          </cell>
          <cell r="B387">
            <v>0</v>
          </cell>
          <cell r="C387">
            <v>461</v>
          </cell>
          <cell r="D387" t="str">
            <v>461p</v>
          </cell>
          <cell r="E387" t="str">
            <v>Otplata duga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>
            <v>0</v>
          </cell>
          <cell r="B390">
            <v>0</v>
          </cell>
          <cell r="C390">
            <v>462</v>
          </cell>
          <cell r="D390" t="str">
            <v>462p</v>
          </cell>
          <cell r="E390" t="str">
            <v>Otplata garancija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D392" t="str">
            <v>4622p</v>
          </cell>
          <cell r="E392" t="str">
            <v>Otplata garancija u inostranstvu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</row>
        <row r="393">
          <cell r="A393">
            <v>0</v>
          </cell>
          <cell r="B393">
            <v>0</v>
          </cell>
          <cell r="C393">
            <v>463</v>
          </cell>
          <cell r="D393" t="str">
            <v>4630p</v>
          </cell>
          <cell r="E393" t="str">
            <v>Otplata obaveza iz prethodnih godina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>
            <v>0</v>
          </cell>
          <cell r="D394" t="str">
            <v>47p</v>
          </cell>
          <cell r="E394" t="str">
            <v>Rezerve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>
            <v>1005</v>
          </cell>
          <cell r="E398" t="str">
            <v>Neto povećanje obaveza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</row>
        <row r="400">
          <cell r="FF400">
            <v>0</v>
          </cell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>
            <v>0</v>
          </cell>
          <cell r="E36">
            <v>0</v>
          </cell>
          <cell r="F36">
            <v>0</v>
          </cell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>
            <v>0</v>
          </cell>
          <cell r="E221">
            <v>0</v>
          </cell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>
            <v>0</v>
          </cell>
          <cell r="E224">
            <v>0</v>
          </cell>
          <cell r="F224">
            <v>0</v>
          </cell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26">
          <cell r="D226">
            <v>0</v>
          </cell>
          <cell r="E226">
            <v>0</v>
          </cell>
          <cell r="F226">
            <v>0</v>
          </cell>
        </row>
        <row r="227">
          <cell r="D227">
            <v>1005</v>
          </cell>
          <cell r="E227" t="str">
            <v>Neto povećanje obaveza</v>
          </cell>
          <cell r="F227" t="str">
            <v>Net increase of liabilities</v>
          </cell>
          <cell r="G227" t="str">
            <v>Neto povećanje obaveza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1">
          <cell r="G251" t="str">
            <v>Ostvarenje budžeta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2020-06</v>
      </c>
      <c r="O6" s="145" t="str">
        <f>+CONCATENATE(N6,"p")</f>
        <v>2020-06p</v>
      </c>
      <c r="P6" s="130"/>
      <c r="Q6" s="130"/>
      <c r="R6" s="145" t="str">
        <f>+IF(Master!B3-10&gt;=0,CONCATENATE(Master!B4-1,"-",Master!B3),CONCATENATE(Master!B4-1,"-0",Master!B3))</f>
        <v>2019-06</v>
      </c>
      <c r="S6" s="130"/>
      <c r="T6" s="130"/>
    </row>
    <row r="7" spans="1:20">
      <c r="A7" s="146"/>
      <c r="B7" s="508" t="s">
        <v>694</v>
      </c>
      <c r="C7" s="509"/>
      <c r="D7" s="509"/>
      <c r="E7" s="509"/>
      <c r="F7" s="509"/>
      <c r="G7" s="517" t="s">
        <v>693</v>
      </c>
      <c r="H7" s="518"/>
      <c r="I7" s="518"/>
      <c r="J7" s="518"/>
      <c r="K7" s="518"/>
      <c r="L7" s="518"/>
      <c r="M7" s="519"/>
      <c r="N7" s="520" t="str">
        <f>+Master!G241</f>
        <v>Decembar</v>
      </c>
      <c r="O7" s="518"/>
      <c r="P7" s="518"/>
      <c r="Q7" s="518"/>
      <c r="R7" s="518"/>
      <c r="S7" s="518"/>
      <c r="T7" s="521"/>
    </row>
    <row r="8" spans="1:20">
      <c r="A8" s="146"/>
      <c r="B8" s="510"/>
      <c r="C8" s="511"/>
      <c r="D8" s="511"/>
      <c r="E8" s="511"/>
      <c r="F8" s="512"/>
      <c r="G8" s="147" t="str">
        <f>+Master!G24</f>
        <v>Ostvarenje</v>
      </c>
      <c r="H8" s="147" t="str">
        <f>+Master!G23</f>
        <v>Plan</v>
      </c>
      <c r="I8" s="506" t="str">
        <f>+Master!G259</f>
        <v>Odstupanje</v>
      </c>
      <c r="J8" s="506"/>
      <c r="K8" s="147" t="str">
        <f>+CONCATENATE(Master!G244," ",Master!B4-1)</f>
        <v>Jan - Jun 2019</v>
      </c>
      <c r="L8" s="506" t="str">
        <f>+I8</f>
        <v>Odstupanje</v>
      </c>
      <c r="M8" s="516"/>
      <c r="N8" s="148" t="str">
        <f>+G8</f>
        <v>Ostvarenje</v>
      </c>
      <c r="O8" s="147" t="str">
        <f>+H8</f>
        <v>Plan</v>
      </c>
      <c r="P8" s="506" t="str">
        <f>+I8</f>
        <v>Odstupanje</v>
      </c>
      <c r="Q8" s="506"/>
      <c r="R8" s="147" t="str">
        <f>+CONCATENATE(Master!G243," ",Master!B4-1)</f>
        <v>Jun 2019</v>
      </c>
      <c r="S8" s="506" t="str">
        <f>+P8</f>
        <v>Odstupanje</v>
      </c>
      <c r="T8" s="507"/>
    </row>
    <row r="9" spans="1:20" ht="15.75" thickBot="1">
      <c r="A9" s="146"/>
      <c r="B9" s="513"/>
      <c r="C9" s="514"/>
      <c r="D9" s="514"/>
      <c r="E9" s="514"/>
      <c r="F9" s="515"/>
      <c r="G9" s="139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476" t="str">
        <f>+VLOOKUP($A10,Master!$D$28:$G$224,4,FALSE)</f>
        <v>Prihodi budžeta</v>
      </c>
      <c r="C10" s="477"/>
      <c r="D10" s="477"/>
      <c r="E10" s="477"/>
      <c r="F10" s="477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478" t="str">
        <f>+VLOOKUP($A11,Master!$D$28:$G$224,4,FALSE)</f>
        <v>Porezi</v>
      </c>
      <c r="C11" s="479"/>
      <c r="D11" s="479"/>
      <c r="E11" s="479"/>
      <c r="F11" s="479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480" t="str">
        <f>+VLOOKUP($A12,Master!$D$28:$G$224,4,FALSE)</f>
        <v>Porez na dohodak fizičkih lica</v>
      </c>
      <c r="C12" s="481"/>
      <c r="D12" s="481"/>
      <c r="E12" s="481"/>
      <c r="F12" s="481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480" t="str">
        <f>+VLOOKUP($A13,Master!$D$28:$G$224,4,FALSE)</f>
        <v>Porez na dobit pravnih lica</v>
      </c>
      <c r="C13" s="481"/>
      <c r="D13" s="481"/>
      <c r="E13" s="481"/>
      <c r="F13" s="481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480" t="str">
        <f>+VLOOKUP($A14,Master!$D$28:$G$224,4,FALSE)</f>
        <v>Porez na promet nepokretnosti</v>
      </c>
      <c r="C14" s="481"/>
      <c r="D14" s="481"/>
      <c r="E14" s="481"/>
      <c r="F14" s="481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480" t="str">
        <f>+VLOOKUP($A15,Master!$D$28:$G$224,4,FALSE)</f>
        <v>Porez na dodatu vrijednost</v>
      </c>
      <c r="C15" s="481"/>
      <c r="D15" s="481"/>
      <c r="E15" s="481"/>
      <c r="F15" s="481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480" t="str">
        <f>+VLOOKUP($A16,Master!$D$28:$G$224,4,FALSE)</f>
        <v>Akcize</v>
      </c>
      <c r="C16" s="481"/>
      <c r="D16" s="481"/>
      <c r="E16" s="481"/>
      <c r="F16" s="481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480" t="str">
        <f>+VLOOKUP($A17,Master!$D$28:$G$224,4,FALSE)</f>
        <v>Porez na međunarodnu trgovinu i transakcije</v>
      </c>
      <c r="C17" s="481"/>
      <c r="D17" s="481"/>
      <c r="E17" s="481"/>
      <c r="F17" s="481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480" t="e">
        <f>+VLOOKUP($A18,Master!$D$28:$G$224,4,FALSE)</f>
        <v>#N/A</v>
      </c>
      <c r="C18" s="481"/>
      <c r="D18" s="481"/>
      <c r="E18" s="481"/>
      <c r="F18" s="481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480" t="str">
        <f>+VLOOKUP($A19,Master!$D$28:$G$224,4,FALSE)</f>
        <v>Ostali državni porezi</v>
      </c>
      <c r="C19" s="481"/>
      <c r="D19" s="481"/>
      <c r="E19" s="481"/>
      <c r="F19" s="481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484" t="str">
        <f>+VLOOKUP($A20,Master!$D$28:$G$224,4,FALSE)</f>
        <v>Doprinosi</v>
      </c>
      <c r="C20" s="485"/>
      <c r="D20" s="485"/>
      <c r="E20" s="485"/>
      <c r="F20" s="485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480" t="str">
        <f>+VLOOKUP($A21,Master!$D$28:$G$224,4,FALSE)</f>
        <v>Doprinosi za penzijsko i invalidsko osiguranje</v>
      </c>
      <c r="C21" s="481"/>
      <c r="D21" s="481"/>
      <c r="E21" s="481"/>
      <c r="F21" s="481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480" t="str">
        <f>+VLOOKUP($A22,Master!$D$28:$G$224,4,FALSE)</f>
        <v>Doprinosi za zdravstveno osiguranje</v>
      </c>
      <c r="C22" s="481"/>
      <c r="D22" s="481"/>
      <c r="E22" s="481"/>
      <c r="F22" s="481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480" t="str">
        <f>+VLOOKUP($A23,Master!$D$28:$G$224,4,FALSE)</f>
        <v>Doprinosi za osiguranje od nezaposlenosti</v>
      </c>
      <c r="C23" s="481"/>
      <c r="D23" s="481"/>
      <c r="E23" s="481"/>
      <c r="F23" s="481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480" t="str">
        <f>+VLOOKUP($A24,Master!$D$28:$G$224,4,FALSE)</f>
        <v>Ostali doprinosi</v>
      </c>
      <c r="C24" s="481"/>
      <c r="D24" s="481"/>
      <c r="E24" s="481"/>
      <c r="F24" s="481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482" t="str">
        <f>+VLOOKUP($A25,Master!$D$28:$G$224,4,FALSE)</f>
        <v>Takse</v>
      </c>
      <c r="C25" s="483"/>
      <c r="D25" s="483"/>
      <c r="E25" s="483"/>
      <c r="F25" s="483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482" t="str">
        <f>+VLOOKUP($A26,Master!$D$28:$G$224,4,FALSE)</f>
        <v>Naknade</v>
      </c>
      <c r="C26" s="483"/>
      <c r="D26" s="483"/>
      <c r="E26" s="483"/>
      <c r="F26" s="483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482" t="str">
        <f>+VLOOKUP($A27,Master!$D$28:$G$224,4,FALSE)</f>
        <v>Ostali prihodi</v>
      </c>
      <c r="C27" s="483"/>
      <c r="D27" s="483"/>
      <c r="E27" s="483"/>
      <c r="F27" s="483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482" t="str">
        <f>+VLOOKUP($A28,Master!$D$28:$G$224,4,FALSE)</f>
        <v>Primici od otplate kredita i sredstva prenesena iz prethodne godine</v>
      </c>
      <c r="C28" s="483"/>
      <c r="D28" s="483"/>
      <c r="E28" s="483"/>
      <c r="F28" s="483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486" t="str">
        <f>+VLOOKUP($A29,Master!$D$28:$G$224,4,FALSE)</f>
        <v>Donacije i transferi</v>
      </c>
      <c r="C29" s="487"/>
      <c r="D29" s="487"/>
      <c r="E29" s="487"/>
      <c r="F29" s="487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488" t="str">
        <f>+VLOOKUP($A30,Master!$D$28:$G$224,4,FALSE)</f>
        <v>Izdaci</v>
      </c>
      <c r="C30" s="489"/>
      <c r="D30" s="489"/>
      <c r="E30" s="489"/>
      <c r="F30" s="489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490" t="str">
        <f>+VLOOKUP($A31,Master!$D$28:$G$224,4,FALSE)</f>
        <v>Tekući izdaci</v>
      </c>
      <c r="C31" s="491"/>
      <c r="D31" s="491"/>
      <c r="E31" s="491"/>
      <c r="F31" s="491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492" t="str">
        <f>+VLOOKUP($A32,Master!$D$28:$G$224,4,FALSE)</f>
        <v>Tekuća budžetska potrošnja</v>
      </c>
      <c r="C32" s="493"/>
      <c r="D32" s="493"/>
      <c r="E32" s="493"/>
      <c r="F32" s="493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480" t="str">
        <f>+VLOOKUP($A33,Master!$D$28:$G$224,4,FALSE)</f>
        <v>Bruto zarade i doprinosi na teret poslodavca</v>
      </c>
      <c r="C33" s="481"/>
      <c r="D33" s="481"/>
      <c r="E33" s="481"/>
      <c r="F33" s="481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480" t="str">
        <f>+VLOOKUP($A34,Master!$D$28:$G$224,4,FALSE)</f>
        <v>Ostala lična primanja</v>
      </c>
      <c r="C34" s="481"/>
      <c r="D34" s="481"/>
      <c r="E34" s="481"/>
      <c r="F34" s="481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480" t="str">
        <f>+VLOOKUP($A35,Master!$D$28:$G$224,4,FALSE)</f>
        <v>Rashodi za materijal</v>
      </c>
      <c r="C35" s="481"/>
      <c r="D35" s="481"/>
      <c r="E35" s="481"/>
      <c r="F35" s="481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480" t="str">
        <f>+VLOOKUP($A36,Master!$D$28:$G$224,4,FALSE)</f>
        <v>Rashodi za usluge</v>
      </c>
      <c r="C36" s="481"/>
      <c r="D36" s="481"/>
      <c r="E36" s="481"/>
      <c r="F36" s="481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480" t="str">
        <f>+VLOOKUP($A37,Master!$D$28:$G$224,4,FALSE)</f>
        <v>Rashodi za tekuće održavanje</v>
      </c>
      <c r="C37" s="481"/>
      <c r="D37" s="481"/>
      <c r="E37" s="481"/>
      <c r="F37" s="481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480" t="str">
        <f>+VLOOKUP($A38,Master!$D$28:$G$224,4,FALSE)</f>
        <v>Kamate</v>
      </c>
      <c r="C38" s="481"/>
      <c r="D38" s="481"/>
      <c r="E38" s="481"/>
      <c r="F38" s="481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480" t="str">
        <f>+VLOOKUP($A39,Master!$D$28:$G$224,4,FALSE)</f>
        <v>Renta</v>
      </c>
      <c r="C39" s="481"/>
      <c r="D39" s="481"/>
      <c r="E39" s="481"/>
      <c r="F39" s="481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480" t="str">
        <f>+VLOOKUP($A40,Master!$D$28:$G$224,4,FALSE)</f>
        <v>Subvencije</v>
      </c>
      <c r="C40" s="481"/>
      <c r="D40" s="481"/>
      <c r="E40" s="481"/>
      <c r="F40" s="481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480" t="str">
        <f>+VLOOKUP($A41,Master!$D$28:$G$224,4,FALSE)</f>
        <v>Ostali izdaci</v>
      </c>
      <c r="C41" s="481"/>
      <c r="D41" s="481"/>
      <c r="E41" s="481"/>
      <c r="F41" s="481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480" t="e">
        <f>+VLOOKUP($A42,Master!$D$28:$G$224,4,FALSE)</f>
        <v>#N/A</v>
      </c>
      <c r="C42" s="481"/>
      <c r="D42" s="481"/>
      <c r="E42" s="481"/>
      <c r="F42" s="481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496" t="str">
        <f>+VLOOKUP($A43,Master!$D$28:$G$224,4,FALSE)</f>
        <v>Transferi za socijalnu zaštitu</v>
      </c>
      <c r="C43" s="497"/>
      <c r="D43" s="497"/>
      <c r="E43" s="497"/>
      <c r="F43" s="497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480" t="str">
        <f>+VLOOKUP($A44,Master!$D$28:$G$224,4,FALSE)</f>
        <v>Prava iz oblasti socijalne zaštite</v>
      </c>
      <c r="C44" s="481"/>
      <c r="D44" s="481"/>
      <c r="E44" s="481"/>
      <c r="F44" s="481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480" t="str">
        <f>+VLOOKUP($A45,Master!$D$28:$G$224,4,FALSE)</f>
        <v>Sredstva za tehnološke viškove</v>
      </c>
      <c r="C45" s="481"/>
      <c r="D45" s="481"/>
      <c r="E45" s="481"/>
      <c r="F45" s="481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480" t="str">
        <f>+VLOOKUP($A46,Master!$D$28:$G$224,4,FALSE)</f>
        <v>Prava iz oblasti penzijskog i invalidskog osiguranja</v>
      </c>
      <c r="C46" s="481"/>
      <c r="D46" s="481"/>
      <c r="E46" s="481"/>
      <c r="F46" s="481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480" t="str">
        <f>+VLOOKUP($A47,Master!$D$28:$G$224,4,FALSE)</f>
        <v>Ostala prava iz oblasti zdravstvene zaštite</v>
      </c>
      <c r="C47" s="481"/>
      <c r="D47" s="481"/>
      <c r="E47" s="481"/>
      <c r="F47" s="481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480" t="str">
        <f>+VLOOKUP($A48,Master!$D$28:$G$224,4,FALSE)</f>
        <v>Ostala prava iz zdravstvenog osiguranja</v>
      </c>
      <c r="C48" s="481"/>
      <c r="D48" s="481"/>
      <c r="E48" s="481"/>
      <c r="F48" s="481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494" t="str">
        <f>+VLOOKUP($A49,Master!$D$28:$G$224,4,FALSE)</f>
        <v xml:space="preserve">Transferi institucijama, pojedincima, nevladinom i javnom sektoru </v>
      </c>
      <c r="C49" s="495"/>
      <c r="D49" s="495"/>
      <c r="E49" s="495"/>
      <c r="F49" s="495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494" t="str">
        <f>+VLOOKUP($A50,Master!$D$28:$G$224,4,FALSE)</f>
        <v>Kapitalni izdaci</v>
      </c>
      <c r="C50" s="495"/>
      <c r="D50" s="495"/>
      <c r="E50" s="495"/>
      <c r="F50" s="495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98" t="str">
        <f>+VLOOKUP($A51,Master!$D$28:$G$224,4,FALSE)</f>
        <v>Pozajmice i krediti</v>
      </c>
      <c r="C51" s="499"/>
      <c r="D51" s="499"/>
      <c r="E51" s="499"/>
      <c r="F51" s="499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98" t="str">
        <f>+VLOOKUP($A52,Master!$D$28:$G$224,4,FALSE)</f>
        <v>Rezerve</v>
      </c>
      <c r="C52" s="499"/>
      <c r="D52" s="499"/>
      <c r="E52" s="499"/>
      <c r="F52" s="499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500" t="str">
        <f>+VLOOKUP($A53,Master!$D$28:$G$224,4,FALSE)</f>
        <v>Otplata garancija</v>
      </c>
      <c r="C53" s="501"/>
      <c r="D53" s="501"/>
      <c r="E53" s="501"/>
      <c r="F53" s="501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500" t="str">
        <f>+VLOOKUP($A54,Master!$D$28:$G$224,4,FALSE)</f>
        <v>Otplata obaveza iz prethodnog perioda</v>
      </c>
      <c r="C54" s="501"/>
      <c r="D54" s="501"/>
      <c r="E54" s="501"/>
      <c r="F54" s="501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500" t="str">
        <f>+VLOOKUP($A55,Master!$D$28:$G$226,4,FALSE)</f>
        <v>Neto povećanje obaveza</v>
      </c>
      <c r="C55" s="501"/>
      <c r="D55" s="501"/>
      <c r="E55" s="501"/>
      <c r="F55" s="501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2" t="str">
        <f>+VLOOKUP($A56,Master!$D$28:$G$224,4,FALSE)</f>
        <v>Suficit / deficit</v>
      </c>
      <c r="C56" s="503"/>
      <c r="D56" s="503"/>
      <c r="E56" s="503"/>
      <c r="F56" s="503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4" t="str">
        <f>+VLOOKUP($A57,Master!$D$28:$G$224,4,FALSE)</f>
        <v>Primarni suficit/deficit</v>
      </c>
      <c r="C57" s="505"/>
      <c r="D57" s="505"/>
      <c r="E57" s="505"/>
      <c r="F57" s="505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496" t="str">
        <f>+VLOOKUP($A58,Master!$D$28:$G$224,4,FALSE)</f>
        <v>Otplata dugova</v>
      </c>
      <c r="C58" s="497"/>
      <c r="D58" s="497"/>
      <c r="E58" s="497"/>
      <c r="F58" s="497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522" t="str">
        <f>+VLOOKUP($A59,Master!$D$28:$G$224,4,FALSE)</f>
        <v>Otplata hartija od vrijednosti i kredita rezidentima</v>
      </c>
      <c r="C59" s="523"/>
      <c r="D59" s="523"/>
      <c r="E59" s="523"/>
      <c r="F59" s="523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98" t="str">
        <f>+VLOOKUP($A60,Master!$D$28:$G$224,4,FALSE)</f>
        <v>Otplata hartija od vrijednosti i kredita nerezidentima</v>
      </c>
      <c r="C60" s="499"/>
      <c r="D60" s="499"/>
      <c r="E60" s="499"/>
      <c r="F60" s="499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686</v>
      </c>
      <c r="B61" s="256" t="str">
        <f>+B54</f>
        <v>Otplata obaveza iz prethodnog perioda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524" t="str">
        <f>+VLOOKUP($A62,Master!$D$28:$G$224,4,FALSE)</f>
        <v>Nedostajuća sredstva</v>
      </c>
      <c r="C62" s="525"/>
      <c r="D62" s="525"/>
      <c r="E62" s="525"/>
      <c r="F62" s="525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488" t="str">
        <f>+VLOOKUP($A63,Master!$D$28:$G$224,4,FALSE)</f>
        <v>Finansiranje</v>
      </c>
      <c r="C63" s="489"/>
      <c r="D63" s="489"/>
      <c r="E63" s="489"/>
      <c r="F63" s="489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522" t="str">
        <f>+VLOOKUP($A64,Master!$D$28:$G$224,4,FALSE)</f>
        <v>Pozajmice i krediti od domaćih izvora</v>
      </c>
      <c r="C64" s="523"/>
      <c r="D64" s="523"/>
      <c r="E64" s="523"/>
      <c r="F64" s="523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98" t="str">
        <f>+VLOOKUP($A65,Master!$D$28:$G$224,4,FALSE)</f>
        <v>Pozajmice i krediti od inostranih izvora</v>
      </c>
      <c r="C65" s="499"/>
      <c r="D65" s="499"/>
      <c r="E65" s="499"/>
      <c r="F65" s="499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98" t="str">
        <f>+VLOOKUP($A66,Master!$D$28:$G$224,4,FALSE)</f>
        <v>Primici od prodaje imovine</v>
      </c>
      <c r="C66" s="499"/>
      <c r="D66" s="499"/>
      <c r="E66" s="499"/>
      <c r="F66" s="499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B6" sqref="B6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Jun</v>
      </c>
      <c r="E11" s="135"/>
      <c r="F11" s="135"/>
      <c r="G11" s="135"/>
      <c r="H11" s="275" t="str">
        <f>+Master!G272</f>
        <v>Prihodi za period Januar - Jun</v>
      </c>
      <c r="I11" s="276"/>
      <c r="J11" s="264"/>
      <c r="K11" s="136"/>
    </row>
    <row r="12" spans="3:11">
      <c r="C12" s="134"/>
      <c r="D12" s="138">
        <f>+'Analitika - 2020'!N10</f>
        <v>132108986.79000001</v>
      </c>
      <c r="E12" s="475">
        <f>+D12/'2020'!T7</f>
        <v>2.8673840815662103E-2</v>
      </c>
      <c r="F12" s="135"/>
      <c r="G12" s="135"/>
      <c r="H12" s="277">
        <f>+'Analitika - 2020'!G10</f>
        <v>747750121.17999995</v>
      </c>
      <c r="I12" s="474">
        <f>+H12/'2020'!T7</f>
        <v>0.16229681617867298</v>
      </c>
      <c r="J12" s="264"/>
      <c r="K12" s="136"/>
    </row>
    <row r="13" spans="3:11">
      <c r="C13" s="134"/>
      <c r="D13" s="139" t="s">
        <v>419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Jun</v>
      </c>
      <c r="E15" s="135"/>
      <c r="F15" s="135"/>
      <c r="G15" s="135"/>
      <c r="H15" s="275" t="str">
        <f>+Master!G273</f>
        <v>Rashodi za period Januar - Jun</v>
      </c>
      <c r="I15" s="276"/>
      <c r="J15" s="264"/>
      <c r="K15" s="136"/>
    </row>
    <row r="16" spans="3:11">
      <c r="C16" s="134"/>
      <c r="D16" s="138">
        <f>+'Analitika - 2020'!N29</f>
        <v>172044854.05000001</v>
      </c>
      <c r="E16" s="475">
        <f>+D16/'2020'!T7</f>
        <v>3.7341795422481713E-2</v>
      </c>
      <c r="F16" s="135"/>
      <c r="G16" s="135"/>
      <c r="H16" s="277">
        <f>+'Analitika - 2020'!G29</f>
        <v>954354561.6099999</v>
      </c>
      <c r="I16" s="474">
        <f>+H16/'2020'!T7</f>
        <v>0.20713966132224945</v>
      </c>
      <c r="J16" s="264"/>
      <c r="K16" s="136"/>
    </row>
    <row r="17" spans="3:11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1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1">
      <c r="C19" s="134"/>
      <c r="D19" s="137" t="str">
        <f>+Master!G270</f>
        <v>Suficit/Deficit za mjesec Jun</v>
      </c>
      <c r="E19" s="135"/>
      <c r="F19" s="135"/>
      <c r="G19" s="135"/>
      <c r="H19" s="275" t="str">
        <f>+Master!G274</f>
        <v>Suficit/Deficit za period Januar - Jun</v>
      </c>
      <c r="I19" s="276"/>
      <c r="J19" s="264"/>
      <c r="K19" s="136"/>
    </row>
    <row r="20" spans="3:11">
      <c r="C20" s="134"/>
      <c r="D20" s="138">
        <f>+'Analitika - 2020'!N53</f>
        <v>-39935867.260000005</v>
      </c>
      <c r="E20" s="475">
        <f>+D20/'2020'!T7</f>
        <v>-8.6679546068196139E-3</v>
      </c>
      <c r="F20" s="135"/>
      <c r="G20" s="135"/>
      <c r="H20" s="277">
        <f>+'Analitika - 2020'!G53</f>
        <v>-206604440.43000001</v>
      </c>
      <c r="I20" s="474">
        <f>+H20/'2020'!T7</f>
        <v>-4.4842845143576497E-2</v>
      </c>
      <c r="J20" s="264"/>
      <c r="K20" s="136"/>
    </row>
    <row r="21" spans="3:11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1">
      <c r="C22" s="134"/>
      <c r="D22" s="526"/>
      <c r="E22" s="527"/>
      <c r="F22" s="527"/>
      <c r="G22" s="140"/>
      <c r="H22" s="141"/>
      <c r="I22" s="135"/>
      <c r="J22" s="135"/>
      <c r="K22" s="136"/>
    </row>
    <row r="23" spans="3:11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1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1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1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1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1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1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1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1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4" spans="8:8">
      <c r="H34" s="235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tabSelected="1" zoomScaleNormal="100" workbookViewId="0">
      <pane ySplit="5" topLeftCell="A6" activePane="bottomLeft" state="frozen"/>
      <selection activeCell="DK219" sqref="DK219"/>
      <selection pane="bottomLeft" activeCell="Q65" sqref="Q6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2020-06</v>
      </c>
      <c r="O6" s="145" t="str">
        <f>+CONCATENATE(N6,"p")</f>
        <v>2020-06p</v>
      </c>
      <c r="P6" s="130"/>
      <c r="Q6" s="130"/>
      <c r="R6" s="145" t="str">
        <f>+IF(Master!B3-10&gt;=0,CONCATENATE(Master!B4-1,"-",Master!B3),CONCATENATE(Master!B4-1,"-0",Master!B3))</f>
        <v>2019-06</v>
      </c>
      <c r="S6" s="130"/>
      <c r="T6" s="130"/>
    </row>
    <row r="7" spans="1:20">
      <c r="A7" s="146"/>
      <c r="B7" s="508" t="str">
        <f>+Master!G253</f>
        <v>Analitika za period Jan - Jun</v>
      </c>
      <c r="C7" s="509"/>
      <c r="D7" s="509"/>
      <c r="E7" s="509"/>
      <c r="F7" s="509"/>
      <c r="G7" s="517" t="str">
        <f>+Master!G244</f>
        <v>Jan - Jun</v>
      </c>
      <c r="H7" s="518"/>
      <c r="I7" s="518"/>
      <c r="J7" s="518"/>
      <c r="K7" s="518"/>
      <c r="L7" s="518"/>
      <c r="M7" s="519"/>
      <c r="N7" s="520" t="str">
        <f>+Master!G243</f>
        <v>Jun</v>
      </c>
      <c r="O7" s="518"/>
      <c r="P7" s="518"/>
      <c r="Q7" s="518"/>
      <c r="R7" s="518"/>
      <c r="S7" s="518"/>
      <c r="T7" s="521"/>
    </row>
    <row r="8" spans="1:20">
      <c r="A8" s="146"/>
      <c r="B8" s="510"/>
      <c r="C8" s="511"/>
      <c r="D8" s="511"/>
      <c r="E8" s="511"/>
      <c r="F8" s="512"/>
      <c r="G8" s="375" t="str">
        <f>+Master!G24</f>
        <v>Ostvarenje</v>
      </c>
      <c r="H8" s="147" t="str">
        <f>+Master!G23</f>
        <v>Plan</v>
      </c>
      <c r="I8" s="506" t="str">
        <f>+Master!G259</f>
        <v>Odstupanje</v>
      </c>
      <c r="J8" s="506"/>
      <c r="K8" s="147" t="str">
        <f>+CONCATENATE(Master!G244," ",Master!B4-1)</f>
        <v>Jan - Jun 2019</v>
      </c>
      <c r="L8" s="506" t="str">
        <f>+I8</f>
        <v>Odstupanje</v>
      </c>
      <c r="M8" s="516"/>
      <c r="N8" s="148" t="str">
        <f>+G8</f>
        <v>Ostvarenje</v>
      </c>
      <c r="O8" s="147" t="str">
        <f>+H8</f>
        <v>Plan</v>
      </c>
      <c r="P8" s="506" t="str">
        <f>+I8</f>
        <v>Odstupanje</v>
      </c>
      <c r="Q8" s="506"/>
      <c r="R8" s="147" t="str">
        <f>+CONCATENATE(Master!G243," ",Master!B4-1)</f>
        <v>Jun 2019</v>
      </c>
      <c r="S8" s="506" t="str">
        <f>+P8</f>
        <v>Odstupanje</v>
      </c>
      <c r="T8" s="507"/>
    </row>
    <row r="9" spans="1:20" ht="15.75" thickBot="1">
      <c r="A9" s="146"/>
      <c r="B9" s="513"/>
      <c r="C9" s="514"/>
      <c r="D9" s="514"/>
      <c r="E9" s="514"/>
      <c r="F9" s="515"/>
      <c r="G9" s="376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476" t="str">
        <f>+VLOOKUP($A10,Master!$D$28:$G$224,4,FALSE)</f>
        <v>Prihodi budžeta</v>
      </c>
      <c r="C10" s="477"/>
      <c r="D10" s="477"/>
      <c r="E10" s="477"/>
      <c r="F10" s="477"/>
      <c r="G10" s="153">
        <f>'2020'!S10</f>
        <v>747750121.17999995</v>
      </c>
      <c r="H10" s="153">
        <f>SUM('2020'!G103:L103)</f>
        <v>744582685.11096263</v>
      </c>
      <c r="I10" s="154">
        <f>+G10-H10</f>
        <v>3167436.0690373182</v>
      </c>
      <c r="J10" s="155">
        <f>+IF(ISNUMBER(G10/H10-1),G10/H10-1,"…")</f>
        <v>4.2539749209522526E-3</v>
      </c>
      <c r="K10" s="153">
        <f>SUM('2019'!G10:L10)</f>
        <v>824010134.88</v>
      </c>
      <c r="L10" s="154">
        <f>+G10-K10</f>
        <v>-76260013.700000048</v>
      </c>
      <c r="M10" s="156">
        <f>+IF(ISNUMBER(G10/K10-1),G10/K10-1,"…")</f>
        <v>-9.2547422018184E-2</v>
      </c>
      <c r="N10" s="153">
        <f>'2020'!L10</f>
        <v>132108986.79000001</v>
      </c>
      <c r="O10" s="153">
        <f>'2020'!L103</f>
        <v>129263442.47262934</v>
      </c>
      <c r="P10" s="154">
        <f>+N10-O10</f>
        <v>2845544.3173706681</v>
      </c>
      <c r="Q10" s="155">
        <f>+IF(ISNUMBER(N10/O10-1),N10/O10-1,"…")</f>
        <v>2.2013527281490974E-2</v>
      </c>
      <c r="R10" s="153">
        <f>'2019'!L10</f>
        <v>143393460.84999999</v>
      </c>
      <c r="S10" s="154">
        <f>+N10-R10</f>
        <v>-11284474.059999987</v>
      </c>
      <c r="T10" s="156">
        <f>+IF(ISNUMBER(N10/R10-1),N10/R10-1,"…")</f>
        <v>-7.8695876318965241E-2</v>
      </c>
    </row>
    <row r="11" spans="1:20">
      <c r="A11" s="152">
        <v>711</v>
      </c>
      <c r="B11" s="478" t="str">
        <f>+VLOOKUP($A11,Master!$D$28:$G$224,4,FALSE)</f>
        <v>Porezi</v>
      </c>
      <c r="C11" s="479"/>
      <c r="D11" s="479"/>
      <c r="E11" s="479"/>
      <c r="F11" s="479"/>
      <c r="G11" s="286">
        <f>'2020'!S11</f>
        <v>481852713.23000002</v>
      </c>
      <c r="H11" s="286">
        <f>SUM('2020'!G104:L104)</f>
        <v>484017234.98290718</v>
      </c>
      <c r="I11" s="160">
        <f t="shared" ref="I11:I57" si="0">+G11-H11</f>
        <v>-2164521.7529071569</v>
      </c>
      <c r="J11" s="161">
        <f t="shared" ref="J11:J57" si="1">+IF(ISNUMBER(G11/H11-1),G11/H11-1,"…")</f>
        <v>-4.471993136739405E-3</v>
      </c>
      <c r="K11" s="286">
        <f>SUM('2019'!G11:L11)</f>
        <v>530163627.60999995</v>
      </c>
      <c r="L11" s="160">
        <f>+G11-K11</f>
        <v>-48310914.379999936</v>
      </c>
      <c r="M11" s="162">
        <f t="shared" ref="M11:M57" si="2">+IF(ISNUMBER(G11/K11-1),G11/K11-1,"…")</f>
        <v>-9.112453564154821E-2</v>
      </c>
      <c r="N11" s="286">
        <f>'2020'!L11</f>
        <v>79960950.920000002</v>
      </c>
      <c r="O11" s="286">
        <f>'2020'!L104</f>
        <v>82125472.672907159</v>
      </c>
      <c r="P11" s="160">
        <f t="shared" ref="P11:P57" si="3">+N11-O11</f>
        <v>-2164521.7529071569</v>
      </c>
      <c r="Q11" s="161">
        <f t="shared" ref="Q11:Q57" si="4">+IF(ISNUMBER(N11/O11-1),N11/O11-1,"…")</f>
        <v>-2.6356277564795305E-2</v>
      </c>
      <c r="R11" s="286">
        <f>'2019'!L11</f>
        <v>89389439.689999998</v>
      </c>
      <c r="S11" s="160">
        <f t="shared" ref="S11:S57" si="5">+N11-R11</f>
        <v>-9428488.7699999958</v>
      </c>
      <c r="T11" s="162">
        <f t="shared" ref="T11:T57" si="6">+IF(ISNUMBER(N11/R11-1),N11/R11-1,"…")</f>
        <v>-0.10547653954088676</v>
      </c>
    </row>
    <row r="12" spans="1:20">
      <c r="A12" s="152">
        <v>7111</v>
      </c>
      <c r="B12" s="480" t="str">
        <f>+VLOOKUP($A12,Master!$D$28:$G$224,4,FALSE)</f>
        <v>Porez na dohodak fizičkih lica</v>
      </c>
      <c r="C12" s="481"/>
      <c r="D12" s="481"/>
      <c r="E12" s="481"/>
      <c r="F12" s="481"/>
      <c r="G12" s="165">
        <f>'2020'!S12</f>
        <v>51122438.960000001</v>
      </c>
      <c r="H12" s="165">
        <f>SUM('2020'!G105:L105)</f>
        <v>50118940.61699906</v>
      </c>
      <c r="I12" s="166">
        <f t="shared" si="0"/>
        <v>1003498.343000941</v>
      </c>
      <c r="J12" s="167">
        <f t="shared" si="1"/>
        <v>2.0022337476554242E-2</v>
      </c>
      <c r="K12" s="165">
        <f>SUM('2019'!G12:L12)</f>
        <v>53751143.780000001</v>
      </c>
      <c r="L12" s="166">
        <f>+G12-K12</f>
        <v>-2628704.8200000003</v>
      </c>
      <c r="M12" s="168">
        <f t="shared" si="2"/>
        <v>-4.8905095503811391E-2</v>
      </c>
      <c r="N12" s="165">
        <f>'2020'!L12</f>
        <v>10236771.470000001</v>
      </c>
      <c r="O12" s="165">
        <f>'2020'!L105</f>
        <v>9233273.1269990597</v>
      </c>
      <c r="P12" s="166">
        <f t="shared" si="3"/>
        <v>1003498.343000941</v>
      </c>
      <c r="Q12" s="167">
        <f t="shared" si="4"/>
        <v>0.1086828396819115</v>
      </c>
      <c r="R12" s="165">
        <f>'2019'!L12</f>
        <v>10125793.029999999</v>
      </c>
      <c r="S12" s="166">
        <f t="shared" si="5"/>
        <v>110978.44000000134</v>
      </c>
      <c r="T12" s="168">
        <f t="shared" si="6"/>
        <v>1.0959975151694445E-2</v>
      </c>
    </row>
    <row r="13" spans="1:20">
      <c r="A13" s="152">
        <v>7112</v>
      </c>
      <c r="B13" s="480" t="str">
        <f>+VLOOKUP($A13,Master!$D$28:$G$224,4,FALSE)</f>
        <v>Porez na dobit pravnih lica</v>
      </c>
      <c r="C13" s="481"/>
      <c r="D13" s="481"/>
      <c r="E13" s="481"/>
      <c r="F13" s="481"/>
      <c r="G13" s="165">
        <f>'2020'!S13</f>
        <v>59697131.339999996</v>
      </c>
      <c r="H13" s="165">
        <f>SUM('2020'!G106:L106)</f>
        <v>57763326.64507816</v>
      </c>
      <c r="I13" s="166">
        <f t="shared" si="0"/>
        <v>1933804.6949218363</v>
      </c>
      <c r="J13" s="167">
        <f t="shared" si="1"/>
        <v>3.3478070035749985E-2</v>
      </c>
      <c r="K13" s="165">
        <f>SUM('2019'!G13:L13)</f>
        <v>54234050.359999999</v>
      </c>
      <c r="L13" s="166">
        <f t="shared" ref="L13:L57" si="7">+G13-K13</f>
        <v>5463080.9799999967</v>
      </c>
      <c r="M13" s="168">
        <f t="shared" si="2"/>
        <v>0.10073156888959311</v>
      </c>
      <c r="N13" s="165">
        <f>'2020'!L13</f>
        <v>6326893.6900000004</v>
      </c>
      <c r="O13" s="165">
        <f>'2020'!L106</f>
        <v>4393088.9950781623</v>
      </c>
      <c r="P13" s="166">
        <f t="shared" si="3"/>
        <v>1933804.6949218381</v>
      </c>
      <c r="Q13" s="167">
        <f t="shared" si="4"/>
        <v>0.44019246982895033</v>
      </c>
      <c r="R13" s="165">
        <f>'2019'!L13</f>
        <v>3678815</v>
      </c>
      <c r="S13" s="166">
        <f t="shared" si="5"/>
        <v>2648078.6900000004</v>
      </c>
      <c r="T13" s="168">
        <f t="shared" si="6"/>
        <v>0.71981838988913571</v>
      </c>
    </row>
    <row r="14" spans="1:20">
      <c r="A14" s="152">
        <v>7113</v>
      </c>
      <c r="B14" s="480" t="str">
        <f>+VLOOKUP($A14,Master!$D$28:$G$224,4,FALSE)</f>
        <v>Porez na promet nepokretnosti</v>
      </c>
      <c r="C14" s="481"/>
      <c r="D14" s="481"/>
      <c r="E14" s="481"/>
      <c r="F14" s="481"/>
      <c r="G14" s="165">
        <f>'2020'!S14</f>
        <v>742944.66999999993</v>
      </c>
      <c r="H14" s="165">
        <f>SUM('2020'!G107:L107)</f>
        <v>787170.57570369588</v>
      </c>
      <c r="I14" s="166">
        <f t="shared" si="0"/>
        <v>-44225.905703695957</v>
      </c>
      <c r="J14" s="167">
        <f t="shared" si="1"/>
        <v>-5.6183382698419493E-2</v>
      </c>
      <c r="K14" s="165">
        <f>SUM('2019'!G14:L14)</f>
        <v>944287.6</v>
      </c>
      <c r="L14" s="166">
        <f t="shared" si="7"/>
        <v>-201342.93000000005</v>
      </c>
      <c r="M14" s="168">
        <f t="shared" si="2"/>
        <v>-0.21322204167459158</v>
      </c>
      <c r="N14" s="165">
        <f>'2020'!L14</f>
        <v>117335.46</v>
      </c>
      <c r="O14" s="165">
        <f>'2020'!L107</f>
        <v>161561.36570369586</v>
      </c>
      <c r="P14" s="166">
        <f t="shared" si="3"/>
        <v>-44225.905703695855</v>
      </c>
      <c r="Q14" s="167">
        <f t="shared" si="4"/>
        <v>-0.27374060321330984</v>
      </c>
      <c r="R14" s="165">
        <f>'2019'!L14</f>
        <v>158253.64000000001</v>
      </c>
      <c r="S14" s="166">
        <f t="shared" si="5"/>
        <v>-40918.180000000008</v>
      </c>
      <c r="T14" s="168">
        <f t="shared" si="6"/>
        <v>-0.25856075095650255</v>
      </c>
    </row>
    <row r="15" spans="1:20">
      <c r="A15" s="152">
        <v>7114</v>
      </c>
      <c r="B15" s="480" t="str">
        <f>+VLOOKUP($A15,Master!$D$28:$G$224,4,FALSE)</f>
        <v>Porez na dodatu vrijednost</v>
      </c>
      <c r="C15" s="481"/>
      <c r="D15" s="481"/>
      <c r="E15" s="481"/>
      <c r="F15" s="481"/>
      <c r="G15" s="165">
        <f>'2020'!S15</f>
        <v>259138186.48000002</v>
      </c>
      <c r="H15" s="165">
        <f>SUM('2020'!G108:L108)</f>
        <v>264044791.04671529</v>
      </c>
      <c r="I15" s="166">
        <f t="shared" si="0"/>
        <v>-4906604.5667152703</v>
      </c>
      <c r="J15" s="167">
        <f t="shared" si="1"/>
        <v>-1.8582470600024714E-2</v>
      </c>
      <c r="K15" s="165">
        <f>SUM('2019'!G15:L15)</f>
        <v>303685074.31</v>
      </c>
      <c r="L15" s="166">
        <f t="shared" si="7"/>
        <v>-44546887.829999983</v>
      </c>
      <c r="M15" s="168">
        <f t="shared" si="2"/>
        <v>-0.14668777493004737</v>
      </c>
      <c r="N15" s="165">
        <f>'2020'!L15</f>
        <v>42474174.049999997</v>
      </c>
      <c r="O15" s="165">
        <f>'2020'!L108</f>
        <v>47380778.616715282</v>
      </c>
      <c r="P15" s="166">
        <f t="shared" si="3"/>
        <v>-4906604.5667152852</v>
      </c>
      <c r="Q15" s="167">
        <f t="shared" si="4"/>
        <v>-0.10355685807544546</v>
      </c>
      <c r="R15" s="165">
        <f>'2019'!L15</f>
        <v>52810087.229999997</v>
      </c>
      <c r="S15" s="166">
        <f t="shared" si="5"/>
        <v>-10335913.18</v>
      </c>
      <c r="T15" s="168">
        <f t="shared" si="6"/>
        <v>-0.19571854019071655</v>
      </c>
    </row>
    <row r="16" spans="1:20">
      <c r="A16" s="152">
        <v>7115</v>
      </c>
      <c r="B16" s="480" t="str">
        <f>+VLOOKUP($A16,Master!$D$28:$G$224,4,FALSE)</f>
        <v>Akcize</v>
      </c>
      <c r="C16" s="481"/>
      <c r="D16" s="481"/>
      <c r="E16" s="481"/>
      <c r="F16" s="481"/>
      <c r="G16" s="165">
        <f>'2020'!S16</f>
        <v>95298740.900000006</v>
      </c>
      <c r="H16" s="165">
        <f>SUM('2020'!G109:L109)</f>
        <v>95213615.7479693</v>
      </c>
      <c r="I16" s="166">
        <f t="shared" si="0"/>
        <v>85125.152030706406</v>
      </c>
      <c r="J16" s="167">
        <f t="shared" si="1"/>
        <v>8.940438965792108E-4</v>
      </c>
      <c r="K16" s="165">
        <f>SUM('2019'!G16:L16)</f>
        <v>97116728.040000007</v>
      </c>
      <c r="L16" s="166">
        <f t="shared" si="7"/>
        <v>-1817987.1400000006</v>
      </c>
      <c r="M16" s="168">
        <f t="shared" si="2"/>
        <v>-1.8719608626551087E-2</v>
      </c>
      <c r="N16" s="165">
        <f>'2020'!L16</f>
        <v>17821548.199999999</v>
      </c>
      <c r="O16" s="165">
        <f>'2020'!L109</f>
        <v>17736423.0479693</v>
      </c>
      <c r="P16" s="166">
        <f t="shared" si="3"/>
        <v>85125.152030698955</v>
      </c>
      <c r="Q16" s="167">
        <f t="shared" si="4"/>
        <v>4.7994543093876629E-3</v>
      </c>
      <c r="R16" s="165">
        <f>'2019'!L16</f>
        <v>19205497.870000001</v>
      </c>
      <c r="S16" s="166">
        <f t="shared" si="5"/>
        <v>-1383949.6700000018</v>
      </c>
      <c r="T16" s="168">
        <f t="shared" si="6"/>
        <v>-7.2060077763555608E-2</v>
      </c>
    </row>
    <row r="17" spans="1:20">
      <c r="A17" s="152">
        <v>7116</v>
      </c>
      <c r="B17" s="480" t="str">
        <f>+VLOOKUP($A17,Master!$D$28:$G$224,4,FALSE)</f>
        <v>Porez na međunarodnu trgovinu i transakcije</v>
      </c>
      <c r="C17" s="481"/>
      <c r="D17" s="481"/>
      <c r="E17" s="481"/>
      <c r="F17" s="481"/>
      <c r="G17" s="165">
        <f>'2020'!S17</f>
        <v>11212379.719999999</v>
      </c>
      <c r="H17" s="165">
        <f>SUM('2020'!G110:L110)</f>
        <v>11592542.115715016</v>
      </c>
      <c r="I17" s="166">
        <f t="shared" si="0"/>
        <v>-380162.39571501687</v>
      </c>
      <c r="J17" s="167">
        <f t="shared" si="1"/>
        <v>-3.2793704083219466E-2</v>
      </c>
      <c r="K17" s="165">
        <f>SUM('2019'!G17:L17)</f>
        <v>13140970.15</v>
      </c>
      <c r="L17" s="166">
        <f t="shared" si="7"/>
        <v>-1928590.4300000016</v>
      </c>
      <c r="M17" s="168">
        <f t="shared" si="2"/>
        <v>-0.14676164757896515</v>
      </c>
      <c r="N17" s="165">
        <f>'2020'!L17</f>
        <v>2074453.34</v>
      </c>
      <c r="O17" s="165">
        <f>'2020'!L110</f>
        <v>2454615.7357150163</v>
      </c>
      <c r="P17" s="166">
        <f t="shared" si="3"/>
        <v>-380162.39571501617</v>
      </c>
      <c r="Q17" s="167">
        <f t="shared" si="4"/>
        <v>-0.15487654144133356</v>
      </c>
      <c r="R17" s="165">
        <f>'2019'!L17</f>
        <v>2485583.9700000002</v>
      </c>
      <c r="S17" s="166">
        <f t="shared" si="5"/>
        <v>-411130.63000000012</v>
      </c>
      <c r="T17" s="168">
        <f t="shared" si="6"/>
        <v>-0.16540605143989562</v>
      </c>
    </row>
    <row r="18" spans="1:20">
      <c r="A18" s="152">
        <v>7118</v>
      </c>
      <c r="B18" s="480" t="str">
        <f>+VLOOKUP($A18,Master!$D$28:$G$224,4,FALSE)</f>
        <v>Ostali državni porezi</v>
      </c>
      <c r="C18" s="481"/>
      <c r="D18" s="481"/>
      <c r="E18" s="481"/>
      <c r="F18" s="481"/>
      <c r="G18" s="165">
        <f>'2020'!S18</f>
        <v>4640891.16</v>
      </c>
      <c r="H18" s="165">
        <f>SUM('2020'!G111:L111)</f>
        <v>4496848.2347266302</v>
      </c>
      <c r="I18" s="166">
        <f t="shared" si="0"/>
        <v>144042.92527337</v>
      </c>
      <c r="J18" s="167">
        <f t="shared" si="1"/>
        <v>3.2031973896963439E-2</v>
      </c>
      <c r="K18" s="165">
        <f>SUM('2019'!G18:L18)</f>
        <v>7291373.3700000001</v>
      </c>
      <c r="L18" s="166">
        <f t="shared" si="7"/>
        <v>-2650482.21</v>
      </c>
      <c r="M18" s="168">
        <f t="shared" si="2"/>
        <v>-0.36350932471861608</v>
      </c>
      <c r="N18" s="165">
        <f>'2020'!L18</f>
        <v>909774.71</v>
      </c>
      <c r="O18" s="165">
        <f>'2020'!L111</f>
        <v>765731.78472662985</v>
      </c>
      <c r="P18" s="166">
        <f t="shared" si="3"/>
        <v>144042.92527337011</v>
      </c>
      <c r="Q18" s="167">
        <f t="shared" si="4"/>
        <v>0.18811146167165327</v>
      </c>
      <c r="R18" s="165">
        <f>'2019'!L18</f>
        <v>925408.95</v>
      </c>
      <c r="S18" s="166">
        <f t="shared" si="5"/>
        <v>-15634.239999999991</v>
      </c>
      <c r="T18" s="168">
        <f t="shared" si="6"/>
        <v>-1.6894411924587516E-2</v>
      </c>
    </row>
    <row r="19" spans="1:20">
      <c r="A19" s="152">
        <v>712</v>
      </c>
      <c r="B19" s="484" t="str">
        <f>+VLOOKUP($A19,Master!$D$28:$G$224,4,FALSE)</f>
        <v>Doprinosi</v>
      </c>
      <c r="C19" s="485"/>
      <c r="D19" s="485"/>
      <c r="E19" s="485"/>
      <c r="F19" s="485"/>
      <c r="G19" s="171">
        <f>'2020'!S19</f>
        <v>220406123.72</v>
      </c>
      <c r="H19" s="171">
        <f>SUM('2020'!G112:L112)</f>
        <v>216723266.16736352</v>
      </c>
      <c r="I19" s="172">
        <f t="shared" si="0"/>
        <v>3682857.5526364744</v>
      </c>
      <c r="J19" s="173">
        <f t="shared" si="1"/>
        <v>1.6993364938457489E-2</v>
      </c>
      <c r="K19" s="171">
        <f>SUM('2019'!G19:L19)</f>
        <v>232526810.62</v>
      </c>
      <c r="L19" s="172">
        <f t="shared" si="7"/>
        <v>-12120686.900000006</v>
      </c>
      <c r="M19" s="174">
        <f t="shared" si="2"/>
        <v>-5.2125975786112111E-2</v>
      </c>
      <c r="N19" s="171">
        <f>'2020'!L19</f>
        <v>42892419.090000004</v>
      </c>
      <c r="O19" s="171">
        <f>'2020'!L112</f>
        <v>39209561.537363522</v>
      </c>
      <c r="P19" s="172">
        <f t="shared" si="3"/>
        <v>3682857.5526364818</v>
      </c>
      <c r="Q19" s="173">
        <f t="shared" si="4"/>
        <v>9.3927537269882899E-2</v>
      </c>
      <c r="R19" s="171">
        <f>'2019'!L19</f>
        <v>45280786.510000005</v>
      </c>
      <c r="S19" s="172">
        <f t="shared" si="5"/>
        <v>-2388367.4200000018</v>
      </c>
      <c r="T19" s="174">
        <f t="shared" si="6"/>
        <v>-5.274571411149287E-2</v>
      </c>
    </row>
    <row r="20" spans="1:20">
      <c r="A20" s="152">
        <v>7121</v>
      </c>
      <c r="B20" s="480" t="str">
        <f>+VLOOKUP($A20,Master!$D$28:$G$224,4,FALSE)</f>
        <v>Doprinosi za penzijsko i invalidsko osiguranje</v>
      </c>
      <c r="C20" s="481"/>
      <c r="D20" s="481"/>
      <c r="E20" s="481"/>
      <c r="F20" s="481"/>
      <c r="G20" s="165">
        <f>'2020'!S20</f>
        <v>137177449.53999999</v>
      </c>
      <c r="H20" s="165">
        <f>SUM('2020'!G113:L113)</f>
        <v>134462941.62430361</v>
      </c>
      <c r="I20" s="166">
        <f t="shared" si="0"/>
        <v>2714507.9156963825</v>
      </c>
      <c r="J20" s="167">
        <f t="shared" si="1"/>
        <v>2.0187777263425133E-2</v>
      </c>
      <c r="K20" s="165">
        <f>SUM('2019'!G20:L20)</f>
        <v>136978398.88999999</v>
      </c>
      <c r="L20" s="166">
        <f t="shared" si="7"/>
        <v>199050.65000000596</v>
      </c>
      <c r="M20" s="168">
        <f t="shared" si="2"/>
        <v>1.4531535746731272E-3</v>
      </c>
      <c r="N20" s="165">
        <f>'2020'!L20</f>
        <v>26475281.460000001</v>
      </c>
      <c r="O20" s="165">
        <f>'2020'!L113</f>
        <v>23760773.544303603</v>
      </c>
      <c r="P20" s="166">
        <f t="shared" si="3"/>
        <v>2714507.9156963974</v>
      </c>
      <c r="Q20" s="167">
        <f t="shared" si="4"/>
        <v>0.11424324677961395</v>
      </c>
      <c r="R20" s="165">
        <f>'2019'!L20</f>
        <v>27009559.609999999</v>
      </c>
      <c r="S20" s="166">
        <f t="shared" si="5"/>
        <v>-534278.14999999851</v>
      </c>
      <c r="T20" s="168">
        <f t="shared" si="6"/>
        <v>-1.9781075949205307E-2</v>
      </c>
    </row>
    <row r="21" spans="1:20">
      <c r="A21" s="152">
        <v>7122</v>
      </c>
      <c r="B21" s="480" t="str">
        <f>+VLOOKUP($A21,Master!$D$28:$G$224,4,FALSE)</f>
        <v>Doprinosi za zdravstveno osiguranje</v>
      </c>
      <c r="C21" s="481"/>
      <c r="D21" s="481"/>
      <c r="E21" s="481"/>
      <c r="F21" s="481"/>
      <c r="G21" s="165">
        <f>'2020'!S21</f>
        <v>71193228.030000001</v>
      </c>
      <c r="H21" s="165">
        <f>SUM('2020'!G114:L114)</f>
        <v>70351766.659656823</v>
      </c>
      <c r="I21" s="166">
        <f t="shared" si="0"/>
        <v>841461.37034317851</v>
      </c>
      <c r="J21" s="167">
        <f t="shared" si="1"/>
        <v>1.1960770998316939E-2</v>
      </c>
      <c r="K21" s="165">
        <f>SUM('2019'!G21:L21)</f>
        <v>83172716.269999996</v>
      </c>
      <c r="L21" s="166">
        <f t="shared" si="7"/>
        <v>-11979488.239999995</v>
      </c>
      <c r="M21" s="168">
        <f t="shared" si="2"/>
        <v>-0.14403146581279735</v>
      </c>
      <c r="N21" s="165">
        <f>'2020'!L21</f>
        <v>14129608.4</v>
      </c>
      <c r="O21" s="165">
        <f>'2020'!L114</f>
        <v>13288147.029656813</v>
      </c>
      <c r="P21" s="166">
        <f t="shared" si="3"/>
        <v>841461.37034318782</v>
      </c>
      <c r="Q21" s="167">
        <f t="shared" si="4"/>
        <v>6.3324206788590853E-2</v>
      </c>
      <c r="R21" s="165">
        <f>'2019'!L21</f>
        <v>15925774.34</v>
      </c>
      <c r="S21" s="166">
        <f t="shared" si="5"/>
        <v>-1796165.9399999995</v>
      </c>
      <c r="T21" s="168">
        <f t="shared" si="6"/>
        <v>-0.11278358600678251</v>
      </c>
    </row>
    <row r="22" spans="1:20">
      <c r="A22" s="152">
        <v>7123</v>
      </c>
      <c r="B22" s="480" t="str">
        <f>+VLOOKUP($A22,Master!$D$28:$G$224,4,FALSE)</f>
        <v>Doprinosi za osiguranje od nezaposlenosti</v>
      </c>
      <c r="C22" s="481"/>
      <c r="D22" s="481"/>
      <c r="E22" s="481"/>
      <c r="F22" s="481"/>
      <c r="G22" s="165">
        <f>'2020'!S22</f>
        <v>6585384.0600000005</v>
      </c>
      <c r="H22" s="165">
        <f>SUM('2020'!G115:L115)</f>
        <v>6504501.2695231847</v>
      </c>
      <c r="I22" s="166">
        <f t="shared" si="0"/>
        <v>80882.790476815775</v>
      </c>
      <c r="J22" s="167">
        <f t="shared" si="1"/>
        <v>1.2434895025048576E-2</v>
      </c>
      <c r="K22" s="165">
        <f>SUM('2019'!G22:L22)</f>
        <v>6380545.2700000005</v>
      </c>
      <c r="L22" s="166">
        <f t="shared" si="7"/>
        <v>204838.79000000004</v>
      </c>
      <c r="M22" s="168">
        <f t="shared" si="2"/>
        <v>3.2103649661904265E-2</v>
      </c>
      <c r="N22" s="165">
        <f>'2020'!L22</f>
        <v>1233975.8400000001</v>
      </c>
      <c r="O22" s="165">
        <f>'2020'!L115</f>
        <v>1153093.0495231841</v>
      </c>
      <c r="P22" s="166">
        <f t="shared" si="3"/>
        <v>80882.790476816008</v>
      </c>
      <c r="Q22" s="167">
        <f t="shared" si="4"/>
        <v>7.0144200860686734E-2</v>
      </c>
      <c r="R22" s="165">
        <f>'2019'!L22</f>
        <v>1222753.49</v>
      </c>
      <c r="S22" s="166">
        <f t="shared" si="5"/>
        <v>11222.350000000093</v>
      </c>
      <c r="T22" s="168">
        <f t="shared" si="6"/>
        <v>9.1779333216215342E-3</v>
      </c>
    </row>
    <row r="23" spans="1:20">
      <c r="A23" s="152">
        <v>7124</v>
      </c>
      <c r="B23" s="480" t="str">
        <f>+VLOOKUP($A23,Master!$D$28:$G$224,4,FALSE)</f>
        <v>Ostali doprinosi</v>
      </c>
      <c r="C23" s="481"/>
      <c r="D23" s="481"/>
      <c r="E23" s="481"/>
      <c r="F23" s="481"/>
      <c r="G23" s="165">
        <f>'2020'!S23</f>
        <v>5450062.0899999999</v>
      </c>
      <c r="H23" s="165">
        <f>SUM('2020'!G116:L116)</f>
        <v>5404056.6138799237</v>
      </c>
      <c r="I23" s="166">
        <f t="shared" si="0"/>
        <v>46005.476120076142</v>
      </c>
      <c r="J23" s="167">
        <f t="shared" si="1"/>
        <v>8.5131373350002537E-3</v>
      </c>
      <c r="K23" s="165">
        <f>SUM('2019'!G23:L23)</f>
        <v>5995150.1900000004</v>
      </c>
      <c r="L23" s="166">
        <f t="shared" si="7"/>
        <v>-545088.10000000056</v>
      </c>
      <c r="M23" s="168">
        <f t="shared" si="2"/>
        <v>-9.0921508673663554E-2</v>
      </c>
      <c r="N23" s="165">
        <f>'2020'!L23</f>
        <v>1053553.3899999999</v>
      </c>
      <c r="O23" s="165">
        <f>'2020'!L116</f>
        <v>1007547.9138799232</v>
      </c>
      <c r="P23" s="166">
        <f t="shared" si="3"/>
        <v>46005.476120076724</v>
      </c>
      <c r="Q23" s="167">
        <f t="shared" si="4"/>
        <v>4.5660832091762416E-2</v>
      </c>
      <c r="R23" s="165">
        <f>'2019'!L23</f>
        <v>1122699.07</v>
      </c>
      <c r="S23" s="166">
        <f t="shared" si="5"/>
        <v>-69145.680000000168</v>
      </c>
      <c r="T23" s="168">
        <f t="shared" si="6"/>
        <v>-6.1588792444622009E-2</v>
      </c>
    </row>
    <row r="24" spans="1:20">
      <c r="A24" s="152">
        <v>713</v>
      </c>
      <c r="B24" s="482" t="str">
        <f>+VLOOKUP($A24,Master!$D$28:$G$224,4,FALSE)</f>
        <v>Takse</v>
      </c>
      <c r="C24" s="483"/>
      <c r="D24" s="483"/>
      <c r="E24" s="483"/>
      <c r="F24" s="483"/>
      <c r="G24" s="177">
        <f>'2020'!S24</f>
        <v>4175877.83</v>
      </c>
      <c r="H24" s="177">
        <f>SUM('2020'!G117:L117)</f>
        <v>4183803.9732355536</v>
      </c>
      <c r="I24" s="178">
        <f t="shared" si="0"/>
        <v>-7926.1432355535217</v>
      </c>
      <c r="J24" s="179">
        <f t="shared" si="1"/>
        <v>-1.8944824581309527E-3</v>
      </c>
      <c r="K24" s="177">
        <f>SUM('2019'!G24:L24)</f>
        <v>6710488.8600000003</v>
      </c>
      <c r="L24" s="178">
        <f t="shared" si="7"/>
        <v>-2534611.0300000003</v>
      </c>
      <c r="M24" s="180">
        <f t="shared" si="2"/>
        <v>-0.37770884996298171</v>
      </c>
      <c r="N24" s="177">
        <f>'2020'!L24</f>
        <v>1014921.49</v>
      </c>
      <c r="O24" s="177">
        <f>'2020'!L117</f>
        <v>1161870.8532355535</v>
      </c>
      <c r="P24" s="178">
        <f t="shared" si="3"/>
        <v>-146949.36323555349</v>
      </c>
      <c r="Q24" s="179">
        <f t="shared" si="4"/>
        <v>-0.12647650367192875</v>
      </c>
      <c r="R24" s="177">
        <f>'2019'!L24</f>
        <v>1252534.6599999999</v>
      </c>
      <c r="S24" s="178">
        <f t="shared" si="5"/>
        <v>-237613.16999999993</v>
      </c>
      <c r="T24" s="180">
        <f t="shared" si="6"/>
        <v>-0.18970586410758483</v>
      </c>
    </row>
    <row r="25" spans="1:20">
      <c r="A25" s="152">
        <v>714</v>
      </c>
      <c r="B25" s="482" t="str">
        <f>+VLOOKUP($A25,Master!$D$28:$G$224,4,FALSE)</f>
        <v>Naknade</v>
      </c>
      <c r="C25" s="483"/>
      <c r="D25" s="483"/>
      <c r="E25" s="483"/>
      <c r="F25" s="483"/>
      <c r="G25" s="177">
        <f>'2020'!S25</f>
        <v>11769561.41</v>
      </c>
      <c r="H25" s="177">
        <f>SUM('2020'!G118:L118)</f>
        <v>11196505.604357364</v>
      </c>
      <c r="I25" s="178">
        <f t="shared" si="0"/>
        <v>573055.80564263649</v>
      </c>
      <c r="J25" s="179">
        <f t="shared" si="1"/>
        <v>5.1181665592130665E-2</v>
      </c>
      <c r="K25" s="177">
        <f>SUM('2019'!G25:L25)</f>
        <v>13448784.5</v>
      </c>
      <c r="L25" s="178">
        <f t="shared" si="7"/>
        <v>-1679223.0899999999</v>
      </c>
      <c r="M25" s="180">
        <f t="shared" si="2"/>
        <v>-0.12486058424090296</v>
      </c>
      <c r="N25" s="177">
        <f>'2020'!L25</f>
        <v>2752546.68</v>
      </c>
      <c r="O25" s="177">
        <f>'2020'!L118</f>
        <v>2179490.8743573632</v>
      </c>
      <c r="P25" s="178">
        <f t="shared" si="3"/>
        <v>573055.80564263696</v>
      </c>
      <c r="Q25" s="179">
        <f t="shared" si="4"/>
        <v>0.26293104154960334</v>
      </c>
      <c r="R25" s="177">
        <f>'2019'!L25</f>
        <v>2081141.31</v>
      </c>
      <c r="S25" s="178">
        <f t="shared" si="5"/>
        <v>671405.37000000011</v>
      </c>
      <c r="T25" s="180">
        <f t="shared" si="6"/>
        <v>0.32261402278348905</v>
      </c>
    </row>
    <row r="26" spans="1:20">
      <c r="A26" s="152">
        <v>715</v>
      </c>
      <c r="B26" s="482" t="str">
        <f>+VLOOKUP($A26,Master!$D$28:$G$224,4,FALSE)</f>
        <v>Ostali prihodi</v>
      </c>
      <c r="C26" s="483"/>
      <c r="D26" s="483"/>
      <c r="E26" s="483"/>
      <c r="F26" s="483"/>
      <c r="G26" s="177">
        <f>'2020'!S26</f>
        <v>13132428.42</v>
      </c>
      <c r="H26" s="177">
        <f>SUM('2020'!G119:L119)</f>
        <v>12946305.318284106</v>
      </c>
      <c r="I26" s="178">
        <f t="shared" si="0"/>
        <v>186123.10171589442</v>
      </c>
      <c r="J26" s="179">
        <f t="shared" si="1"/>
        <v>1.437654196622673E-2</v>
      </c>
      <c r="K26" s="177">
        <f>SUM('2019'!G26:L26)</f>
        <v>19767473.629999999</v>
      </c>
      <c r="L26" s="178">
        <f t="shared" si="7"/>
        <v>-6635045.209999999</v>
      </c>
      <c r="M26" s="180">
        <f t="shared" si="2"/>
        <v>-0.33565468881821903</v>
      </c>
      <c r="N26" s="177">
        <f>'2020'!L26</f>
        <v>1931117.11</v>
      </c>
      <c r="O26" s="177">
        <f>'2020'!L119</f>
        <v>2257816.068284105</v>
      </c>
      <c r="P26" s="178">
        <f t="shared" si="3"/>
        <v>-326698.95828410494</v>
      </c>
      <c r="Q26" s="179">
        <f t="shared" si="4"/>
        <v>-0.14469688779050527</v>
      </c>
      <c r="R26" s="177">
        <f>'2019'!L26</f>
        <v>3262994.81</v>
      </c>
      <c r="S26" s="178">
        <f t="shared" si="5"/>
        <v>-1331877.7</v>
      </c>
      <c r="T26" s="180">
        <f t="shared" si="6"/>
        <v>-0.40817646902723692</v>
      </c>
    </row>
    <row r="27" spans="1:20">
      <c r="A27" s="152">
        <v>73</v>
      </c>
      <c r="B27" s="482" t="str">
        <f>+VLOOKUP($A27,Master!$D$28:$G$224,4,FALSE)</f>
        <v>Primici od otplate kredita i sredstva prenesena iz prethodne godine</v>
      </c>
      <c r="C27" s="483"/>
      <c r="D27" s="483"/>
      <c r="E27" s="483"/>
      <c r="F27" s="483"/>
      <c r="G27" s="177">
        <f>'2020'!S27</f>
        <v>4124580.9200000004</v>
      </c>
      <c r="H27" s="177">
        <f>SUM('2020'!G120:L120)</f>
        <v>2641702.3081483059</v>
      </c>
      <c r="I27" s="178">
        <f t="shared" si="0"/>
        <v>1482878.6118516945</v>
      </c>
      <c r="J27" s="179">
        <f t="shared" si="1"/>
        <v>0.56133448771944106</v>
      </c>
      <c r="K27" s="177">
        <f>SUM('2019'!G27:L27)</f>
        <v>3161318.2800000003</v>
      </c>
      <c r="L27" s="178">
        <f t="shared" si="7"/>
        <v>963262.64000000013</v>
      </c>
      <c r="M27" s="180">
        <f t="shared" si="2"/>
        <v>0.30470283428722023</v>
      </c>
      <c r="N27" s="177">
        <f>'2020'!L27</f>
        <v>977750.68</v>
      </c>
      <c r="O27" s="177">
        <f>'2020'!L120</f>
        <v>172752.84814830567</v>
      </c>
      <c r="P27" s="178">
        <f t="shared" si="3"/>
        <v>804997.83185169438</v>
      </c>
      <c r="Q27" s="179">
        <f t="shared" si="4"/>
        <v>4.6598237915048211</v>
      </c>
      <c r="R27" s="177">
        <f>'2019'!L27</f>
        <v>1298753.81</v>
      </c>
      <c r="S27" s="178">
        <f t="shared" si="5"/>
        <v>-321003.13</v>
      </c>
      <c r="T27" s="180">
        <f t="shared" si="6"/>
        <v>-0.2471624164090036</v>
      </c>
    </row>
    <row r="28" spans="1:20" ht="15.75" thickBot="1">
      <c r="A28" s="152">
        <v>74</v>
      </c>
      <c r="B28" s="486" t="str">
        <f>+VLOOKUP($A28,Master!$D$28:$G$224,4,FALSE)</f>
        <v>Donacije i transferi</v>
      </c>
      <c r="C28" s="487"/>
      <c r="D28" s="487"/>
      <c r="E28" s="487"/>
      <c r="F28" s="487"/>
      <c r="G28" s="177">
        <f>'2020'!S28</f>
        <v>12288835.65</v>
      </c>
      <c r="H28" s="177">
        <f>SUM('2020'!G121:L121)</f>
        <v>12873866.756666664</v>
      </c>
      <c r="I28" s="178">
        <f t="shared" si="0"/>
        <v>-585031.10666666366</v>
      </c>
      <c r="J28" s="179">
        <f t="shared" si="1"/>
        <v>-4.5443309125730136E-2</v>
      </c>
      <c r="K28" s="177">
        <f>SUM('2019'!G28:L28)</f>
        <v>18231631.379999999</v>
      </c>
      <c r="L28" s="178">
        <f t="shared" si="7"/>
        <v>-5942795.7299999986</v>
      </c>
      <c r="M28" s="180">
        <f t="shared" si="2"/>
        <v>-0.3259607221172327</v>
      </c>
      <c r="N28" s="177">
        <f>'2020'!L28</f>
        <v>2579280.8199999998</v>
      </c>
      <c r="O28" s="177">
        <f>'2020'!L121</f>
        <v>2156477.6183333299</v>
      </c>
      <c r="P28" s="178">
        <f t="shared" si="3"/>
        <v>422803.20166666992</v>
      </c>
      <c r="Q28" s="179">
        <f t="shared" si="4"/>
        <v>0.19606194753527761</v>
      </c>
      <c r="R28" s="177">
        <f>'2019'!L28</f>
        <v>827810.06</v>
      </c>
      <c r="S28" s="178">
        <f t="shared" si="5"/>
        <v>1751470.7599999998</v>
      </c>
      <c r="T28" s="180" t="s">
        <v>808</v>
      </c>
    </row>
    <row r="29" spans="1:20" ht="15.75" thickBot="1">
      <c r="A29" s="152">
        <v>4</v>
      </c>
      <c r="B29" s="488" t="str">
        <f>+VLOOKUP($A29,Master!$D$28:$G$224,4,FALSE)</f>
        <v>Izdaci</v>
      </c>
      <c r="C29" s="489"/>
      <c r="D29" s="489"/>
      <c r="E29" s="489"/>
      <c r="F29" s="489"/>
      <c r="G29" s="153">
        <f>'2020'!S29</f>
        <v>954354561.6099999</v>
      </c>
      <c r="H29" s="153">
        <f>SUM('2020'!G122:L122)</f>
        <v>971560103.61857128</v>
      </c>
      <c r="I29" s="154">
        <f t="shared" si="0"/>
        <v>-17205542.008571386</v>
      </c>
      <c r="J29" s="155">
        <f t="shared" si="1"/>
        <v>-1.7709189523622326E-2</v>
      </c>
      <c r="K29" s="153">
        <f>SUM('2019'!G29:L29)</f>
        <v>887961495.71000004</v>
      </c>
      <c r="L29" s="154">
        <f t="shared" si="7"/>
        <v>66393065.899999857</v>
      </c>
      <c r="M29" s="156">
        <f t="shared" si="2"/>
        <v>7.4770208191192955E-2</v>
      </c>
      <c r="N29" s="153">
        <f>'2020'!L29</f>
        <v>172044854.05000001</v>
      </c>
      <c r="O29" s="153">
        <f>'2020'!L122</f>
        <v>189250396.0585714</v>
      </c>
      <c r="P29" s="154">
        <f t="shared" si="3"/>
        <v>-17205542.008571386</v>
      </c>
      <c r="Q29" s="155">
        <f t="shared" si="4"/>
        <v>-9.0914166453033074E-2</v>
      </c>
      <c r="R29" s="153">
        <f>'2019'!L29</f>
        <v>144253014.98999998</v>
      </c>
      <c r="S29" s="154">
        <f t="shared" si="5"/>
        <v>27791839.060000032</v>
      </c>
      <c r="T29" s="156">
        <f t="shared" si="6"/>
        <v>0.19266036874117765</v>
      </c>
    </row>
    <row r="30" spans="1:20">
      <c r="A30" s="152">
        <v>41</v>
      </c>
      <c r="B30" s="492" t="str">
        <f>+VLOOKUP($A30,Master!$D$28:$G$224,4,FALSE)</f>
        <v>Tekući izdaci</v>
      </c>
      <c r="C30" s="493"/>
      <c r="D30" s="493"/>
      <c r="E30" s="493"/>
      <c r="F30" s="493"/>
      <c r="G30" s="327">
        <f>'2020'!S30</f>
        <v>420787448.46999997</v>
      </c>
      <c r="H30" s="327">
        <f>SUM('2020'!G123:L123)</f>
        <v>421671567.4857142</v>
      </c>
      <c r="I30" s="190">
        <f t="shared" si="0"/>
        <v>-884119.01571422815</v>
      </c>
      <c r="J30" s="191">
        <f t="shared" si="1"/>
        <v>-2.09670056955924E-3</v>
      </c>
      <c r="K30" s="327">
        <f>SUM('2019'!G31:L31)</f>
        <v>405230579.22000003</v>
      </c>
      <c r="L30" s="190">
        <f t="shared" si="7"/>
        <v>15556869.24999994</v>
      </c>
      <c r="M30" s="192">
        <f t="shared" si="2"/>
        <v>3.8390166112202806E-2</v>
      </c>
      <c r="N30" s="327">
        <f>'2020'!L30</f>
        <v>69491860.420000002</v>
      </c>
      <c r="O30" s="327">
        <f>'2020'!L123</f>
        <v>70375979.435714275</v>
      </c>
      <c r="P30" s="190">
        <f t="shared" si="3"/>
        <v>-884119.01571427286</v>
      </c>
      <c r="Q30" s="191">
        <f t="shared" si="4"/>
        <v>-1.2562795186699782E-2</v>
      </c>
      <c r="R30" s="327">
        <f>'2019'!L31</f>
        <v>66996432.689999998</v>
      </c>
      <c r="S30" s="190">
        <f t="shared" si="5"/>
        <v>2495427.7300000042</v>
      </c>
      <c r="T30" s="192">
        <f t="shared" si="6"/>
        <v>3.7247173167362924E-2</v>
      </c>
    </row>
    <row r="31" spans="1:20">
      <c r="A31" s="152">
        <v>411</v>
      </c>
      <c r="B31" s="480" t="str">
        <f>+VLOOKUP($A31,Master!$D$28:$G$224,4,FALSE)</f>
        <v>Bruto zarade i doprinosi na teret poslodavca</v>
      </c>
      <c r="C31" s="481"/>
      <c r="D31" s="481"/>
      <c r="E31" s="481"/>
      <c r="F31" s="481"/>
      <c r="G31" s="165">
        <f>'2020'!S31</f>
        <v>249236197.38</v>
      </c>
      <c r="H31" s="165">
        <f>SUM('2020'!G124:L124)</f>
        <v>247949006.08714285</v>
      </c>
      <c r="I31" s="166">
        <f t="shared" si="0"/>
        <v>1287191.2928571403</v>
      </c>
      <c r="J31" s="167">
        <f t="shared" si="1"/>
        <v>5.191354920796698E-3</v>
      </c>
      <c r="K31" s="165">
        <f>SUM('2019'!G32:L32)</f>
        <v>237072452.67000002</v>
      </c>
      <c r="L31" s="166">
        <f t="shared" si="7"/>
        <v>12163744.709999979</v>
      </c>
      <c r="M31" s="168">
        <f t="shared" si="2"/>
        <v>5.1308132062613199E-2</v>
      </c>
      <c r="N31" s="165">
        <f>'2020'!L31</f>
        <v>43040988.659999996</v>
      </c>
      <c r="O31" s="165">
        <f>'2020'!L124</f>
        <v>41753797.367142849</v>
      </c>
      <c r="P31" s="166">
        <f t="shared" si="3"/>
        <v>1287191.2928571478</v>
      </c>
      <c r="Q31" s="167">
        <f t="shared" si="4"/>
        <v>3.0828125201136203E-2</v>
      </c>
      <c r="R31" s="165">
        <f>'2019'!L32</f>
        <v>41565368.68</v>
      </c>
      <c r="S31" s="166">
        <f t="shared" si="5"/>
        <v>1475619.9799999967</v>
      </c>
      <c r="T31" s="168">
        <f t="shared" si="6"/>
        <v>3.5501188293561858E-2</v>
      </c>
    </row>
    <row r="32" spans="1:20">
      <c r="A32" s="152">
        <v>412</v>
      </c>
      <c r="B32" s="480" t="str">
        <f>+VLOOKUP($A32,Master!$D$28:$G$224,4,FALSE)</f>
        <v>Ostala lična primanja</v>
      </c>
      <c r="C32" s="481"/>
      <c r="D32" s="481"/>
      <c r="E32" s="481"/>
      <c r="F32" s="481"/>
      <c r="G32" s="165">
        <f>'2020'!S32</f>
        <v>4992678.26</v>
      </c>
      <c r="H32" s="165">
        <f>SUM('2020'!G125:L125)</f>
        <v>5302419.2057142854</v>
      </c>
      <c r="I32" s="166">
        <f t="shared" si="0"/>
        <v>-309740.9457142856</v>
      </c>
      <c r="J32" s="167">
        <f t="shared" si="1"/>
        <v>-5.8415024104560676E-2</v>
      </c>
      <c r="K32" s="165">
        <f>SUM('2019'!G33:L33)</f>
        <v>5491797.1900000004</v>
      </c>
      <c r="L32" s="166">
        <f t="shared" si="7"/>
        <v>-499118.93000000063</v>
      </c>
      <c r="M32" s="168">
        <f t="shared" si="2"/>
        <v>-9.0884443239973467E-2</v>
      </c>
      <c r="N32" s="165">
        <f>'2020'!L32</f>
        <v>1295833.8</v>
      </c>
      <c r="O32" s="165">
        <f>'2020'!L125</f>
        <v>1605574.7457142856</v>
      </c>
      <c r="P32" s="166">
        <f t="shared" si="3"/>
        <v>-309740.9457142856</v>
      </c>
      <c r="Q32" s="167">
        <f t="shared" si="4"/>
        <v>-0.19291593028668907</v>
      </c>
      <c r="R32" s="165">
        <f>'2019'!L33</f>
        <v>646080.03</v>
      </c>
      <c r="S32" s="166">
        <f t="shared" si="5"/>
        <v>649753.77</v>
      </c>
      <c r="T32" s="168">
        <f t="shared" si="6"/>
        <v>1.0056861995873794</v>
      </c>
    </row>
    <row r="33" spans="1:20">
      <c r="A33" s="152">
        <v>413</v>
      </c>
      <c r="B33" s="480" t="str">
        <f>+VLOOKUP($A33,Master!$D$28:$G$224,4,FALSE)</f>
        <v>Rashodi za materijal</v>
      </c>
      <c r="C33" s="481"/>
      <c r="D33" s="481"/>
      <c r="E33" s="481"/>
      <c r="F33" s="481"/>
      <c r="G33" s="165">
        <f>'2020'!S33</f>
        <v>14502702.07</v>
      </c>
      <c r="H33" s="165">
        <f>SUM('2020'!G126:L126)</f>
        <v>15742471.547142856</v>
      </c>
      <c r="I33" s="166">
        <f t="shared" si="0"/>
        <v>-1239769.4771428555</v>
      </c>
      <c r="J33" s="167">
        <f t="shared" si="1"/>
        <v>-7.8753166135965724E-2</v>
      </c>
      <c r="K33" s="165">
        <f>SUM('2019'!G34:L34)</f>
        <v>13810120.939999999</v>
      </c>
      <c r="L33" s="166">
        <f t="shared" si="7"/>
        <v>692581.13000000082</v>
      </c>
      <c r="M33" s="168">
        <f t="shared" si="2"/>
        <v>5.0150258133800252E-2</v>
      </c>
      <c r="N33" s="165">
        <f>'2020'!L33</f>
        <v>2091814.74</v>
      </c>
      <c r="O33" s="165">
        <f>'2020'!L126</f>
        <v>3331584.2171428567</v>
      </c>
      <c r="P33" s="166">
        <f t="shared" si="3"/>
        <v>-1239769.4771428567</v>
      </c>
      <c r="Q33" s="167">
        <f t="shared" si="4"/>
        <v>-0.37212611068438617</v>
      </c>
      <c r="R33" s="165">
        <f>'2019'!L34</f>
        <v>3136860.85</v>
      </c>
      <c r="S33" s="166">
        <f t="shared" si="5"/>
        <v>-1045046.1100000001</v>
      </c>
      <c r="T33" s="168">
        <f t="shared" si="6"/>
        <v>-0.3331502925926727</v>
      </c>
    </row>
    <row r="34" spans="1:20">
      <c r="A34" s="152">
        <v>414</v>
      </c>
      <c r="B34" s="480" t="str">
        <f>+VLOOKUP($A34,Master!$D$28:$G$224,4,FALSE)</f>
        <v>Rashodi za usluge</v>
      </c>
      <c r="C34" s="481"/>
      <c r="D34" s="481"/>
      <c r="E34" s="481"/>
      <c r="F34" s="481"/>
      <c r="G34" s="165">
        <f>'2020'!S34</f>
        <v>36254671.819999993</v>
      </c>
      <c r="H34" s="165">
        <f>SUM('2020'!G127:L127)</f>
        <v>34857508.051428571</v>
      </c>
      <c r="I34" s="166">
        <f t="shared" si="0"/>
        <v>1397163.7685714215</v>
      </c>
      <c r="J34" s="167">
        <f t="shared" si="1"/>
        <v>4.0082147195090734E-2</v>
      </c>
      <c r="K34" s="165">
        <f>SUM('2019'!G35:L35)</f>
        <v>26774347.520000003</v>
      </c>
      <c r="L34" s="166">
        <f t="shared" si="7"/>
        <v>9480324.2999999896</v>
      </c>
      <c r="M34" s="168">
        <f t="shared" si="2"/>
        <v>0.35408236532816884</v>
      </c>
      <c r="N34" s="165">
        <f>'2020'!L34</f>
        <v>5887324.7699999996</v>
      </c>
      <c r="O34" s="165">
        <f>'2020'!L127</f>
        <v>4490161.0014285715</v>
      </c>
      <c r="P34" s="166">
        <f t="shared" si="3"/>
        <v>1397163.768571428</v>
      </c>
      <c r="Q34" s="167">
        <f t="shared" si="4"/>
        <v>0.31116117398171506</v>
      </c>
      <c r="R34" s="165">
        <f>'2019'!L35</f>
        <v>6083915.8499999996</v>
      </c>
      <c r="S34" s="166">
        <f t="shared" si="5"/>
        <v>-196591.08000000007</v>
      </c>
      <c r="T34" s="168">
        <f t="shared" si="6"/>
        <v>-3.231324772514732E-2</v>
      </c>
    </row>
    <row r="35" spans="1:20">
      <c r="A35" s="152">
        <v>415</v>
      </c>
      <c r="B35" s="480" t="str">
        <f>+VLOOKUP($A35,Master!$D$28:$G$224,4,FALSE)</f>
        <v>Rashodi za tekuće održavanje</v>
      </c>
      <c r="C35" s="481"/>
      <c r="D35" s="481"/>
      <c r="E35" s="481"/>
      <c r="F35" s="481"/>
      <c r="G35" s="165">
        <f>'2020'!S35</f>
        <v>9863899.1700000018</v>
      </c>
      <c r="H35" s="165">
        <f>SUM('2020'!G128:L128)</f>
        <v>10637420.115714286</v>
      </c>
      <c r="I35" s="166">
        <f t="shared" si="0"/>
        <v>-773520.94571428373</v>
      </c>
      <c r="J35" s="167">
        <f t="shared" si="1"/>
        <v>-7.2716968710447749E-2</v>
      </c>
      <c r="K35" s="165">
        <f>SUM('2019'!G36:L36)</f>
        <v>7858245.3100000005</v>
      </c>
      <c r="L35" s="166">
        <f t="shared" si="7"/>
        <v>2005653.8600000013</v>
      </c>
      <c r="M35" s="168">
        <f t="shared" si="2"/>
        <v>0.25522922495785516</v>
      </c>
      <c r="N35" s="165">
        <f>'2020'!L35</f>
        <v>1791066.21</v>
      </c>
      <c r="O35" s="165">
        <f>'2020'!L128</f>
        <v>2564587.1557142856</v>
      </c>
      <c r="P35" s="166">
        <f t="shared" si="3"/>
        <v>-773520.9457142856</v>
      </c>
      <c r="Q35" s="167">
        <f t="shared" si="4"/>
        <v>-0.30161616616957809</v>
      </c>
      <c r="R35" s="165">
        <f>'2019'!L36</f>
        <v>1355956.76</v>
      </c>
      <c r="S35" s="166">
        <f t="shared" si="5"/>
        <v>435109.44999999995</v>
      </c>
      <c r="T35" s="168">
        <f t="shared" si="6"/>
        <v>0.32088740794359838</v>
      </c>
    </row>
    <row r="36" spans="1:20">
      <c r="A36" s="152">
        <v>416</v>
      </c>
      <c r="B36" s="480" t="str">
        <f>+VLOOKUP($A36,Master!$D$28:$G$224,4,FALSE)</f>
        <v>Kamate</v>
      </c>
      <c r="C36" s="481"/>
      <c r="D36" s="481"/>
      <c r="E36" s="481"/>
      <c r="F36" s="481"/>
      <c r="G36" s="165">
        <f>'2020'!S36</f>
        <v>66526657.25999999</v>
      </c>
      <c r="H36" s="165">
        <f>SUM('2020'!G129:L129)</f>
        <v>66384954.459999993</v>
      </c>
      <c r="I36" s="166">
        <f t="shared" si="0"/>
        <v>141702.79999999702</v>
      </c>
      <c r="J36" s="167">
        <f t="shared" si="1"/>
        <v>2.1345619824952866E-3</v>
      </c>
      <c r="K36" s="165">
        <f>SUM('2019'!G37:L37)</f>
        <v>69955590.890000001</v>
      </c>
      <c r="L36" s="166">
        <f t="shared" si="7"/>
        <v>-3428933.6300000101</v>
      </c>
      <c r="M36" s="168">
        <f t="shared" si="2"/>
        <v>-4.9015862583331682E-2</v>
      </c>
      <c r="N36" s="165">
        <f>'2020'!L36</f>
        <v>5339935.2699999996</v>
      </c>
      <c r="O36" s="165">
        <f>'2020'!L129</f>
        <v>5198232.47</v>
      </c>
      <c r="P36" s="166">
        <f t="shared" si="3"/>
        <v>141702.79999999981</v>
      </c>
      <c r="Q36" s="167">
        <f t="shared" si="4"/>
        <v>2.7259804331144055E-2</v>
      </c>
      <c r="R36" s="165">
        <f>'2019'!L37</f>
        <v>5411766.9400000004</v>
      </c>
      <c r="S36" s="166">
        <f t="shared" si="5"/>
        <v>-71831.670000000857</v>
      </c>
      <c r="T36" s="168">
        <f t="shared" si="6"/>
        <v>-1.3273237890026546E-2</v>
      </c>
    </row>
    <row r="37" spans="1:20">
      <c r="A37" s="152">
        <v>417</v>
      </c>
      <c r="B37" s="480" t="str">
        <f>+VLOOKUP($A37,Master!$D$28:$G$224,4,FALSE)</f>
        <v>Renta</v>
      </c>
      <c r="C37" s="481"/>
      <c r="D37" s="481"/>
      <c r="E37" s="481"/>
      <c r="F37" s="481"/>
      <c r="G37" s="165">
        <f>'2020'!S37</f>
        <v>4980061.3</v>
      </c>
      <c r="H37" s="165">
        <f>SUM('2020'!G130:L130)</f>
        <v>5176581.2371428572</v>
      </c>
      <c r="I37" s="166">
        <f t="shared" si="0"/>
        <v>-196519.93714285735</v>
      </c>
      <c r="J37" s="167">
        <f t="shared" si="1"/>
        <v>-3.7963267287837166E-2</v>
      </c>
      <c r="K37" s="165">
        <f>SUM('2019'!G38:L38)</f>
        <v>4508865.12</v>
      </c>
      <c r="L37" s="166">
        <f t="shared" si="7"/>
        <v>471196.1799999997</v>
      </c>
      <c r="M37" s="168">
        <f t="shared" si="2"/>
        <v>0.10450438579542154</v>
      </c>
      <c r="N37" s="165">
        <f>'2020'!L37</f>
        <v>795087.54</v>
      </c>
      <c r="O37" s="165">
        <f>'2020'!L130</f>
        <v>991607.47714285715</v>
      </c>
      <c r="P37" s="166">
        <f t="shared" si="3"/>
        <v>-196519.93714285712</v>
      </c>
      <c r="Q37" s="167">
        <f t="shared" si="4"/>
        <v>-0.19818319412949048</v>
      </c>
      <c r="R37" s="165">
        <f>'2019'!L38</f>
        <v>606326.98</v>
      </c>
      <c r="S37" s="166">
        <f t="shared" si="5"/>
        <v>188760.56000000006</v>
      </c>
      <c r="T37" s="168">
        <f t="shared" si="6"/>
        <v>0.3113180944051015</v>
      </c>
    </row>
    <row r="38" spans="1:20">
      <c r="A38" s="152">
        <v>418</v>
      </c>
      <c r="B38" s="480" t="str">
        <f>+VLOOKUP($A38,Master!$D$28:$G$224,4,FALSE)</f>
        <v>Subvencije</v>
      </c>
      <c r="C38" s="481"/>
      <c r="D38" s="481"/>
      <c r="E38" s="481"/>
      <c r="F38" s="481"/>
      <c r="G38" s="165">
        <f>'2020'!S38</f>
        <v>12203377.130000001</v>
      </c>
      <c r="H38" s="165">
        <f>SUM('2020'!G131:L131)</f>
        <v>13642026.961428571</v>
      </c>
      <c r="I38" s="166">
        <f t="shared" si="0"/>
        <v>-1438649.8314285707</v>
      </c>
      <c r="J38" s="167">
        <f t="shared" si="1"/>
        <v>-0.10545719015921939</v>
      </c>
      <c r="K38" s="165">
        <f>SUM('2019'!G39:L39)</f>
        <v>10454587.060000001</v>
      </c>
      <c r="L38" s="166">
        <f t="shared" si="7"/>
        <v>1748790.0700000003</v>
      </c>
      <c r="M38" s="168">
        <f t="shared" si="2"/>
        <v>0.16727490621709928</v>
      </c>
      <c r="N38" s="165">
        <f>'2020'!L38</f>
        <v>2801785.17</v>
      </c>
      <c r="O38" s="165">
        <f>'2020'!L131</f>
        <v>4240435.0014285715</v>
      </c>
      <c r="P38" s="166">
        <f t="shared" si="3"/>
        <v>-1438649.8314285716</v>
      </c>
      <c r="Q38" s="167">
        <f t="shared" si="4"/>
        <v>-0.33926939829142555</v>
      </c>
      <c r="R38" s="165">
        <f>'2019'!L39</f>
        <v>1487101.06</v>
      </c>
      <c r="S38" s="166">
        <f t="shared" si="5"/>
        <v>1314684.1099999999</v>
      </c>
      <c r="T38" s="168">
        <f t="shared" si="6"/>
        <v>0.8840583504123114</v>
      </c>
    </row>
    <row r="39" spans="1:20">
      <c r="A39" s="152">
        <v>419</v>
      </c>
      <c r="B39" s="480" t="str">
        <f>+VLOOKUP($A39,Master!$D$28:$G$224,4,FALSE)</f>
        <v>Ostali izdaci</v>
      </c>
      <c r="C39" s="481"/>
      <c r="D39" s="481"/>
      <c r="E39" s="481"/>
      <c r="F39" s="481"/>
      <c r="G39" s="165">
        <f>'2020'!S39</f>
        <v>22227204.079999998</v>
      </c>
      <c r="H39" s="165">
        <f>SUM('2020'!G132:L132)</f>
        <v>21979179.82</v>
      </c>
      <c r="I39" s="166">
        <f t="shared" si="0"/>
        <v>248024.25999999791</v>
      </c>
      <c r="J39" s="167">
        <f t="shared" si="1"/>
        <v>1.1284509341622728E-2</v>
      </c>
      <c r="K39" s="165">
        <f>SUM('2019'!G40:L40)</f>
        <v>16161063.899999999</v>
      </c>
      <c r="L39" s="166">
        <f t="shared" si="7"/>
        <v>6066140.1799999997</v>
      </c>
      <c r="M39" s="168">
        <f t="shared" si="2"/>
        <v>0.37535524997212599</v>
      </c>
      <c r="N39" s="165">
        <f>'2020'!L39</f>
        <v>6448024.2599999998</v>
      </c>
      <c r="O39" s="165">
        <f>'2020'!L132</f>
        <v>6200000</v>
      </c>
      <c r="P39" s="166">
        <f t="shared" si="3"/>
        <v>248024.25999999978</v>
      </c>
      <c r="Q39" s="167">
        <f t="shared" si="4"/>
        <v>4.0003912903225691E-2</v>
      </c>
      <c r="R39" s="165">
        <f>'2019'!L40</f>
        <v>3619345.61</v>
      </c>
      <c r="S39" s="166">
        <f t="shared" si="5"/>
        <v>2828678.65</v>
      </c>
      <c r="T39" s="168">
        <f t="shared" si="6"/>
        <v>0.78154422229934539</v>
      </c>
    </row>
    <row r="40" spans="1:20">
      <c r="A40" s="152">
        <v>42</v>
      </c>
      <c r="B40" s="496" t="str">
        <f>+VLOOKUP($A40,Master!$D$28:$G$224,4,FALSE)</f>
        <v>Transferi za socijalnu zaštitu</v>
      </c>
      <c r="C40" s="497"/>
      <c r="D40" s="497"/>
      <c r="E40" s="497"/>
      <c r="F40" s="497"/>
      <c r="G40" s="177">
        <f>'2020'!S40</f>
        <v>267170693.35999998</v>
      </c>
      <c r="H40" s="177">
        <f>SUM('2020'!G133:L133)</f>
        <v>278476966.3142857</v>
      </c>
      <c r="I40" s="196">
        <f t="shared" si="0"/>
        <v>-11306272.954285711</v>
      </c>
      <c r="J40" s="197">
        <f t="shared" si="1"/>
        <v>-4.0600388261647469E-2</v>
      </c>
      <c r="K40" s="177">
        <f>SUM('2019'!G42:L42)</f>
        <v>271143031.92000002</v>
      </c>
      <c r="L40" s="196">
        <f t="shared" si="7"/>
        <v>-3972338.5600000322</v>
      </c>
      <c r="M40" s="198">
        <f t="shared" si="2"/>
        <v>-1.4650343517483622E-2</v>
      </c>
      <c r="N40" s="177">
        <f>'2020'!L40</f>
        <v>38562298.870000005</v>
      </c>
      <c r="O40" s="177">
        <f>'2020'!L133</f>
        <v>49868571.824285723</v>
      </c>
      <c r="P40" s="196">
        <f t="shared" si="3"/>
        <v>-11306272.954285719</v>
      </c>
      <c r="Q40" s="197">
        <f t="shared" si="4"/>
        <v>-0.22672141071382412</v>
      </c>
      <c r="R40" s="177">
        <f>'2019'!L42</f>
        <v>45746699.100000001</v>
      </c>
      <c r="S40" s="196">
        <f t="shared" si="5"/>
        <v>-7184400.2299999967</v>
      </c>
      <c r="T40" s="198" t="s">
        <v>808</v>
      </c>
    </row>
    <row r="41" spans="1:20">
      <c r="A41" s="152">
        <v>421</v>
      </c>
      <c r="B41" s="480" t="str">
        <f>+VLOOKUP($A41,Master!$D$28:$G$224,4,FALSE)</f>
        <v>Prava iz oblasti socijalne zaštite</v>
      </c>
      <c r="C41" s="481"/>
      <c r="D41" s="481"/>
      <c r="E41" s="481"/>
      <c r="F41" s="481"/>
      <c r="G41" s="165">
        <f>'2020'!S41</f>
        <v>38914988.219999999</v>
      </c>
      <c r="H41" s="165">
        <f>SUM('2020'!G134:L134)</f>
        <v>40129872.920000002</v>
      </c>
      <c r="I41" s="166">
        <f t="shared" si="0"/>
        <v>-1214884.700000003</v>
      </c>
      <c r="J41" s="167">
        <f t="shared" si="1"/>
        <v>-3.027382375274168E-2</v>
      </c>
      <c r="K41" s="165">
        <f>SUM('2019'!G43:L43)</f>
        <v>39036726.319999993</v>
      </c>
      <c r="L41" s="166">
        <f t="shared" si="7"/>
        <v>-121738.09999999404</v>
      </c>
      <c r="M41" s="168">
        <f t="shared" si="2"/>
        <v>-3.1185530006296869E-3</v>
      </c>
      <c r="N41" s="165">
        <f>'2020'!L41</f>
        <v>6185136.4800000004</v>
      </c>
      <c r="O41" s="165">
        <f>'2020'!L134</f>
        <v>7400021.1800000006</v>
      </c>
      <c r="P41" s="166">
        <f t="shared" si="3"/>
        <v>-1214884.7000000002</v>
      </c>
      <c r="Q41" s="167">
        <f t="shared" si="4"/>
        <v>-0.16417313821796387</v>
      </c>
      <c r="R41" s="165">
        <f>'2019'!L43</f>
        <v>6536921.0899999999</v>
      </c>
      <c r="S41" s="166">
        <f t="shared" si="5"/>
        <v>-351784.6099999994</v>
      </c>
      <c r="T41" s="168">
        <f t="shared" si="6"/>
        <v>-5.3815030831280808E-2</v>
      </c>
    </row>
    <row r="42" spans="1:20">
      <c r="A42" s="152">
        <v>422</v>
      </c>
      <c r="B42" s="480" t="str">
        <f>+VLOOKUP($A42,Master!$D$28:$G$224,4,FALSE)</f>
        <v>Sredstva za tehnološke viškove</v>
      </c>
      <c r="C42" s="481"/>
      <c r="D42" s="481"/>
      <c r="E42" s="481"/>
      <c r="F42" s="481"/>
      <c r="G42" s="165">
        <f>'2020'!S42</f>
        <v>7631990.9199999999</v>
      </c>
      <c r="H42" s="165">
        <f>SUM('2020'!G135:L135)</f>
        <v>8159876.4342857143</v>
      </c>
      <c r="I42" s="166">
        <f t="shared" si="0"/>
        <v>-527885.51428571437</v>
      </c>
      <c r="J42" s="167">
        <f t="shared" si="1"/>
        <v>-6.4692831875207579E-2</v>
      </c>
      <c r="K42" s="165">
        <f>SUM('2019'!G44:L44)</f>
        <v>6171418.71</v>
      </c>
      <c r="L42" s="166">
        <f t="shared" si="7"/>
        <v>1460572.21</v>
      </c>
      <c r="M42" s="168">
        <f t="shared" si="2"/>
        <v>0.23666717146145477</v>
      </c>
      <c r="N42" s="165">
        <f>'2020'!L42</f>
        <v>1505135.2</v>
      </c>
      <c r="O42" s="165">
        <f>'2020'!L135</f>
        <v>2033020.7142857143</v>
      </c>
      <c r="P42" s="166">
        <f t="shared" si="3"/>
        <v>-527885.51428571437</v>
      </c>
      <c r="Q42" s="167">
        <f t="shared" si="4"/>
        <v>-0.25965574800903235</v>
      </c>
      <c r="R42" s="165">
        <f>'2019'!L44</f>
        <v>1381621.25</v>
      </c>
      <c r="S42" s="166">
        <f t="shared" si="5"/>
        <v>123513.94999999995</v>
      </c>
      <c r="T42" s="168">
        <f t="shared" si="6"/>
        <v>8.9397836056734015E-2</v>
      </c>
    </row>
    <row r="43" spans="1:20">
      <c r="A43" s="152">
        <v>423</v>
      </c>
      <c r="B43" s="480" t="str">
        <f>+VLOOKUP($A43,Master!$D$28:$G$224,4,FALSE)</f>
        <v>Prava iz oblasti penzijskog i invalidskog osiguranja</v>
      </c>
      <c r="C43" s="481"/>
      <c r="D43" s="481"/>
      <c r="E43" s="481"/>
      <c r="F43" s="481"/>
      <c r="G43" s="165">
        <f>'2020'!S43</f>
        <v>205502179.02000001</v>
      </c>
      <c r="H43" s="165">
        <f>SUM('2020'!G136:L136)</f>
        <v>215118319.56857145</v>
      </c>
      <c r="I43" s="166">
        <f t="shared" si="0"/>
        <v>-9616140.5485714376</v>
      </c>
      <c r="J43" s="167">
        <f t="shared" si="1"/>
        <v>-4.4701634746203811E-2</v>
      </c>
      <c r="K43" s="165">
        <f>SUM('2019'!G45:L45)</f>
        <v>210490849.90000001</v>
      </c>
      <c r="L43" s="166">
        <f t="shared" si="7"/>
        <v>-4988670.8799999952</v>
      </c>
      <c r="M43" s="168">
        <f t="shared" si="2"/>
        <v>-2.3700179282709954E-2</v>
      </c>
      <c r="N43" s="165">
        <f>'2020'!L43</f>
        <v>28226705.280000001</v>
      </c>
      <c r="O43" s="165">
        <f>'2020'!L136</f>
        <v>37842845.828571431</v>
      </c>
      <c r="P43" s="166">
        <f t="shared" si="3"/>
        <v>-9616140.5485714301</v>
      </c>
      <c r="Q43" s="167">
        <f t="shared" si="4"/>
        <v>-0.25410722523704132</v>
      </c>
      <c r="R43" s="165">
        <f>'2019'!L45</f>
        <v>35185457.75</v>
      </c>
      <c r="S43" s="166">
        <f t="shared" si="5"/>
        <v>-6958752.4699999988</v>
      </c>
      <c r="T43" s="168" t="s">
        <v>756</v>
      </c>
    </row>
    <row r="44" spans="1:20">
      <c r="A44" s="152">
        <v>424</v>
      </c>
      <c r="B44" s="480" t="str">
        <f>+VLOOKUP($A44,Master!$D$28:$G$224,4,FALSE)</f>
        <v>Ostala prava iz oblasti zdravstvene zaštite</v>
      </c>
      <c r="C44" s="481"/>
      <c r="D44" s="481"/>
      <c r="E44" s="481"/>
      <c r="F44" s="481"/>
      <c r="G44" s="165">
        <f>'2020'!S44</f>
        <v>10563109.669999998</v>
      </c>
      <c r="H44" s="165">
        <f>SUM('2020'!G137:L137)</f>
        <v>10227982.319999998</v>
      </c>
      <c r="I44" s="166">
        <f t="shared" si="0"/>
        <v>335127.34999999963</v>
      </c>
      <c r="J44" s="167">
        <f t="shared" si="1"/>
        <v>3.2765734190279616E-2</v>
      </c>
      <c r="K44" s="165">
        <f>SUM('2019'!G46:L46)</f>
        <v>10199905.73</v>
      </c>
      <c r="L44" s="166">
        <f t="shared" si="7"/>
        <v>363203.93999999762</v>
      </c>
      <c r="M44" s="168">
        <f t="shared" si="2"/>
        <v>3.5608558511647903E-2</v>
      </c>
      <c r="N44" s="165">
        <f>'2020'!L44</f>
        <v>1963797.13</v>
      </c>
      <c r="O44" s="165">
        <f>'2020'!L137</f>
        <v>1628669.78</v>
      </c>
      <c r="P44" s="166">
        <f t="shared" si="3"/>
        <v>335127.34999999986</v>
      </c>
      <c r="Q44" s="167">
        <f t="shared" si="4"/>
        <v>0.20576752520084196</v>
      </c>
      <c r="R44" s="165">
        <f>'2019'!L46</f>
        <v>1732967.4</v>
      </c>
      <c r="S44" s="166">
        <f t="shared" si="5"/>
        <v>230829.72999999998</v>
      </c>
      <c r="T44" s="168">
        <f t="shared" si="6"/>
        <v>0.13319911846004717</v>
      </c>
    </row>
    <row r="45" spans="1:20">
      <c r="A45" s="152">
        <v>425</v>
      </c>
      <c r="B45" s="480" t="str">
        <f>+VLOOKUP($A45,Master!$D$28:$G$224,4,FALSE)</f>
        <v>Ostala prava iz zdravstvenog osiguranja</v>
      </c>
      <c r="C45" s="481"/>
      <c r="D45" s="481"/>
      <c r="E45" s="481"/>
      <c r="F45" s="481"/>
      <c r="G45" s="165">
        <f>'2020'!S45</f>
        <v>4558425.53</v>
      </c>
      <c r="H45" s="165">
        <f>SUM('2020'!G138:L138)</f>
        <v>4840915.0714285718</v>
      </c>
      <c r="I45" s="166">
        <f t="shared" si="0"/>
        <v>-282489.54142857157</v>
      </c>
      <c r="J45" s="167">
        <f t="shared" si="1"/>
        <v>-5.8354574963697448E-2</v>
      </c>
      <c r="K45" s="165">
        <f>SUM('2019'!G47:L47)</f>
        <v>5244131.2600000007</v>
      </c>
      <c r="L45" s="166">
        <f t="shared" si="7"/>
        <v>-685705.73000000045</v>
      </c>
      <c r="M45" s="168">
        <f t="shared" si="2"/>
        <v>-0.13075678239220889</v>
      </c>
      <c r="N45" s="165">
        <f>'2020'!L45</f>
        <v>681524.78</v>
      </c>
      <c r="O45" s="165">
        <f>'2020'!L138</f>
        <v>964014.32142857148</v>
      </c>
      <c r="P45" s="166">
        <f t="shared" si="3"/>
        <v>-282489.54142857145</v>
      </c>
      <c r="Q45" s="167">
        <f t="shared" si="4"/>
        <v>-0.293034589994421</v>
      </c>
      <c r="R45" s="165">
        <f>'2019'!L47</f>
        <v>909731.61</v>
      </c>
      <c r="S45" s="166">
        <f t="shared" si="5"/>
        <v>-228206.82999999996</v>
      </c>
      <c r="T45" s="168">
        <f t="shared" si="6"/>
        <v>-0.25085072068673087</v>
      </c>
    </row>
    <row r="46" spans="1:20">
      <c r="A46" s="152">
        <v>43</v>
      </c>
      <c r="B46" s="494" t="str">
        <f>+VLOOKUP($A46,Master!$D$28:$G$224,4,FALSE)</f>
        <v xml:space="preserve">Transferi institucijama, pojedincima, nevladinom i javnom sektoru </v>
      </c>
      <c r="C46" s="495"/>
      <c r="D46" s="495"/>
      <c r="E46" s="495"/>
      <c r="F46" s="495"/>
      <c r="G46" s="177">
        <f>'2020'!S46</f>
        <v>131243549.56</v>
      </c>
      <c r="H46" s="177">
        <f>SUM('2020'!G139:L139)</f>
        <v>135825157.73285714</v>
      </c>
      <c r="I46" s="178">
        <f t="shared" si="0"/>
        <v>-4581608.1728571355</v>
      </c>
      <c r="J46" s="179">
        <f t="shared" si="1"/>
        <v>-3.3731660977477484E-2</v>
      </c>
      <c r="K46" s="177">
        <f>SUM('2019'!G48:L48)</f>
        <v>98011907.569999993</v>
      </c>
      <c r="L46" s="178">
        <f t="shared" si="7"/>
        <v>33231641.99000001</v>
      </c>
      <c r="M46" s="180">
        <f t="shared" si="2"/>
        <v>0.33905719023238068</v>
      </c>
      <c r="N46" s="177">
        <f>'2020'!L46</f>
        <v>18902264.34</v>
      </c>
      <c r="O46" s="177">
        <f>'2020'!L139</f>
        <v>23483872.51285715</v>
      </c>
      <c r="P46" s="178">
        <f t="shared" si="3"/>
        <v>-4581608.1728571504</v>
      </c>
      <c r="Q46" s="179">
        <f t="shared" si="4"/>
        <v>-0.19509593957933358</v>
      </c>
      <c r="R46" s="177">
        <f>'2019'!L48</f>
        <v>13582344.5</v>
      </c>
      <c r="S46" s="178">
        <f t="shared" si="5"/>
        <v>5319919.84</v>
      </c>
      <c r="T46" s="180" t="s">
        <v>756</v>
      </c>
    </row>
    <row r="47" spans="1:20">
      <c r="A47" s="152">
        <v>44</v>
      </c>
      <c r="B47" s="494" t="str">
        <f>+VLOOKUP($A47,Master!$D$28:$G$224,4,FALSE)</f>
        <v>Kapitalni izdaci</v>
      </c>
      <c r="C47" s="495"/>
      <c r="D47" s="495"/>
      <c r="E47" s="495"/>
      <c r="F47" s="495"/>
      <c r="G47" s="177">
        <f>'2020'!S47</f>
        <v>84472141.599999994</v>
      </c>
      <c r="H47" s="177">
        <f>SUM('2020'!G140:L140)</f>
        <v>84974117.670000002</v>
      </c>
      <c r="I47" s="178">
        <f t="shared" si="0"/>
        <v>-501976.07000000775</v>
      </c>
      <c r="J47" s="179">
        <f t="shared" si="1"/>
        <v>-5.9073996148973906E-3</v>
      </c>
      <c r="K47" s="177">
        <f>SUM('2019'!G41:L41)+SUM('2019'!G49:L49)</f>
        <v>99786182.120000005</v>
      </c>
      <c r="L47" s="178">
        <f t="shared" si="7"/>
        <v>-15314040.520000011</v>
      </c>
      <c r="M47" s="180">
        <f t="shared" si="2"/>
        <v>-0.15346854839664859</v>
      </c>
      <c r="N47" s="177">
        <f>'2020'!L47</f>
        <v>24498023.93</v>
      </c>
      <c r="O47" s="177">
        <f>'2020'!L140</f>
        <v>25000000</v>
      </c>
      <c r="P47" s="178">
        <f t="shared" si="3"/>
        <v>-501976.0700000003</v>
      </c>
      <c r="Q47" s="179">
        <f t="shared" si="4"/>
        <v>-2.0079042800000058E-2</v>
      </c>
      <c r="R47" s="177">
        <f>'2019'!L41+'2019'!L49</f>
        <v>17512165.359999999</v>
      </c>
      <c r="S47" s="178">
        <f t="shared" si="5"/>
        <v>6985858.5700000003</v>
      </c>
      <c r="T47" s="180">
        <f t="shared" si="6"/>
        <v>0.39891460743949936</v>
      </c>
    </row>
    <row r="48" spans="1:20">
      <c r="A48" s="152">
        <v>451</v>
      </c>
      <c r="B48" s="498" t="str">
        <f>+VLOOKUP($A48,Master!$D$28:$G$224,4,FALSE)</f>
        <v>Pozajmice i krediti</v>
      </c>
      <c r="C48" s="499"/>
      <c r="D48" s="499"/>
      <c r="E48" s="499"/>
      <c r="F48" s="499"/>
      <c r="G48" s="165">
        <f>'2020'!S48</f>
        <v>820494</v>
      </c>
      <c r="H48" s="165">
        <f>SUM('2020'!G141:L141)</f>
        <v>697698.57142857136</v>
      </c>
      <c r="I48" s="166">
        <f>G48-H48</f>
        <v>122795.42857142864</v>
      </c>
      <c r="J48" s="287">
        <f t="shared" si="1"/>
        <v>0.17600068797618307</v>
      </c>
      <c r="K48" s="165">
        <f>SUM('2019'!G50:L50)</f>
        <v>1305607.98</v>
      </c>
      <c r="L48" s="293">
        <f t="shared" si="7"/>
        <v>-485113.98</v>
      </c>
      <c r="M48" s="296">
        <f t="shared" si="2"/>
        <v>-0.37156174550955179</v>
      </c>
      <c r="N48" s="165">
        <f>'2020'!L48</f>
        <v>269846</v>
      </c>
      <c r="O48" s="165">
        <f>'2020'!L141</f>
        <v>147050.57142857142</v>
      </c>
      <c r="P48" s="166">
        <f t="shared" si="3"/>
        <v>122795.42857142858</v>
      </c>
      <c r="Q48" s="287">
        <f t="shared" si="4"/>
        <v>0.83505577284393917</v>
      </c>
      <c r="R48" s="165">
        <f>'2019'!L50</f>
        <v>358750</v>
      </c>
      <c r="S48" s="293">
        <f t="shared" si="5"/>
        <v>-88904</v>
      </c>
      <c r="T48" s="297">
        <f t="shared" si="6"/>
        <v>-0.24781602787456447</v>
      </c>
    </row>
    <row r="49" spans="1:23">
      <c r="A49" s="152">
        <v>47</v>
      </c>
      <c r="B49" s="498" t="str">
        <f>+VLOOKUP($A49,Master!$D$28:$G$224,4,FALSE)</f>
        <v>Rezerve</v>
      </c>
      <c r="C49" s="499"/>
      <c r="D49" s="499"/>
      <c r="E49" s="499"/>
      <c r="F49" s="499"/>
      <c r="G49" s="165">
        <f>'2020'!S49</f>
        <v>41123373.740000002</v>
      </c>
      <c r="H49" s="165">
        <f>SUM('2020'!G142:L142)</f>
        <v>41858673.900000006</v>
      </c>
      <c r="I49" s="166">
        <f t="shared" ref="I49:I50" si="8">G49-H49</f>
        <v>-735300.16000000387</v>
      </c>
      <c r="J49" s="288">
        <f t="shared" si="1"/>
        <v>-1.7566255485222282E-2</v>
      </c>
      <c r="K49" s="165">
        <f>SUM('2019'!G51:L51)</f>
        <v>6737887.2400000002</v>
      </c>
      <c r="L49" s="294">
        <f t="shared" si="7"/>
        <v>34385486.5</v>
      </c>
      <c r="M49" s="297" t="s">
        <v>756</v>
      </c>
      <c r="N49" s="165">
        <f>'2020'!L49</f>
        <v>18264699.84</v>
      </c>
      <c r="O49" s="165">
        <f>'2020'!L142</f>
        <v>19000000</v>
      </c>
      <c r="P49" s="166">
        <f t="shared" si="3"/>
        <v>-735300.16000000015</v>
      </c>
      <c r="Q49" s="288">
        <f t="shared" si="4"/>
        <v>-3.870000842105259E-2</v>
      </c>
      <c r="R49" s="165">
        <f>'2019'!L51</f>
        <v>1291723.94</v>
      </c>
      <c r="S49" s="294">
        <f t="shared" si="5"/>
        <v>16972975.899999999</v>
      </c>
      <c r="T49" s="297" t="s">
        <v>756</v>
      </c>
      <c r="W49" s="362"/>
    </row>
    <row r="50" spans="1:23" ht="15.75" thickBot="1">
      <c r="A50" s="152">
        <v>462</v>
      </c>
      <c r="B50" s="500" t="str">
        <f>+VLOOKUP($A50,Master!$D$28:$G$224,4,FALSE)</f>
        <v>Otplata garancija</v>
      </c>
      <c r="C50" s="501"/>
      <c r="D50" s="501"/>
      <c r="E50" s="501"/>
      <c r="F50" s="501"/>
      <c r="G50" s="165">
        <f>'2020'!S50</f>
        <v>0</v>
      </c>
      <c r="H50" s="165">
        <f>SUM('2020'!G143:L143)</f>
        <v>0</v>
      </c>
      <c r="I50" s="166">
        <f t="shared" si="8"/>
        <v>0</v>
      </c>
      <c r="J50" s="289" t="str">
        <f t="shared" si="1"/>
        <v>…</v>
      </c>
      <c r="K50" s="165">
        <f>SUM('2019'!G52:L52)</f>
        <v>9434699.4100000001</v>
      </c>
      <c r="L50" s="294">
        <f t="shared" si="7"/>
        <v>-9434699.4100000001</v>
      </c>
      <c r="M50" s="298">
        <f t="shared" si="2"/>
        <v>-1</v>
      </c>
      <c r="N50" s="165">
        <f>'2020'!L50</f>
        <v>0</v>
      </c>
      <c r="O50" s="165">
        <f>'2020'!L143</f>
        <v>0</v>
      </c>
      <c r="P50" s="166">
        <f t="shared" si="3"/>
        <v>0</v>
      </c>
      <c r="Q50" s="289" t="str">
        <f t="shared" si="4"/>
        <v>…</v>
      </c>
      <c r="R50" s="165">
        <f>'2019'!L52</f>
        <v>0</v>
      </c>
      <c r="S50" s="294">
        <f t="shared" si="5"/>
        <v>0</v>
      </c>
      <c r="T50" s="298" t="str">
        <f t="shared" si="6"/>
        <v>…</v>
      </c>
    </row>
    <row r="51" spans="1:23" ht="15.75" thickBot="1">
      <c r="A51" s="146">
        <v>4630</v>
      </c>
      <c r="B51" s="500" t="str">
        <f>+VLOOKUP($A51,Master!$D$28:$G$224,4,FALSE)</f>
        <v>Otplata obaveza iz prethodnog perioda</v>
      </c>
      <c r="C51" s="501"/>
      <c r="D51" s="501"/>
      <c r="E51" s="501"/>
      <c r="F51" s="501"/>
      <c r="G51" s="328">
        <f>'2020'!S51</f>
        <v>8736860.879999999</v>
      </c>
      <c r="H51" s="328">
        <f>SUM('2020'!G144:L144)</f>
        <v>8055921.9442857141</v>
      </c>
      <c r="I51" s="295">
        <f>G51-H51</f>
        <v>680938.93571428489</v>
      </c>
      <c r="J51" s="290">
        <f t="shared" si="1"/>
        <v>8.4526506143383529E-2</v>
      </c>
      <c r="K51" s="328">
        <f>SUM('2019'!G53:L53)</f>
        <v>9455108.870000001</v>
      </c>
      <c r="L51" s="301">
        <f t="shared" si="7"/>
        <v>-718247.99000000209</v>
      </c>
      <c r="M51" s="299">
        <f t="shared" si="2"/>
        <v>-7.5964010555068517E-2</v>
      </c>
      <c r="N51" s="328">
        <f>'2020'!L51</f>
        <v>2055860.65</v>
      </c>
      <c r="O51" s="328">
        <f>'2020'!L144</f>
        <v>1374921.7142857143</v>
      </c>
      <c r="P51" s="295">
        <f>N51-O51</f>
        <v>680938.93571428559</v>
      </c>
      <c r="Q51" s="290">
        <f t="shared" si="4"/>
        <v>0.49525651434492057</v>
      </c>
      <c r="R51" s="328">
        <f>'2019'!L53</f>
        <v>1848609.33</v>
      </c>
      <c r="S51" s="301">
        <f>+N51-R51</f>
        <v>207251.31999999983</v>
      </c>
      <c r="T51" s="299">
        <f>+IF(ISNUMBER(N51/R51-1),N51/R51-1,"…")</f>
        <v>0.11211201665848991</v>
      </c>
    </row>
    <row r="52" spans="1:23" ht="15.75" thickBot="1">
      <c r="A52" s="146">
        <v>1005</v>
      </c>
      <c r="B52" s="500" t="str">
        <f>+VLOOKUP($A52,Master!$D$28:$G$226,4,FALSE)</f>
        <v>Neto povećanje obaveza</v>
      </c>
      <c r="C52" s="501"/>
      <c r="D52" s="501"/>
      <c r="E52" s="501"/>
      <c r="F52" s="501"/>
      <c r="G52" s="165">
        <f>'2020'!S52</f>
        <v>0</v>
      </c>
      <c r="H52" s="165">
        <f>SUM('2020'!G145:L145)</f>
        <v>0</v>
      </c>
      <c r="I52" s="295">
        <f>G52-H52</f>
        <v>0</v>
      </c>
      <c r="J52" s="290" t="str">
        <f t="shared" si="1"/>
        <v>…</v>
      </c>
      <c r="K52" s="165">
        <f>SUM('2019'!G54:L54)</f>
        <v>0</v>
      </c>
      <c r="L52" s="301">
        <f t="shared" si="7"/>
        <v>0</v>
      </c>
      <c r="M52" s="299" t="str">
        <f t="shared" si="2"/>
        <v>…</v>
      </c>
      <c r="N52" s="165">
        <f>'2020'!L52</f>
        <v>0</v>
      </c>
      <c r="O52" s="165">
        <f>'2020'!L145</f>
        <v>0</v>
      </c>
      <c r="P52" s="295">
        <f>N52-O52</f>
        <v>0</v>
      </c>
      <c r="Q52" s="290" t="str">
        <f t="shared" si="4"/>
        <v>…</v>
      </c>
      <c r="R52" s="165">
        <f>'2019'!L54</f>
        <v>0</v>
      </c>
      <c r="S52" s="301">
        <f>+N52-R52</f>
        <v>0</v>
      </c>
      <c r="T52" s="299" t="str">
        <f>+IF(ISNUMBER(N52/R52-1),N52/R52-1,"…")</f>
        <v>…</v>
      </c>
    </row>
    <row r="53" spans="1:23" ht="15.75" thickBot="1">
      <c r="A53" s="146">
        <v>1000</v>
      </c>
      <c r="B53" s="502" t="str">
        <f>+VLOOKUP($A53,Master!$D$28:$G$224,4,FALSE)</f>
        <v>Suficit / deficit</v>
      </c>
      <c r="C53" s="503"/>
      <c r="D53" s="503"/>
      <c r="E53" s="503"/>
      <c r="F53" s="503"/>
      <c r="G53" s="153">
        <f>'2020'!S53</f>
        <v>-206604440.43000001</v>
      </c>
      <c r="H53" s="153">
        <f>SUM('2020'!G146:L146)</f>
        <v>-226977418.50760871</v>
      </c>
      <c r="I53" s="335">
        <f>+G53-H53</f>
        <v>20372978.077608705</v>
      </c>
      <c r="J53" s="292">
        <f t="shared" si="1"/>
        <v>-8.9757731018188291E-2</v>
      </c>
      <c r="K53" s="153">
        <f>SUM('2019'!G55:L55)</f>
        <v>-63951360.829999998</v>
      </c>
      <c r="L53" s="302">
        <f t="shared" si="7"/>
        <v>-142653079.60000002</v>
      </c>
      <c r="M53" s="300" t="s">
        <v>808</v>
      </c>
      <c r="N53" s="153">
        <f>'2020'!L53</f>
        <v>-39935867.260000005</v>
      </c>
      <c r="O53" s="153">
        <f>'2020'!L146</f>
        <v>-59986953.58594206</v>
      </c>
      <c r="P53" s="335">
        <f>N53-O53</f>
        <v>20051086.325942054</v>
      </c>
      <c r="Q53" s="292">
        <f t="shared" si="4"/>
        <v>-0.3342574531179564</v>
      </c>
      <c r="R53" s="153">
        <f>'2019'!L55</f>
        <v>-859554.13999998569</v>
      </c>
      <c r="S53" s="302">
        <f t="shared" si="5"/>
        <v>-39076313.12000002</v>
      </c>
      <c r="T53" s="473" t="s">
        <v>756</v>
      </c>
    </row>
    <row r="54" spans="1:23" ht="15.75" thickBot="1">
      <c r="A54" s="146">
        <v>1001</v>
      </c>
      <c r="B54" s="504" t="str">
        <f>+VLOOKUP($A54,Master!$D$28:$G$224,4,FALSE)</f>
        <v>Primarni suficit/deficit</v>
      </c>
      <c r="C54" s="505"/>
      <c r="D54" s="505"/>
      <c r="E54" s="505"/>
      <c r="F54" s="505"/>
      <c r="G54" s="153">
        <f>'2020'!S54</f>
        <v>-140077783.17000002</v>
      </c>
      <c r="H54" s="153">
        <f>SUM('2020'!G147:L147)</f>
        <v>-160592464.04760873</v>
      </c>
      <c r="I54" s="208">
        <f t="shared" si="0"/>
        <v>20514680.877608716</v>
      </c>
      <c r="J54" s="209">
        <f t="shared" si="1"/>
        <v>-0.12774373317746091</v>
      </c>
      <c r="K54" s="153">
        <f>SUM('2019'!G56:L56)</f>
        <v>6004230.0599999977</v>
      </c>
      <c r="L54" s="208">
        <f t="shared" si="7"/>
        <v>-146082013.23000002</v>
      </c>
      <c r="M54" s="210" t="s">
        <v>756</v>
      </c>
      <c r="N54" s="153">
        <f>'2020'!L54</f>
        <v>-34595931.99000001</v>
      </c>
      <c r="O54" s="153">
        <f>'2020'!L147</f>
        <v>-54788721.115942061</v>
      </c>
      <c r="P54" s="208">
        <f t="shared" si="3"/>
        <v>20192789.125942051</v>
      </c>
      <c r="Q54" s="209">
        <f t="shared" si="4"/>
        <v>-0.36855740952979621</v>
      </c>
      <c r="R54" s="153">
        <f>'2019'!L56</f>
        <v>4552212.8000000147</v>
      </c>
      <c r="S54" s="208">
        <f t="shared" si="5"/>
        <v>-39148144.790000021</v>
      </c>
      <c r="T54" s="473" t="s">
        <v>808</v>
      </c>
    </row>
    <row r="55" spans="1:23">
      <c r="A55" s="146">
        <v>46</v>
      </c>
      <c r="B55" s="496" t="str">
        <f>+VLOOKUP($A55,Master!$D$28:$G$224,4,FALSE)</f>
        <v>Otplata dugova</v>
      </c>
      <c r="C55" s="497"/>
      <c r="D55" s="497"/>
      <c r="E55" s="497"/>
      <c r="F55" s="497"/>
      <c r="G55" s="159">
        <f>'2020'!S55</f>
        <v>462607520.80999994</v>
      </c>
      <c r="H55" s="159">
        <f>SUM('2020'!G148:L148)</f>
        <v>389465279.67000002</v>
      </c>
      <c r="I55" s="196">
        <f t="shared" si="0"/>
        <v>73142241.139999926</v>
      </c>
      <c r="J55" s="197">
        <f t="shared" si="1"/>
        <v>0.18780169878551045</v>
      </c>
      <c r="K55" s="159">
        <f>SUM('2019'!G57:L57)</f>
        <v>317749931.88999999</v>
      </c>
      <c r="L55" s="196">
        <f t="shared" si="7"/>
        <v>144857588.91999996</v>
      </c>
      <c r="M55" s="198">
        <f t="shared" si="2"/>
        <v>0.45588550738115452</v>
      </c>
      <c r="N55" s="159">
        <f>'2020'!L55</f>
        <v>12046882.029999999</v>
      </c>
      <c r="O55" s="159">
        <f>'2020'!L148</f>
        <v>12046825.949999999</v>
      </c>
      <c r="P55" s="196">
        <f t="shared" si="3"/>
        <v>56.080000000074506</v>
      </c>
      <c r="Q55" s="197">
        <f t="shared" si="4"/>
        <v>4.6551681109896492E-6</v>
      </c>
      <c r="R55" s="159">
        <f>'2019'!L57</f>
        <v>11094774.199999999</v>
      </c>
      <c r="S55" s="196">
        <f t="shared" si="5"/>
        <v>952107.83000000007</v>
      </c>
      <c r="T55" s="198">
        <f t="shared" si="6"/>
        <v>8.5815881678781736E-2</v>
      </c>
    </row>
    <row r="56" spans="1:23">
      <c r="A56" s="146">
        <v>4611</v>
      </c>
      <c r="B56" s="522" t="str">
        <f>+VLOOKUP($A56,Master!$D$28:$G$224,4,FALSE)</f>
        <v>Otplata hartija od vrijednosti i kredita rezidentima</v>
      </c>
      <c r="C56" s="523"/>
      <c r="D56" s="523"/>
      <c r="E56" s="523"/>
      <c r="F56" s="523"/>
      <c r="G56" s="165">
        <f>'2020'!S56</f>
        <v>85340641.379999995</v>
      </c>
      <c r="H56" s="165">
        <f>SUM('2020'!G149:L149)</f>
        <v>12341250.52</v>
      </c>
      <c r="I56" s="214">
        <f t="shared" si="0"/>
        <v>72999390.859999999</v>
      </c>
      <c r="J56" s="215" t="s">
        <v>809</v>
      </c>
      <c r="K56" s="165">
        <f>SUM('2019'!G58:L58)</f>
        <v>93415154</v>
      </c>
      <c r="L56" s="214">
        <f t="shared" si="7"/>
        <v>-8074512.6200000048</v>
      </c>
      <c r="M56" s="216">
        <f t="shared" si="2"/>
        <v>-8.6436860340668109E-2</v>
      </c>
      <c r="N56" s="165">
        <f>'2020'!L56</f>
        <v>2108350.36</v>
      </c>
      <c r="O56" s="165">
        <f>'2020'!L149</f>
        <v>2108294.2799999998</v>
      </c>
      <c r="P56" s="214">
        <f t="shared" si="3"/>
        <v>56.080000000074506</v>
      </c>
      <c r="Q56" s="215">
        <f t="shared" si="4"/>
        <v>2.6599702201091091E-5</v>
      </c>
      <c r="R56" s="165">
        <f>'2019'!L58</f>
        <v>1304074.52</v>
      </c>
      <c r="S56" s="214">
        <f t="shared" si="5"/>
        <v>804275.83999999985</v>
      </c>
      <c r="T56" s="216">
        <f t="shared" si="6"/>
        <v>0.61674070589156194</v>
      </c>
    </row>
    <row r="57" spans="1:23">
      <c r="A57" s="146">
        <v>4612</v>
      </c>
      <c r="B57" s="498" t="str">
        <f>+VLOOKUP($A57,Master!$D$28:$G$224,4,FALSE)</f>
        <v>Otplata hartija od vrijednosti i kredita nerezidentima</v>
      </c>
      <c r="C57" s="499"/>
      <c r="D57" s="499"/>
      <c r="E57" s="499"/>
      <c r="F57" s="499"/>
      <c r="G57" s="165">
        <f>'2020'!S57</f>
        <v>377266879.43000001</v>
      </c>
      <c r="H57" s="165">
        <f>SUM('2020'!G150:L150)</f>
        <v>377124029.14999998</v>
      </c>
      <c r="I57" s="214">
        <f t="shared" si="0"/>
        <v>142850.28000003099</v>
      </c>
      <c r="J57" s="215">
        <f t="shared" si="1"/>
        <v>3.7878859197060244E-4</v>
      </c>
      <c r="K57" s="165">
        <f>SUM('2019'!G59:L59)</f>
        <v>224334777.88999999</v>
      </c>
      <c r="L57" s="214">
        <f t="shared" si="7"/>
        <v>152932101.54000002</v>
      </c>
      <c r="M57" s="216">
        <f t="shared" si="2"/>
        <v>0.68171374487012693</v>
      </c>
      <c r="N57" s="165">
        <f>'2020'!L57</f>
        <v>9938531.6699999999</v>
      </c>
      <c r="O57" s="165">
        <f>'2020'!L150</f>
        <v>9938531.6699999999</v>
      </c>
      <c r="P57" s="214">
        <f t="shared" si="3"/>
        <v>0</v>
      </c>
      <c r="Q57" s="215">
        <f t="shared" si="4"/>
        <v>0</v>
      </c>
      <c r="R57" s="165">
        <f>'2019'!L59</f>
        <v>9790699.6799999997</v>
      </c>
      <c r="S57" s="214">
        <f t="shared" si="5"/>
        <v>147831.99000000022</v>
      </c>
      <c r="T57" s="216">
        <f t="shared" si="6"/>
        <v>1.5099226289412737E-2</v>
      </c>
    </row>
    <row r="58" spans="1:23" ht="15.75" thickBot="1">
      <c r="A58" s="146">
        <v>4418</v>
      </c>
      <c r="B58" s="496" t="str">
        <f>+VLOOKUP($A58,Master!$D$28:$G$224,4,FALSE)</f>
        <v>Izdaci za kupovinu hartija od vrijednosti</v>
      </c>
      <c r="C58" s="497"/>
      <c r="D58" s="497"/>
      <c r="E58" s="497"/>
      <c r="F58" s="497"/>
      <c r="G58" s="352">
        <f>'2020'!S58</f>
        <v>0</v>
      </c>
      <c r="H58" s="352">
        <f>SUM('2020'!G151:L151)</f>
        <v>0</v>
      </c>
      <c r="I58" s="353">
        <f t="shared" ref="I58:I64" si="9">+G58-H58</f>
        <v>0</v>
      </c>
      <c r="J58" s="354" t="str">
        <f>+IF(ISNUMBER(G58/H58-1),G58/H59-1,"…")</f>
        <v>…</v>
      </c>
      <c r="K58" s="352">
        <f>SUM('2019'!G60:L60)</f>
        <v>39983668.460000001</v>
      </c>
      <c r="L58" s="353">
        <f t="shared" ref="L58:L64" si="10">+G58-K58</f>
        <v>-39983668.460000001</v>
      </c>
      <c r="M58" s="355">
        <f>+IF(ISNUMBER(G58/K58-1),G58/K59-1,"…")</f>
        <v>-1</v>
      </c>
      <c r="N58" s="352">
        <f>'2020'!L58</f>
        <v>0</v>
      </c>
      <c r="O58" s="352">
        <f>'2020'!L151</f>
        <v>0</v>
      </c>
      <c r="P58" s="353">
        <f t="shared" ref="P58:P64" si="11">+N58-O58</f>
        <v>0</v>
      </c>
      <c r="Q58" s="354" t="str">
        <f t="shared" ref="Q58:Q64" si="12">+IF(ISNUMBER(N58/O58-1),N58/O58-1,"…")</f>
        <v>…</v>
      </c>
      <c r="R58" s="352">
        <f>'2019'!L60</f>
        <v>0</v>
      </c>
      <c r="S58" s="353">
        <f t="shared" ref="S58:S64" si="13">+N58-R58</f>
        <v>0</v>
      </c>
      <c r="T58" s="355" t="str">
        <f t="shared" ref="T58:T63" si="14">+IF(ISNUMBER(N58/R58-1),N58/R58-1,"…")</f>
        <v>…</v>
      </c>
    </row>
    <row r="59" spans="1:23" ht="15.75" thickBot="1">
      <c r="A59" s="146">
        <v>1002</v>
      </c>
      <c r="B59" s="524" t="str">
        <f>+VLOOKUP($A59,Master!$D$28:$G$224,4,FALSE)</f>
        <v>Nedostajuća sredstva</v>
      </c>
      <c r="C59" s="525"/>
      <c r="D59" s="525"/>
      <c r="E59" s="525"/>
      <c r="F59" s="525"/>
      <c r="G59" s="334">
        <f>'2020'!S59</f>
        <v>-669211961.24000001</v>
      </c>
      <c r="H59" s="334">
        <f>SUM('2020'!G152:L152)</f>
        <v>-616442698.17760873</v>
      </c>
      <c r="I59" s="336">
        <f t="shared" si="9"/>
        <v>-52769263.062391281</v>
      </c>
      <c r="J59" s="337">
        <f t="shared" ref="J59:J64" si="15">+IF(ISNUMBER(G59/H59-1),G59/H59-1,"…")</f>
        <v>8.5602868228292994E-2</v>
      </c>
      <c r="K59" s="334">
        <f>SUM('2019'!G61:L61)</f>
        <v>-421684961.18000001</v>
      </c>
      <c r="L59" s="336">
        <f t="shared" si="10"/>
        <v>-247527000.06</v>
      </c>
      <c r="M59" s="339">
        <f t="shared" ref="M59:M64" si="16">+IF(ISNUMBER(G59/K59-1),G59/K59-1,"…")</f>
        <v>0.58699508601716732</v>
      </c>
      <c r="N59" s="334">
        <f>'2020'!L59</f>
        <v>-51982749.290000007</v>
      </c>
      <c r="O59" s="334">
        <f>'2020'!L152</f>
        <v>-72033779.535942063</v>
      </c>
      <c r="P59" s="336">
        <f t="shared" si="11"/>
        <v>20051030.245942056</v>
      </c>
      <c r="Q59" s="337">
        <f t="shared" si="12"/>
        <v>-0.27835593766029409</v>
      </c>
      <c r="R59" s="334">
        <f>'2019'!L61</f>
        <v>-11954328.339999985</v>
      </c>
      <c r="S59" s="336">
        <f t="shared" si="13"/>
        <v>-40028420.950000018</v>
      </c>
      <c r="T59" s="339" t="s">
        <v>808</v>
      </c>
    </row>
    <row r="60" spans="1:23" ht="15.75" thickBot="1">
      <c r="A60" s="146">
        <v>1003</v>
      </c>
      <c r="B60" s="488" t="str">
        <f>+VLOOKUP($A60,Master!$D$28:$G$224,4,FALSE)</f>
        <v>Finansiranje</v>
      </c>
      <c r="C60" s="489"/>
      <c r="D60" s="489"/>
      <c r="E60" s="489"/>
      <c r="F60" s="489"/>
      <c r="G60" s="153">
        <f>'2020'!S60</f>
        <v>669211961.24000001</v>
      </c>
      <c r="H60" s="153">
        <f>SUM('2020'!G153:L153)</f>
        <v>616442698.17760873</v>
      </c>
      <c r="I60" s="335">
        <f t="shared" si="9"/>
        <v>52769263.062391281</v>
      </c>
      <c r="J60" s="338">
        <f t="shared" si="15"/>
        <v>8.5602868228292994E-2</v>
      </c>
      <c r="K60" s="153">
        <f>SUM('2019'!G62:L62)</f>
        <v>421684961.18000001</v>
      </c>
      <c r="L60" s="335">
        <f t="shared" si="10"/>
        <v>247527000.06</v>
      </c>
      <c r="M60" s="340">
        <f t="shared" si="16"/>
        <v>0.58699508601716732</v>
      </c>
      <c r="N60" s="153">
        <f>'2020'!L60</f>
        <v>51982749.290000007</v>
      </c>
      <c r="O60" s="153">
        <f>'2020'!L153</f>
        <v>72033779.535942063</v>
      </c>
      <c r="P60" s="335">
        <f t="shared" si="11"/>
        <v>-20051030.245942056</v>
      </c>
      <c r="Q60" s="338">
        <f t="shared" si="12"/>
        <v>-0.27835593766029409</v>
      </c>
      <c r="R60" s="153">
        <f>'2019'!L62</f>
        <v>11954328.339999985</v>
      </c>
      <c r="S60" s="335">
        <f t="shared" si="13"/>
        <v>40028420.950000018</v>
      </c>
      <c r="T60" s="340" t="s">
        <v>808</v>
      </c>
    </row>
    <row r="61" spans="1:23">
      <c r="A61" s="146">
        <v>7511</v>
      </c>
      <c r="B61" s="522" t="str">
        <f>+VLOOKUP($A61,Master!$D$28:$G$224,4,FALSE)</f>
        <v>Pozajmice i krediti od domaćih izvora</v>
      </c>
      <c r="C61" s="523"/>
      <c r="D61" s="523"/>
      <c r="E61" s="523"/>
      <c r="F61" s="523"/>
      <c r="G61" s="165">
        <f>'2020'!S61</f>
        <v>67832059.129999995</v>
      </c>
      <c r="H61" s="165">
        <f>SUM('2020'!G154:L154)</f>
        <v>0</v>
      </c>
      <c r="I61" s="214">
        <f t="shared" si="9"/>
        <v>67832059.129999995</v>
      </c>
      <c r="J61" s="215" t="str">
        <f t="shared" si="15"/>
        <v>…</v>
      </c>
      <c r="K61" s="165">
        <f>SUM('2019'!G63:L63)</f>
        <v>214438000</v>
      </c>
      <c r="L61" s="214">
        <f t="shared" si="10"/>
        <v>-146605940.87</v>
      </c>
      <c r="M61" s="216">
        <f t="shared" si="16"/>
        <v>-0.68367519222339324</v>
      </c>
      <c r="N61" s="165">
        <f>'2020'!L61</f>
        <v>0</v>
      </c>
      <c r="O61" s="165">
        <f>'2020'!L154</f>
        <v>0</v>
      </c>
      <c r="P61" s="214">
        <f t="shared" si="11"/>
        <v>0</v>
      </c>
      <c r="Q61" s="215" t="str">
        <f t="shared" si="12"/>
        <v>…</v>
      </c>
      <c r="R61" s="165">
        <f>'2019'!L63</f>
        <v>0</v>
      </c>
      <c r="S61" s="214">
        <f t="shared" si="13"/>
        <v>0</v>
      </c>
      <c r="T61" s="216" t="str">
        <f t="shared" si="14"/>
        <v>…</v>
      </c>
    </row>
    <row r="62" spans="1:23">
      <c r="A62" s="146">
        <v>7512</v>
      </c>
      <c r="B62" s="498" t="str">
        <f>+VLOOKUP($A62,Master!$D$28:$G$224,4,FALSE)</f>
        <v>Pozajmice i krediti od inostranih izvora</v>
      </c>
      <c r="C62" s="499"/>
      <c r="D62" s="499"/>
      <c r="E62" s="499"/>
      <c r="F62" s="499"/>
      <c r="G62" s="165">
        <f>'2020'!S62</f>
        <v>343761107.31999999</v>
      </c>
      <c r="H62" s="165">
        <f>SUM('2020'!G155:L155)</f>
        <v>270609778.85857147</v>
      </c>
      <c r="I62" s="214">
        <f t="shared" si="9"/>
        <v>73151328.461428523</v>
      </c>
      <c r="J62" s="215" t="s">
        <v>756</v>
      </c>
      <c r="K62" s="165">
        <f>SUM('2019'!G64:L64)</f>
        <v>66765844.480000004</v>
      </c>
      <c r="L62" s="214">
        <f t="shared" si="10"/>
        <v>276995262.83999997</v>
      </c>
      <c r="M62" s="216" t="s">
        <v>756</v>
      </c>
      <c r="N62" s="165">
        <f>'2020'!L62</f>
        <v>83297964.459999993</v>
      </c>
      <c r="O62" s="165">
        <f>'2020'!L155</f>
        <v>10146635.998571429</v>
      </c>
      <c r="P62" s="214">
        <f t="shared" si="11"/>
        <v>73151328.461428568</v>
      </c>
      <c r="Q62" s="215" t="s">
        <v>808</v>
      </c>
      <c r="R62" s="165">
        <f>'2019'!L64</f>
        <v>8784836.1999999993</v>
      </c>
      <c r="S62" s="214">
        <f t="shared" si="13"/>
        <v>74513128.25999999</v>
      </c>
      <c r="T62" s="216" t="s">
        <v>756</v>
      </c>
    </row>
    <row r="63" spans="1:23">
      <c r="A63" s="146">
        <v>72</v>
      </c>
      <c r="B63" s="498" t="str">
        <f>+VLOOKUP($A63,Master!$D$28:$G$224,4,FALSE)</f>
        <v>Primici od prodaje imovine</v>
      </c>
      <c r="C63" s="499"/>
      <c r="D63" s="499"/>
      <c r="E63" s="499"/>
      <c r="F63" s="499"/>
      <c r="G63" s="165">
        <f>'2020'!S63</f>
        <v>1786909.7100000002</v>
      </c>
      <c r="H63" s="165">
        <f>SUM('2020'!G156:L156)</f>
        <v>2205356.9000000004</v>
      </c>
      <c r="I63" s="214">
        <f t="shared" si="9"/>
        <v>-418447.19000000018</v>
      </c>
      <c r="J63" s="215">
        <f t="shared" si="15"/>
        <v>-0.18974125684600085</v>
      </c>
      <c r="K63" s="165">
        <f>SUM('2019'!G65:L65)</f>
        <v>1500130.95</v>
      </c>
      <c r="L63" s="214">
        <f t="shared" si="10"/>
        <v>286778.76000000024</v>
      </c>
      <c r="M63" s="216">
        <f t="shared" si="16"/>
        <v>0.1911691509331237</v>
      </c>
      <c r="N63" s="165">
        <f>'2020'!L63</f>
        <v>213993.31</v>
      </c>
      <c r="O63" s="165">
        <f>'2020'!L156</f>
        <v>632440.5</v>
      </c>
      <c r="P63" s="214">
        <f t="shared" si="11"/>
        <v>-418447.19</v>
      </c>
      <c r="Q63" s="215">
        <f t="shared" si="12"/>
        <v>-0.66163882610300884</v>
      </c>
      <c r="R63" s="165">
        <f>'2019'!L65</f>
        <v>722176.42</v>
      </c>
      <c r="S63" s="214">
        <f t="shared" si="13"/>
        <v>-508183.11000000004</v>
      </c>
      <c r="T63" s="216">
        <f t="shared" si="14"/>
        <v>-0.70368277878693408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255831885.08000007</v>
      </c>
      <c r="H64" s="332">
        <f>SUM('2020'!G157:L157)</f>
        <v>343627562.41903728</v>
      </c>
      <c r="I64" s="228">
        <f t="shared" si="9"/>
        <v>-87795677.33903721</v>
      </c>
      <c r="J64" s="229">
        <f t="shared" si="15"/>
        <v>-0.25549661011177738</v>
      </c>
      <c r="K64" s="332">
        <f>SUM('2019'!G66:L66)</f>
        <v>138980985.75000003</v>
      </c>
      <c r="L64" s="228">
        <f t="shared" si="10"/>
        <v>116850899.33000004</v>
      </c>
      <c r="M64" s="382">
        <f t="shared" si="16"/>
        <v>0.84076896346232766</v>
      </c>
      <c r="N64" s="332">
        <f>'2020'!L64</f>
        <v>-31529208.479999989</v>
      </c>
      <c r="O64" s="332">
        <f>'2020'!L157</f>
        <v>61254703.037370637</v>
      </c>
      <c r="P64" s="228">
        <f t="shared" si="11"/>
        <v>-92783911.517370626</v>
      </c>
      <c r="Q64" s="229" t="s">
        <v>810</v>
      </c>
      <c r="R64" s="332">
        <f>'2019'!L66</f>
        <v>2447315.7199999858</v>
      </c>
      <c r="S64" s="228">
        <f t="shared" si="13"/>
        <v>-33976524.199999973</v>
      </c>
      <c r="T64" s="230" t="s">
        <v>756</v>
      </c>
    </row>
    <row r="66" spans="7:18">
      <c r="G66" s="5"/>
      <c r="H66" s="329"/>
    </row>
    <row r="67" spans="7:18">
      <c r="H67" s="304"/>
    </row>
    <row r="69" spans="7:18">
      <c r="R69" s="363"/>
    </row>
  </sheetData>
  <mergeCells count="61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topLeftCell="C1" zoomScaleNormal="100" workbookViewId="0">
      <pane ySplit="1" topLeftCell="A2" activePane="bottomLeft" state="frozen"/>
      <selection pane="bottomLeft" activeCell="U9" sqref="U9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782</v>
      </c>
      <c r="H6" s="236" t="s">
        <v>783</v>
      </c>
      <c r="I6" s="236" t="s">
        <v>784</v>
      </c>
      <c r="J6" s="236" t="s">
        <v>785</v>
      </c>
      <c r="K6" s="236" t="s">
        <v>786</v>
      </c>
      <c r="L6" s="236" t="s">
        <v>787</v>
      </c>
      <c r="M6" s="236" t="s">
        <v>788</v>
      </c>
      <c r="N6" s="236" t="s">
        <v>789</v>
      </c>
      <c r="O6" s="236" t="s">
        <v>790</v>
      </c>
      <c r="P6" s="236" t="s">
        <v>791</v>
      </c>
      <c r="Q6" s="236" t="s">
        <v>792</v>
      </c>
      <c r="R6" s="236" t="s">
        <v>793</v>
      </c>
      <c r="S6" s="235"/>
      <c r="T6" s="235"/>
    </row>
    <row r="7" spans="1:20" ht="15" customHeight="1" thickBot="1">
      <c r="A7" s="146"/>
      <c r="B7" s="528" t="str">
        <f>+Master!G250</f>
        <v>Ostvarenje budžeta</v>
      </c>
      <c r="C7" s="509"/>
      <c r="D7" s="509"/>
      <c r="E7" s="509"/>
      <c r="F7" s="509"/>
      <c r="G7" s="517">
        <v>2020</v>
      </c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21"/>
      <c r="S7" s="237" t="str">
        <f>+Master!G247</f>
        <v>BDP</v>
      </c>
      <c r="T7" s="238">
        <v>4607300000</v>
      </c>
    </row>
    <row r="8" spans="1:20" ht="16.5" customHeight="1">
      <c r="A8" s="146"/>
      <c r="B8" s="510"/>
      <c r="C8" s="511"/>
      <c r="D8" s="511"/>
      <c r="E8" s="511"/>
      <c r="F8" s="512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517" t="str">
        <f>+Master!G244</f>
        <v>Jan - Jun</v>
      </c>
      <c r="T8" s="521"/>
    </row>
    <row r="9" spans="1:20" ht="13.5" thickBot="1">
      <c r="A9" s="146"/>
      <c r="B9" s="513"/>
      <c r="C9" s="514"/>
      <c r="D9" s="514"/>
      <c r="E9" s="514"/>
      <c r="F9" s="515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+Master!G248</f>
        <v>% BDP</v>
      </c>
    </row>
    <row r="10" spans="1:20" ht="13.5" thickBot="1">
      <c r="A10" s="152">
        <v>7</v>
      </c>
      <c r="B10" s="476" t="str">
        <f>+VLOOKUP($A10,Master!$D$28:$G$224,4,FALSE)</f>
        <v>Prihodi budžeta</v>
      </c>
      <c r="C10" s="477"/>
      <c r="D10" s="477"/>
      <c r="E10" s="477"/>
      <c r="F10" s="477"/>
      <c r="G10" s="153">
        <f t="shared" ref="G10:R10" si="1">+G11+G19+SUM(G24:G28)</f>
        <v>94327832.789999992</v>
      </c>
      <c r="H10" s="153">
        <f t="shared" si="1"/>
        <v>119854724.30999999</v>
      </c>
      <c r="I10" s="153">
        <f t="shared" si="1"/>
        <v>161192564.06</v>
      </c>
      <c r="J10" s="153">
        <f t="shared" si="1"/>
        <v>124933046.71000001</v>
      </c>
      <c r="K10" s="153">
        <f t="shared" si="1"/>
        <v>115332966.52000001</v>
      </c>
      <c r="L10" s="153">
        <f t="shared" si="1"/>
        <v>132108986.79000001</v>
      </c>
      <c r="M10" s="153">
        <f t="shared" si="1"/>
        <v>0</v>
      </c>
      <c r="N10" s="153">
        <f t="shared" si="1"/>
        <v>0</v>
      </c>
      <c r="O10" s="153">
        <f t="shared" si="1"/>
        <v>0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747750121.17999995</v>
      </c>
      <c r="T10" s="453">
        <f>+S10/$T$7*100</f>
        <v>16.229681617867296</v>
      </c>
    </row>
    <row r="11" spans="1:20">
      <c r="A11" s="152">
        <v>711</v>
      </c>
      <c r="B11" s="478" t="str">
        <f>+VLOOKUP($A11,Master!$D$28:$G$224,4,FALSE)</f>
        <v>Porezi</v>
      </c>
      <c r="C11" s="479"/>
      <c r="D11" s="479"/>
      <c r="E11" s="479"/>
      <c r="F11" s="479"/>
      <c r="G11" s="159">
        <f t="shared" ref="G11:R11" si="2">+SUM(G12:G18)</f>
        <v>73320205.209999993</v>
      </c>
      <c r="H11" s="159">
        <f t="shared" si="2"/>
        <v>69683087.399999991</v>
      </c>
      <c r="I11" s="159">
        <f t="shared" si="2"/>
        <v>105613736.66000001</v>
      </c>
      <c r="J11" s="159">
        <f t="shared" si="2"/>
        <v>83521974.920000002</v>
      </c>
      <c r="K11" s="159">
        <f t="shared" si="2"/>
        <v>69752758.120000005</v>
      </c>
      <c r="L11" s="159">
        <f t="shared" si="2"/>
        <v>79960950.920000002</v>
      </c>
      <c r="M11" s="159">
        <f t="shared" si="2"/>
        <v>0</v>
      </c>
      <c r="N11" s="159">
        <f t="shared" si="2"/>
        <v>0</v>
      </c>
      <c r="O11" s="159">
        <f t="shared" si="2"/>
        <v>0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481852713.23000002</v>
      </c>
      <c r="T11" s="454">
        <f t="shared" ref="T11:T64" si="4">+S11/$T$7*100</f>
        <v>10.458461859006359</v>
      </c>
    </row>
    <row r="12" spans="1:20">
      <c r="A12" s="152">
        <v>7111</v>
      </c>
      <c r="B12" s="480" t="str">
        <f>+VLOOKUP($A12,Master!$D$28:$G$224,4,FALSE)</f>
        <v>Porez na dohodak fizičkih lica</v>
      </c>
      <c r="C12" s="481"/>
      <c r="D12" s="481"/>
      <c r="E12" s="481"/>
      <c r="F12" s="481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9514934.0399999991</v>
      </c>
      <c r="I12" s="165">
        <f>+INDEX(DataEx!$1:$1048576,MATCH('2020'!$A12,DataEx!$D:$D,0),MATCH('2020'!I$6,DataEx!$7:$7,0))</f>
        <v>9988296.0800000001</v>
      </c>
      <c r="J12" s="165">
        <f>+INDEX(DataEx!$1:$1048576,MATCH('2020'!$A12,DataEx!$D:$D,0),MATCH('2020'!J$6,DataEx!$7:$7,0))</f>
        <v>6960084.75</v>
      </c>
      <c r="K12" s="165">
        <f>+INDEX(DataEx!$1:$1048576,MATCH('2020'!$A12,DataEx!$D:$D,0),MATCH('2020'!K$6,DataEx!$7:$7,0))</f>
        <v>10104597.5</v>
      </c>
      <c r="L12" s="165">
        <f>+INDEX(DataEx!$1:$1048576,MATCH('2020'!$A12,DataEx!$D:$D,0),MATCH('2020'!L$6,DataEx!$7:$7,0))</f>
        <v>10236771.470000001</v>
      </c>
      <c r="M12" s="165">
        <f>+INDEX(DataEx!$1:$1048576,MATCH('2020'!$A12,DataEx!$D:$D,0),MATCH('2020'!M$6,DataEx!$7:$7,0))</f>
        <v>0</v>
      </c>
      <c r="N12" s="165">
        <f>+INDEX(DataEx!$1:$1048576,MATCH('2020'!$A12,DataEx!$D:$D,0),MATCH('2020'!N$6,DataEx!$7:$7,0))</f>
        <v>0</v>
      </c>
      <c r="O12" s="165">
        <f>+INDEX(DataEx!$1:$1048576,MATCH('2020'!$A12,DataEx!$D:$D,0),MATCH('2020'!O$6,DataEx!$7:$7,0))</f>
        <v>0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51122438.960000001</v>
      </c>
      <c r="T12" s="455">
        <f t="shared" si="4"/>
        <v>1.109596487313611</v>
      </c>
    </row>
    <row r="13" spans="1:20">
      <c r="A13" s="152">
        <v>7112</v>
      </c>
      <c r="B13" s="480" t="str">
        <f>+VLOOKUP($A13,Master!$D$28:$G$224,4,FALSE)</f>
        <v>Porez na dobit pravnih lica</v>
      </c>
      <c r="C13" s="481"/>
      <c r="D13" s="481"/>
      <c r="E13" s="481"/>
      <c r="F13" s="481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2402403.02</v>
      </c>
      <c r="I13" s="165">
        <f>+INDEX(DataEx!$1:$1048576,MATCH('2020'!$A13,DataEx!$D:$D,0),MATCH('2020'!I$6,DataEx!$7:$7,0))</f>
        <v>21201257.989999998</v>
      </c>
      <c r="J13" s="165">
        <f>+INDEX(DataEx!$1:$1048576,MATCH('2020'!$A13,DataEx!$D:$D,0),MATCH('2020'!J$6,DataEx!$7:$7,0))</f>
        <v>24401832.57</v>
      </c>
      <c r="K13" s="165">
        <f>+INDEX(DataEx!$1:$1048576,MATCH('2020'!$A13,DataEx!$D:$D,0),MATCH('2020'!K$6,DataEx!$7:$7,0))</f>
        <v>4691004.47</v>
      </c>
      <c r="L13" s="165">
        <f>+INDEX(DataEx!$1:$1048576,MATCH('2020'!$A13,DataEx!$D:$D,0),MATCH('2020'!L$6,DataEx!$7:$7,0))</f>
        <v>6326893.6900000004</v>
      </c>
      <c r="M13" s="165">
        <f>+INDEX(DataEx!$1:$1048576,MATCH('2020'!$A13,DataEx!$D:$D,0),MATCH('2020'!M$6,DataEx!$7:$7,0))</f>
        <v>0</v>
      </c>
      <c r="N13" s="165">
        <f>+INDEX(DataEx!$1:$1048576,MATCH('2020'!$A13,DataEx!$D:$D,0),MATCH('2020'!N$6,DataEx!$7:$7,0))</f>
        <v>0</v>
      </c>
      <c r="O13" s="165">
        <f>+INDEX(DataEx!$1:$1048576,MATCH('2020'!$A13,DataEx!$D:$D,0),MATCH('2020'!O$6,DataEx!$7:$7,0))</f>
        <v>0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59697131.339999996</v>
      </c>
      <c r="T13" s="455">
        <f t="shared" si="4"/>
        <v>1.295707493325809</v>
      </c>
    </row>
    <row r="14" spans="1:20">
      <c r="A14" s="152">
        <v>7113</v>
      </c>
      <c r="B14" s="480" t="str">
        <f>+VLOOKUP($A14,Master!$D$28:$G$224,4,FALSE)</f>
        <v>Porez na promet nepokretnosti</v>
      </c>
      <c r="C14" s="481"/>
      <c r="D14" s="481"/>
      <c r="E14" s="481"/>
      <c r="F14" s="481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168097.86</v>
      </c>
      <c r="I14" s="165">
        <f>+INDEX(DataEx!$1:$1048576,MATCH('2020'!$A14,DataEx!$D:$D,0),MATCH('2020'!I$6,DataEx!$7:$7,0))</f>
        <v>129165.08</v>
      </c>
      <c r="J14" s="165">
        <f>+INDEX(DataEx!$1:$1048576,MATCH('2020'!$A14,DataEx!$D:$D,0),MATCH('2020'!J$6,DataEx!$7:$7,0))</f>
        <v>48149.33</v>
      </c>
      <c r="K14" s="165">
        <f>+INDEX(DataEx!$1:$1048576,MATCH('2020'!$A14,DataEx!$D:$D,0),MATCH('2020'!K$6,DataEx!$7:$7,0))</f>
        <v>95187.63</v>
      </c>
      <c r="L14" s="165">
        <f>+INDEX(DataEx!$1:$1048576,MATCH('2020'!$A14,DataEx!$D:$D,0),MATCH('2020'!L$6,DataEx!$7:$7,0))</f>
        <v>117335.46</v>
      </c>
      <c r="M14" s="165">
        <f>+INDEX(DataEx!$1:$1048576,MATCH('2020'!$A14,DataEx!$D:$D,0),MATCH('2020'!M$6,DataEx!$7:$7,0))</f>
        <v>0</v>
      </c>
      <c r="N14" s="165">
        <f>+INDEX(DataEx!$1:$1048576,MATCH('2020'!$A14,DataEx!$D:$D,0),MATCH('2020'!N$6,DataEx!$7:$7,0))</f>
        <v>0</v>
      </c>
      <c r="O14" s="165">
        <f>+INDEX(DataEx!$1:$1048576,MATCH('2020'!$A14,DataEx!$D:$D,0),MATCH('2020'!O$6,DataEx!$7:$7,0))</f>
        <v>0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742944.66999999993</v>
      </c>
      <c r="T14" s="455">
        <f t="shared" si="4"/>
        <v>1.6125380808716602E-2</v>
      </c>
    </row>
    <row r="15" spans="1:20">
      <c r="A15" s="152">
        <v>7114</v>
      </c>
      <c r="B15" s="480" t="str">
        <f>+VLOOKUP($A15,Master!$D$28:$G$224,4,FALSE)</f>
        <v>Porez na dodatu vrijednost</v>
      </c>
      <c r="C15" s="481"/>
      <c r="D15" s="481"/>
      <c r="E15" s="481"/>
      <c r="F15" s="481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40097544.82</v>
      </c>
      <c r="I15" s="165">
        <f>+INDEX(DataEx!$1:$1048576,MATCH('2020'!$A15,DataEx!$D:$D,0),MATCH('2020'!I$6,DataEx!$7:$7,0))</f>
        <v>54963852.219999999</v>
      </c>
      <c r="J15" s="165">
        <f>+INDEX(DataEx!$1:$1048576,MATCH('2020'!$A15,DataEx!$D:$D,0),MATCH('2020'!J$6,DataEx!$7:$7,0))</f>
        <v>35570662.579999998</v>
      </c>
      <c r="K15" s="165">
        <f>+INDEX(DataEx!$1:$1048576,MATCH('2020'!$A15,DataEx!$D:$D,0),MATCH('2020'!K$6,DataEx!$7:$7,0))</f>
        <v>38250745.619999997</v>
      </c>
      <c r="L15" s="165">
        <f>+INDEX(DataEx!$1:$1048576,MATCH('2020'!$A15,DataEx!$D:$D,0),MATCH('2020'!L$6,DataEx!$7:$7,0))</f>
        <v>42474174.049999997</v>
      </c>
      <c r="M15" s="165">
        <f>+INDEX(DataEx!$1:$1048576,MATCH('2020'!$A15,DataEx!$D:$D,0),MATCH('2020'!M$6,DataEx!$7:$7,0))</f>
        <v>0</v>
      </c>
      <c r="N15" s="165">
        <f>+INDEX(DataEx!$1:$1048576,MATCH('2020'!$A15,DataEx!$D:$D,0),MATCH('2020'!N$6,DataEx!$7:$7,0))</f>
        <v>0</v>
      </c>
      <c r="O15" s="165">
        <f>+INDEX(DataEx!$1:$1048576,MATCH('2020'!$A15,DataEx!$D:$D,0),MATCH('2020'!O$6,DataEx!$7:$7,0))</f>
        <v>0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259138186.48000002</v>
      </c>
      <c r="T15" s="455">
        <f t="shared" si="4"/>
        <v>5.6245129789681592</v>
      </c>
    </row>
    <row r="16" spans="1:20">
      <c r="A16" s="152">
        <v>7115</v>
      </c>
      <c r="B16" s="480" t="str">
        <f>+VLOOKUP($A16,Master!$D$28:$G$224,4,FALSE)</f>
        <v>Akcize</v>
      </c>
      <c r="C16" s="481"/>
      <c r="D16" s="481"/>
      <c r="E16" s="481"/>
      <c r="F16" s="481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14831752.550000001</v>
      </c>
      <c r="I16" s="165">
        <f>+INDEX(DataEx!$1:$1048576,MATCH('2020'!$A16,DataEx!$D:$D,0),MATCH('2020'!I$6,DataEx!$7:$7,0))</f>
        <v>16111610.99</v>
      </c>
      <c r="J16" s="165">
        <f>+INDEX(DataEx!$1:$1048576,MATCH('2020'!$A16,DataEx!$D:$D,0),MATCH('2020'!J$6,DataEx!$7:$7,0))</f>
        <v>14097368.300000001</v>
      </c>
      <c r="K16" s="165">
        <f>+INDEX(DataEx!$1:$1048576,MATCH('2020'!$A16,DataEx!$D:$D,0),MATCH('2020'!K$6,DataEx!$7:$7,0))</f>
        <v>14366315.76</v>
      </c>
      <c r="L16" s="165">
        <f>+INDEX(DataEx!$1:$1048576,MATCH('2020'!$A16,DataEx!$D:$D,0),MATCH('2020'!L$6,DataEx!$7:$7,0))</f>
        <v>17821548.199999999</v>
      </c>
      <c r="M16" s="165">
        <f>+INDEX(DataEx!$1:$1048576,MATCH('2020'!$A16,DataEx!$D:$D,0),MATCH('2020'!M$6,DataEx!$7:$7,0))</f>
        <v>0</v>
      </c>
      <c r="N16" s="165">
        <f>+INDEX(DataEx!$1:$1048576,MATCH('2020'!$A16,DataEx!$D:$D,0),MATCH('2020'!N$6,DataEx!$7:$7,0))</f>
        <v>0</v>
      </c>
      <c r="O16" s="165">
        <f>+INDEX(DataEx!$1:$1048576,MATCH('2020'!$A16,DataEx!$D:$D,0),MATCH('2020'!O$6,DataEx!$7:$7,0))</f>
        <v>0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95298740.900000006</v>
      </c>
      <c r="T16" s="455">
        <f t="shared" si="4"/>
        <v>2.0684292514053784</v>
      </c>
    </row>
    <row r="17" spans="1:25">
      <c r="A17" s="152">
        <v>7116</v>
      </c>
      <c r="B17" s="480" t="str">
        <f>+VLOOKUP($A17,Master!$D$28:$G$224,4,FALSE)</f>
        <v>Porez na međunarodnu trgovinu i transakcije</v>
      </c>
      <c r="C17" s="481"/>
      <c r="D17" s="481"/>
      <c r="E17" s="481"/>
      <c r="F17" s="481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1922810.55</v>
      </c>
      <c r="I17" s="165">
        <f>+INDEX(DataEx!$1:$1048576,MATCH('2020'!$A17,DataEx!$D:$D,0),MATCH('2020'!I$6,DataEx!$7:$7,0))</f>
        <v>2363697.87</v>
      </c>
      <c r="J17" s="165">
        <f>+INDEX(DataEx!$1:$1048576,MATCH('2020'!$A17,DataEx!$D:$D,0),MATCH('2020'!J$6,DataEx!$7:$7,0))</f>
        <v>1725304.75</v>
      </c>
      <c r="K17" s="165">
        <f>+INDEX(DataEx!$1:$1048576,MATCH('2020'!$A17,DataEx!$D:$D,0),MATCH('2020'!K$6,DataEx!$7:$7,0))</f>
        <v>1588906.58</v>
      </c>
      <c r="L17" s="165">
        <f>+INDEX(DataEx!$1:$1048576,MATCH('2020'!$A17,DataEx!$D:$D,0),MATCH('2020'!L$6,DataEx!$7:$7,0))</f>
        <v>2074453.34</v>
      </c>
      <c r="M17" s="165">
        <f>+INDEX(DataEx!$1:$1048576,MATCH('2020'!$A17,DataEx!$D:$D,0),MATCH('2020'!M$6,DataEx!$7:$7,0))</f>
        <v>0</v>
      </c>
      <c r="N17" s="165">
        <f>+INDEX(DataEx!$1:$1048576,MATCH('2020'!$A17,DataEx!$D:$D,0),MATCH('2020'!N$6,DataEx!$7:$7,0))</f>
        <v>0</v>
      </c>
      <c r="O17" s="165">
        <f>+INDEX(DataEx!$1:$1048576,MATCH('2020'!$A17,DataEx!$D:$D,0),MATCH('2020'!O$6,DataEx!$7:$7,0))</f>
        <v>0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11212379.719999999</v>
      </c>
      <c r="T17" s="455">
        <f t="shared" si="4"/>
        <v>0.24336118160310807</v>
      </c>
    </row>
    <row r="18" spans="1:25">
      <c r="A18" s="152">
        <v>7118</v>
      </c>
      <c r="B18" s="480" t="str">
        <f>+VLOOKUP($A18,Master!$D$28:$G$224,4,FALSE)</f>
        <v>Ostali državni porezi</v>
      </c>
      <c r="C18" s="481"/>
      <c r="D18" s="481"/>
      <c r="E18" s="481"/>
      <c r="F18" s="481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745544.56</v>
      </c>
      <c r="I18" s="165">
        <f>+INDEX(DataEx!$1:$1048576,MATCH('2020'!$A18,DataEx!$D:$D,0),MATCH('2020'!I$6,DataEx!$7:$7,0))</f>
        <v>855856.43</v>
      </c>
      <c r="J18" s="165">
        <f>+INDEX(DataEx!$1:$1048576,MATCH('2020'!$A18,DataEx!$D:$D,0),MATCH('2020'!J$6,DataEx!$7:$7,0))</f>
        <v>718572.64</v>
      </c>
      <c r="K18" s="165">
        <f>+INDEX(DataEx!$1:$1048576,MATCH('2020'!$A18,DataEx!$D:$D,0),MATCH('2020'!K$6,DataEx!$7:$7,0))</f>
        <v>656000.56000000006</v>
      </c>
      <c r="L18" s="165">
        <f>+INDEX(DataEx!$1:$1048576,MATCH('2020'!$A18,DataEx!$D:$D,0),MATCH('2020'!L$6,DataEx!$7:$7,0))</f>
        <v>909774.71</v>
      </c>
      <c r="M18" s="165">
        <f>+INDEX(DataEx!$1:$1048576,MATCH('2020'!$A18,DataEx!$D:$D,0),MATCH('2020'!M$6,DataEx!$7:$7,0))</f>
        <v>0</v>
      </c>
      <c r="N18" s="165">
        <f>+INDEX(DataEx!$1:$1048576,MATCH('2020'!$A18,DataEx!$D:$D,0),MATCH('2020'!N$6,DataEx!$7:$7,0))</f>
        <v>0</v>
      </c>
      <c r="O18" s="165">
        <f>+INDEX(DataEx!$1:$1048576,MATCH('2020'!$A18,DataEx!$D:$D,0),MATCH('2020'!O$6,DataEx!$7:$7,0))</f>
        <v>0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4640891.16</v>
      </c>
      <c r="T18" s="455">
        <f t="shared" si="4"/>
        <v>0.10072908558157706</v>
      </c>
    </row>
    <row r="19" spans="1:25">
      <c r="A19" s="152">
        <v>712</v>
      </c>
      <c r="B19" s="484" t="str">
        <f>+VLOOKUP($A19,Master!$D$28:$G$224,4,FALSE)</f>
        <v>Doprinosi</v>
      </c>
      <c r="C19" s="485"/>
      <c r="D19" s="485"/>
      <c r="E19" s="485"/>
      <c r="F19" s="485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42574769.890000001</v>
      </c>
      <c r="I19" s="171">
        <f>+INDEX(DataEx!$1:$1048576,MATCH('2020'!$A19,DataEx!$D:$D,0),MATCH('2020'!I$6,DataEx!$7:$7,0))</f>
        <v>44888756.57</v>
      </c>
      <c r="J19" s="171">
        <f>+INDEX(DataEx!$1:$1048576,MATCH('2020'!$A19,DataEx!$D:$D,0),MATCH('2020'!J$6,DataEx!$7:$7,0))</f>
        <v>33882602.5</v>
      </c>
      <c r="K19" s="171">
        <f>+INDEX(DataEx!$1:$1048576,MATCH('2020'!$A19,DataEx!$D:$D,0),MATCH('2020'!K$6,DataEx!$7:$7,0))</f>
        <v>40418289.450000003</v>
      </c>
      <c r="L19" s="171">
        <f>+INDEX(DataEx!$1:$1048576,MATCH('2020'!$A19,DataEx!$D:$D,0),MATCH('2020'!L$6,DataEx!$7:$7,0))</f>
        <v>42892419.090000004</v>
      </c>
      <c r="M19" s="171">
        <f>+INDEX(DataEx!$1:$1048576,MATCH('2020'!$A19,DataEx!$D:$D,0),MATCH('2020'!M$6,DataEx!$7:$7,0))</f>
        <v>0</v>
      </c>
      <c r="N19" s="171">
        <f>+INDEX(DataEx!$1:$1048576,MATCH('2020'!$A19,DataEx!$D:$D,0),MATCH('2020'!N$6,DataEx!$7:$7,0))</f>
        <v>0</v>
      </c>
      <c r="O19" s="171">
        <f>+INDEX(DataEx!$1:$1048576,MATCH('2020'!$A19,DataEx!$D:$D,0),MATCH('2020'!O$6,DataEx!$7:$7,0))</f>
        <v>0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220406123.72</v>
      </c>
      <c r="T19" s="456">
        <f t="shared" si="4"/>
        <v>4.7838457170143034</v>
      </c>
    </row>
    <row r="20" spans="1:25">
      <c r="A20" s="152">
        <v>7121</v>
      </c>
      <c r="B20" s="480" t="str">
        <f>+VLOOKUP($A20,Master!$D$28:$G$224,4,FALSE)</f>
        <v>Doprinosi za penzijsko i invalidsko osiguranje</v>
      </c>
      <c r="C20" s="481"/>
      <c r="D20" s="481"/>
      <c r="E20" s="481"/>
      <c r="F20" s="481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26782162.98</v>
      </c>
      <c r="I20" s="165">
        <f>+INDEX(DataEx!$1:$1048576,MATCH('2020'!$A20,DataEx!$D:$D,0),MATCH('2020'!I$6,DataEx!$7:$7,0))</f>
        <v>28314388.120000001</v>
      </c>
      <c r="J20" s="165">
        <f>+INDEX(DataEx!$1:$1048576,MATCH('2020'!$A20,DataEx!$D:$D,0),MATCH('2020'!J$6,DataEx!$7:$7,0))</f>
        <v>21078780.449999999</v>
      </c>
      <c r="K20" s="165">
        <f>+INDEX(DataEx!$1:$1048576,MATCH('2020'!$A20,DataEx!$D:$D,0),MATCH('2020'!K$6,DataEx!$7:$7,0))</f>
        <v>24736473.050000001</v>
      </c>
      <c r="L20" s="165">
        <f>+INDEX(DataEx!$1:$1048576,MATCH('2020'!$A20,DataEx!$D:$D,0),MATCH('2020'!L$6,DataEx!$7:$7,0))</f>
        <v>26475281.460000001</v>
      </c>
      <c r="M20" s="165">
        <f>+INDEX(DataEx!$1:$1048576,MATCH('2020'!$A20,DataEx!$D:$D,0),MATCH('2020'!M$6,DataEx!$7:$7,0))</f>
        <v>0</v>
      </c>
      <c r="N20" s="165">
        <f>+INDEX(DataEx!$1:$1048576,MATCH('2020'!$A20,DataEx!$D:$D,0),MATCH('2020'!N$6,DataEx!$7:$7,0))</f>
        <v>0</v>
      </c>
      <c r="O20" s="165">
        <f>+INDEX(DataEx!$1:$1048576,MATCH('2020'!$A20,DataEx!$D:$D,0),MATCH('2020'!O$6,DataEx!$7:$7,0))</f>
        <v>0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137177449.53999999</v>
      </c>
      <c r="T20" s="455">
        <f t="shared" si="4"/>
        <v>2.9773934742690944</v>
      </c>
    </row>
    <row r="21" spans="1:25">
      <c r="A21" s="152">
        <v>7122</v>
      </c>
      <c r="B21" s="480" t="str">
        <f>+VLOOKUP($A21,Master!$D$28:$G$224,4,FALSE)</f>
        <v>Doprinosi za zdravstveno osiguranje</v>
      </c>
      <c r="C21" s="481"/>
      <c r="D21" s="481"/>
      <c r="E21" s="481"/>
      <c r="F21" s="481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13521231.24</v>
      </c>
      <c r="I21" s="165">
        <f>+INDEX(DataEx!$1:$1048576,MATCH('2020'!$A21,DataEx!$D:$D,0),MATCH('2020'!I$6,DataEx!$7:$7,0))</f>
        <v>14020072.800000001</v>
      </c>
      <c r="J21" s="165">
        <f>+INDEX(DataEx!$1:$1048576,MATCH('2020'!$A21,DataEx!$D:$D,0),MATCH('2020'!J$6,DataEx!$7:$7,0))</f>
        <v>10884138.67</v>
      </c>
      <c r="K21" s="165">
        <f>+INDEX(DataEx!$1:$1048576,MATCH('2020'!$A21,DataEx!$D:$D,0),MATCH('2020'!K$6,DataEx!$7:$7,0))</f>
        <v>13478103.310000001</v>
      </c>
      <c r="L21" s="165">
        <f>+INDEX(DataEx!$1:$1048576,MATCH('2020'!$A21,DataEx!$D:$D,0),MATCH('2020'!L$6,DataEx!$7:$7,0))</f>
        <v>14129608.4</v>
      </c>
      <c r="M21" s="165">
        <f>+INDEX(DataEx!$1:$1048576,MATCH('2020'!$A21,DataEx!$D:$D,0),MATCH('2020'!M$6,DataEx!$7:$7,0))</f>
        <v>0</v>
      </c>
      <c r="N21" s="165">
        <f>+INDEX(DataEx!$1:$1048576,MATCH('2020'!$A21,DataEx!$D:$D,0),MATCH('2020'!N$6,DataEx!$7:$7,0))</f>
        <v>0</v>
      </c>
      <c r="O21" s="165">
        <f>+INDEX(DataEx!$1:$1048576,MATCH('2020'!$A21,DataEx!$D:$D,0),MATCH('2020'!O$6,DataEx!$7:$7,0))</f>
        <v>0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71193228.030000001</v>
      </c>
      <c r="T21" s="455">
        <f t="shared" si="4"/>
        <v>1.5452266626874742</v>
      </c>
    </row>
    <row r="22" spans="1:25">
      <c r="A22" s="152">
        <v>7123</v>
      </c>
      <c r="B22" s="480" t="str">
        <f>+VLOOKUP($A22,Master!$D$28:$G$224,4,FALSE)</f>
        <v>Doprinosi za osiguranje od nezaposlenosti</v>
      </c>
      <c r="C22" s="481"/>
      <c r="D22" s="481"/>
      <c r="E22" s="481"/>
      <c r="F22" s="481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1236727.53</v>
      </c>
      <c r="I22" s="165">
        <f>+INDEX(DataEx!$1:$1048576,MATCH('2020'!$A22,DataEx!$D:$D,0),MATCH('2020'!I$6,DataEx!$7:$7,0))</f>
        <v>1425690.07</v>
      </c>
      <c r="J22" s="165">
        <f>+INDEX(DataEx!$1:$1048576,MATCH('2020'!$A22,DataEx!$D:$D,0),MATCH('2020'!J$6,DataEx!$7:$7,0))</f>
        <v>1042509.86</v>
      </c>
      <c r="K22" s="165">
        <f>+INDEX(DataEx!$1:$1048576,MATCH('2020'!$A22,DataEx!$D:$D,0),MATCH('2020'!K$6,DataEx!$7:$7,0))</f>
        <v>1190738.6299999999</v>
      </c>
      <c r="L22" s="165">
        <f>+INDEX(DataEx!$1:$1048576,MATCH('2020'!$A22,DataEx!$D:$D,0),MATCH('2020'!L$6,DataEx!$7:$7,0))</f>
        <v>1233975.8400000001</v>
      </c>
      <c r="M22" s="165">
        <f>+INDEX(DataEx!$1:$1048576,MATCH('2020'!$A22,DataEx!$D:$D,0),MATCH('2020'!M$6,DataEx!$7:$7,0))</f>
        <v>0</v>
      </c>
      <c r="N22" s="165">
        <f>+INDEX(DataEx!$1:$1048576,MATCH('2020'!$A22,DataEx!$D:$D,0),MATCH('2020'!N$6,DataEx!$7:$7,0))</f>
        <v>0</v>
      </c>
      <c r="O22" s="165">
        <f>+INDEX(DataEx!$1:$1048576,MATCH('2020'!$A22,DataEx!$D:$D,0),MATCH('2020'!O$6,DataEx!$7:$7,0))</f>
        <v>0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6585384.0600000005</v>
      </c>
      <c r="T22" s="455">
        <f t="shared" si="4"/>
        <v>0.14293369348642374</v>
      </c>
    </row>
    <row r="23" spans="1:25">
      <c r="A23" s="152">
        <v>7124</v>
      </c>
      <c r="B23" s="480" t="str">
        <f>+VLOOKUP($A23,Master!$D$28:$G$224,4,FALSE)</f>
        <v>Ostali doprinosi</v>
      </c>
      <c r="C23" s="481"/>
      <c r="D23" s="481"/>
      <c r="E23" s="481"/>
      <c r="F23" s="481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1034648.14</v>
      </c>
      <c r="I23" s="165">
        <f>+INDEX(DataEx!$1:$1048576,MATCH('2020'!$A23,DataEx!$D:$D,0),MATCH('2020'!I$6,DataEx!$7:$7,0))</f>
        <v>1128605.58</v>
      </c>
      <c r="J23" s="165">
        <f>+INDEX(DataEx!$1:$1048576,MATCH('2020'!$A23,DataEx!$D:$D,0),MATCH('2020'!J$6,DataEx!$7:$7,0))</f>
        <v>877173.52</v>
      </c>
      <c r="K23" s="165">
        <f>+INDEX(DataEx!$1:$1048576,MATCH('2020'!$A23,DataEx!$D:$D,0),MATCH('2020'!K$6,DataEx!$7:$7,0))</f>
        <v>1012974.46</v>
      </c>
      <c r="L23" s="165">
        <f>+INDEX(DataEx!$1:$1048576,MATCH('2020'!$A23,DataEx!$D:$D,0),MATCH('2020'!L$6,DataEx!$7:$7,0))</f>
        <v>1053553.3899999999</v>
      </c>
      <c r="M23" s="165">
        <f>+INDEX(DataEx!$1:$1048576,MATCH('2020'!$A23,DataEx!$D:$D,0),MATCH('2020'!M$6,DataEx!$7:$7,0))</f>
        <v>0</v>
      </c>
      <c r="N23" s="165">
        <f>+INDEX(DataEx!$1:$1048576,MATCH('2020'!$A23,DataEx!$D:$D,0),MATCH('2020'!N$6,DataEx!$7:$7,0))</f>
        <v>0</v>
      </c>
      <c r="O23" s="165">
        <f>+INDEX(DataEx!$1:$1048576,MATCH('2020'!$A23,DataEx!$D:$D,0),MATCH('2020'!O$6,DataEx!$7:$7,0))</f>
        <v>0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5450062.0899999999</v>
      </c>
      <c r="T23" s="455">
        <f t="shared" si="4"/>
        <v>0.11829188657131073</v>
      </c>
      <c r="Y23" s="319"/>
    </row>
    <row r="24" spans="1:25">
      <c r="A24" s="152">
        <v>713</v>
      </c>
      <c r="B24" s="482" t="str">
        <f>+VLOOKUP($A24,Master!$D$28:$G$224,4,FALSE)</f>
        <v>Takse</v>
      </c>
      <c r="C24" s="483"/>
      <c r="D24" s="483"/>
      <c r="E24" s="483"/>
      <c r="F24" s="483"/>
      <c r="G24" s="177">
        <f>+INDEX(DataEx!$1:$1048576,MATCH('2020'!$A24,DataEx!$D:$D,0),MATCH('2020'!G$6,DataEx!$7:$7,0))</f>
        <v>711811.51</v>
      </c>
      <c r="H24" s="177">
        <f>+INDEX(DataEx!$1:$1048576,MATCH('2020'!$A24,DataEx!$D:$D,0),MATCH('2020'!H$6,DataEx!$7:$7,0))</f>
        <v>845756.92</v>
      </c>
      <c r="I24" s="177">
        <f>+INDEX(DataEx!$1:$1048576,MATCH('2020'!$A24,DataEx!$D:$D,0),MATCH('2020'!I$6,DataEx!$7:$7,0))</f>
        <v>815406.19</v>
      </c>
      <c r="J24" s="177">
        <f>+INDEX(DataEx!$1:$1048576,MATCH('2020'!$A24,DataEx!$D:$D,0),MATCH('2020'!J$6,DataEx!$7:$7,0))</f>
        <v>318936.3</v>
      </c>
      <c r="K24" s="177">
        <f>+INDEX(DataEx!$1:$1048576,MATCH('2020'!$A24,DataEx!$D:$D,0),MATCH('2020'!K$6,DataEx!$7:$7,0))</f>
        <v>469045.42</v>
      </c>
      <c r="L24" s="177">
        <f>+INDEX(DataEx!$1:$1048576,MATCH('2020'!$A24,DataEx!$D:$D,0),MATCH('2020'!L$6,DataEx!$7:$7,0))</f>
        <v>1014921.49</v>
      </c>
      <c r="M24" s="177">
        <f>+INDEX(DataEx!$1:$1048576,MATCH('2020'!$A24,DataEx!$D:$D,0),MATCH('2020'!M$6,DataEx!$7:$7,0))</f>
        <v>0</v>
      </c>
      <c r="N24" s="177">
        <f>+INDEX(DataEx!$1:$1048576,MATCH('2020'!$A24,DataEx!$D:$D,0),MATCH('2020'!N$6,DataEx!$7:$7,0))</f>
        <v>0</v>
      </c>
      <c r="O24" s="177">
        <f>+INDEX(DataEx!$1:$1048576,MATCH('2020'!$A24,DataEx!$D:$D,0),MATCH('2020'!O$6,DataEx!$7:$7,0))</f>
        <v>0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4175877.83</v>
      </c>
      <c r="T24" s="456">
        <f t="shared" si="4"/>
        <v>9.0636117248713996E-2</v>
      </c>
      <c r="Y24" s="319"/>
    </row>
    <row r="25" spans="1:25">
      <c r="A25" s="152">
        <v>714</v>
      </c>
      <c r="B25" s="482" t="str">
        <f>+VLOOKUP($A25,Master!$D$28:$G$224,4,FALSE)</f>
        <v>Naknade</v>
      </c>
      <c r="C25" s="483"/>
      <c r="D25" s="483"/>
      <c r="E25" s="483"/>
      <c r="F25" s="483"/>
      <c r="G25" s="177">
        <f>+INDEX(DataEx!$1:$1048576,MATCH('2020'!$A25,DataEx!$D:$D,0),MATCH('2020'!G$6,DataEx!$7:$7,0))</f>
        <v>2226726.9300000002</v>
      </c>
      <c r="H25" s="177">
        <f>+INDEX(DataEx!$1:$1048576,MATCH('2020'!$A25,DataEx!$D:$D,0),MATCH('2020'!H$6,DataEx!$7:$7,0))</f>
        <v>2200614.79</v>
      </c>
      <c r="I25" s="177">
        <f>+INDEX(DataEx!$1:$1048576,MATCH('2020'!$A25,DataEx!$D:$D,0),MATCH('2020'!I$6,DataEx!$7:$7,0))</f>
        <v>1317967.9099999999</v>
      </c>
      <c r="J25" s="177">
        <f>+INDEX(DataEx!$1:$1048576,MATCH('2020'!$A25,DataEx!$D:$D,0),MATCH('2020'!J$6,DataEx!$7:$7,0))</f>
        <v>1597851.36</v>
      </c>
      <c r="K25" s="177">
        <f>+INDEX(DataEx!$1:$1048576,MATCH('2020'!$A25,DataEx!$D:$D,0),MATCH('2020'!K$6,DataEx!$7:$7,0))</f>
        <v>1673853.74</v>
      </c>
      <c r="L25" s="177">
        <f>+INDEX(DataEx!$1:$1048576,MATCH('2020'!$A25,DataEx!$D:$D,0),MATCH('2020'!L$6,DataEx!$7:$7,0))</f>
        <v>2752546.68</v>
      </c>
      <c r="M25" s="177">
        <f>+INDEX(DataEx!$1:$1048576,MATCH('2020'!$A25,DataEx!$D:$D,0),MATCH('2020'!M$6,DataEx!$7:$7,0))</f>
        <v>0</v>
      </c>
      <c r="N25" s="177">
        <f>+INDEX(DataEx!$1:$1048576,MATCH('2020'!$A25,DataEx!$D:$D,0),MATCH('2020'!N$6,DataEx!$7:$7,0))</f>
        <v>0</v>
      </c>
      <c r="O25" s="177">
        <f>+INDEX(DataEx!$1:$1048576,MATCH('2020'!$A25,DataEx!$D:$D,0),MATCH('2020'!O$6,DataEx!$7:$7,0))</f>
        <v>0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11769561.41</v>
      </c>
      <c r="T25" s="456">
        <f t="shared" si="4"/>
        <v>0.25545463525275108</v>
      </c>
      <c r="W25" s="306"/>
    </row>
    <row r="26" spans="1:25">
      <c r="A26" s="152">
        <v>715</v>
      </c>
      <c r="B26" s="482" t="str">
        <f>+VLOOKUP($A26,Master!$D$28:$G$224,4,FALSE)</f>
        <v>Ostali prihodi</v>
      </c>
      <c r="C26" s="483"/>
      <c r="D26" s="483"/>
      <c r="E26" s="483"/>
      <c r="F26" s="483"/>
      <c r="G26" s="177">
        <f>+INDEX(DataEx!$1:$1048576,MATCH('2020'!$A26,DataEx!$D:$D,0),MATCH('2020'!G$6,DataEx!$7:$7,0))</f>
        <v>1483659.28</v>
      </c>
      <c r="H26" s="177">
        <f>+INDEX(DataEx!$1:$1048576,MATCH('2020'!$A26,DataEx!$D:$D,0),MATCH('2020'!H$6,DataEx!$7:$7,0))</f>
        <v>2100277.88</v>
      </c>
      <c r="I26" s="177">
        <f>+INDEX(DataEx!$1:$1048576,MATCH('2020'!$A26,DataEx!$D:$D,0),MATCH('2020'!I$6,DataEx!$7:$7,0))</f>
        <v>4244020.3499999996</v>
      </c>
      <c r="J26" s="177">
        <f>+INDEX(DataEx!$1:$1048576,MATCH('2020'!$A26,DataEx!$D:$D,0),MATCH('2020'!J$6,DataEx!$7:$7,0))</f>
        <v>2093035.81</v>
      </c>
      <c r="K26" s="177">
        <f>+INDEX(DataEx!$1:$1048576,MATCH('2020'!$A26,DataEx!$D:$D,0),MATCH('2020'!K$6,DataEx!$7:$7,0))</f>
        <v>1280317.99</v>
      </c>
      <c r="L26" s="177">
        <f>+INDEX(DataEx!$1:$1048576,MATCH('2020'!$A26,DataEx!$D:$D,0),MATCH('2020'!L$6,DataEx!$7:$7,0))</f>
        <v>1931117.11</v>
      </c>
      <c r="M26" s="177">
        <f>+INDEX(DataEx!$1:$1048576,MATCH('2020'!$A26,DataEx!$D:$D,0),MATCH('2020'!M$6,DataEx!$7:$7,0))</f>
        <v>0</v>
      </c>
      <c r="N26" s="177">
        <f>+INDEX(DataEx!$1:$1048576,MATCH('2020'!$A26,DataEx!$D:$D,0),MATCH('2020'!N$6,DataEx!$7:$7,0))</f>
        <v>0</v>
      </c>
      <c r="O26" s="177">
        <f>+INDEX(DataEx!$1:$1048576,MATCH('2020'!$A26,DataEx!$D:$D,0),MATCH('2020'!O$6,DataEx!$7:$7,0))</f>
        <v>0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13132428.42</v>
      </c>
      <c r="T26" s="456">
        <f t="shared" si="4"/>
        <v>0.28503523582141382</v>
      </c>
      <c r="W26" s="325"/>
    </row>
    <row r="27" spans="1:25">
      <c r="A27" s="152">
        <v>73</v>
      </c>
      <c r="B27" s="482" t="str">
        <f>+VLOOKUP($A27,Master!$D$28:$G$224,4,FALSE)</f>
        <v>Primici od otplate kredita i sredstva prenesena iz prethodne godine</v>
      </c>
      <c r="C27" s="483"/>
      <c r="D27" s="483"/>
      <c r="E27" s="483"/>
      <c r="F27" s="483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813727.89</v>
      </c>
      <c r="I27" s="177">
        <f>+INDEX(DataEx!$1:$1048576,MATCH('2020'!$A27,DataEx!$D:$D,0),MATCH('2020'!I$6,DataEx!$7:$7,0))</f>
        <v>794561.22</v>
      </c>
      <c r="J27" s="177">
        <f>+INDEX(DataEx!$1:$1048576,MATCH('2020'!$A27,DataEx!$D:$D,0),MATCH('2020'!J$6,DataEx!$7:$7,0))</f>
        <v>561040.23</v>
      </c>
      <c r="K27" s="177">
        <f>+INDEX(DataEx!$1:$1048576,MATCH('2020'!$A27,DataEx!$D:$D,0),MATCH('2020'!K$6,DataEx!$7:$7,0))</f>
        <v>896681.72</v>
      </c>
      <c r="L27" s="177">
        <f>+INDEX(DataEx!$1:$1048576,MATCH('2020'!$A27,DataEx!$D:$D,0),MATCH('2020'!L$6,DataEx!$7:$7,0))</f>
        <v>977750.68</v>
      </c>
      <c r="M27" s="177">
        <f>+INDEX(DataEx!$1:$1048576,MATCH('2020'!$A27,DataEx!$D:$D,0),MATCH('2020'!M$6,DataEx!$7:$7,0))</f>
        <v>0</v>
      </c>
      <c r="N27" s="177">
        <f>+INDEX(DataEx!$1:$1048576,MATCH('2020'!$A27,DataEx!$D:$D,0),MATCH('2020'!N$6,DataEx!$7:$7,0))</f>
        <v>0</v>
      </c>
      <c r="O27" s="177">
        <f>+INDEX(DataEx!$1:$1048576,MATCH('2020'!$A27,DataEx!$D:$D,0),MATCH('2020'!O$6,DataEx!$7:$7,0))</f>
        <v>0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4124580.9200000004</v>
      </c>
      <c r="T27" s="456">
        <f t="shared" si="4"/>
        <v>8.9522733922253822E-2</v>
      </c>
    </row>
    <row r="28" spans="1:25" ht="13.5" thickBot="1">
      <c r="A28" s="152">
        <v>74</v>
      </c>
      <c r="B28" s="486" t="str">
        <f>+VLOOKUP($A28,Master!$D$28:$G$224,4,FALSE)</f>
        <v>Donacije i transferi</v>
      </c>
      <c r="C28" s="487"/>
      <c r="D28" s="487"/>
      <c r="E28" s="487"/>
      <c r="F28" s="487"/>
      <c r="G28" s="177">
        <f>+INDEX(DataEx!$1:$1048576,MATCH('2020'!$A28,DataEx!$D:$D,0),MATCH('2020'!G$6,DataEx!$7:$7,0))</f>
        <v>755324.46</v>
      </c>
      <c r="H28" s="177">
        <f>+INDEX(DataEx!$1:$1048576,MATCH('2020'!$A28,DataEx!$D:$D,0),MATCH('2020'!H$6,DataEx!$7:$7,0))</f>
        <v>1636489.54</v>
      </c>
      <c r="I28" s="177">
        <f>+INDEX(DataEx!$1:$1048576,MATCH('2020'!$A28,DataEx!$D:$D,0),MATCH('2020'!I$6,DataEx!$7:$7,0))</f>
        <v>3518115.16</v>
      </c>
      <c r="J28" s="177">
        <f>+INDEX(DataEx!$1:$1048576,MATCH('2020'!$A28,DataEx!$D:$D,0),MATCH('2020'!J$6,DataEx!$7:$7,0))</f>
        <v>2957605.59</v>
      </c>
      <c r="K28" s="177">
        <f>+INDEX(DataEx!$1:$1048576,MATCH('2020'!$A28,DataEx!$D:$D,0),MATCH('2020'!K$6,DataEx!$7:$7,0))</f>
        <v>842020.08</v>
      </c>
      <c r="L28" s="177">
        <f>+INDEX(DataEx!$1:$1048576,MATCH('2020'!$A28,DataEx!$D:$D,0),MATCH('2020'!L$6,DataEx!$7:$7,0))</f>
        <v>2579280.8199999998</v>
      </c>
      <c r="M28" s="177">
        <f>+INDEX(DataEx!$1:$1048576,MATCH('2020'!$A28,DataEx!$D:$D,0),MATCH('2020'!M$6,DataEx!$7:$7,0))</f>
        <v>0</v>
      </c>
      <c r="N28" s="177">
        <f>+INDEX(DataEx!$1:$1048576,MATCH('2020'!$A28,DataEx!$D:$D,0),MATCH('2020'!N$6,DataEx!$7:$7,0))</f>
        <v>0</v>
      </c>
      <c r="O28" s="177">
        <f>+INDEX(DataEx!$1:$1048576,MATCH('2020'!$A28,DataEx!$D:$D,0),MATCH('2020'!O$6,DataEx!$7:$7,0))</f>
        <v>0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12288835.65</v>
      </c>
      <c r="T28" s="457">
        <f t="shared" si="4"/>
        <v>0.26672531960150198</v>
      </c>
    </row>
    <row r="29" spans="1:25" ht="13.5" thickBot="1">
      <c r="A29" s="152">
        <v>4</v>
      </c>
      <c r="B29" s="488" t="str">
        <f>+VLOOKUP($A29,Master!$D$28:$G$224,4,FALSE)</f>
        <v>Izdaci</v>
      </c>
      <c r="C29" s="489"/>
      <c r="D29" s="489"/>
      <c r="E29" s="489"/>
      <c r="F29" s="489"/>
      <c r="G29" s="153">
        <f t="shared" ref="G29:R29" si="5">+G30+G40+G46+SUM(G47:G51)</f>
        <v>128402307.01999998</v>
      </c>
      <c r="H29" s="153">
        <f t="shared" si="5"/>
        <v>145162701.23000002</v>
      </c>
      <c r="I29" s="153">
        <f t="shared" si="5"/>
        <v>178126074.16999999</v>
      </c>
      <c r="J29" s="153">
        <f t="shared" si="5"/>
        <v>171031315.41999999</v>
      </c>
      <c r="K29" s="153">
        <f t="shared" si="5"/>
        <v>159587309.72000003</v>
      </c>
      <c r="L29" s="153">
        <f t="shared" si="5"/>
        <v>172044854.05000001</v>
      </c>
      <c r="M29" s="153">
        <f t="shared" si="5"/>
        <v>0</v>
      </c>
      <c r="N29" s="153">
        <f t="shared" si="5"/>
        <v>0</v>
      </c>
      <c r="O29" s="153">
        <f t="shared" si="5"/>
        <v>0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954354561.6099999</v>
      </c>
      <c r="T29" s="458">
        <f t="shared" si="4"/>
        <v>20.713966132224947</v>
      </c>
    </row>
    <row r="30" spans="1:25">
      <c r="A30" s="152">
        <v>41</v>
      </c>
      <c r="B30" s="492" t="str">
        <f>+VLOOKUP($A30,Master!$D$28:$G$224,4,FALSE)</f>
        <v>Tekući izdaci</v>
      </c>
      <c r="C30" s="493"/>
      <c r="D30" s="493"/>
      <c r="E30" s="493"/>
      <c r="F30" s="493"/>
      <c r="G30" s="189">
        <f t="shared" ref="G30:R30" si="6">+SUM(G31:G39)</f>
        <v>53697944.280000001</v>
      </c>
      <c r="H30" s="189">
        <f t="shared" si="6"/>
        <v>62612241.680000007</v>
      </c>
      <c r="I30" s="189">
        <f t="shared" si="6"/>
        <v>85267124.179999992</v>
      </c>
      <c r="J30" s="189">
        <f t="shared" si="6"/>
        <v>84481793.829999998</v>
      </c>
      <c r="K30" s="189">
        <f t="shared" si="6"/>
        <v>65236484.080000006</v>
      </c>
      <c r="L30" s="189">
        <f t="shared" si="6"/>
        <v>69491860.420000002</v>
      </c>
      <c r="M30" s="189">
        <f t="shared" si="6"/>
        <v>0</v>
      </c>
      <c r="N30" s="189">
        <f t="shared" si="6"/>
        <v>0</v>
      </c>
      <c r="O30" s="189">
        <f t="shared" si="6"/>
        <v>0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3">
        <f t="shared" si="3"/>
        <v>420787448.46999997</v>
      </c>
      <c r="T30" s="454">
        <f t="shared" si="4"/>
        <v>9.1330594593362697</v>
      </c>
      <c r="U30" s="244"/>
    </row>
    <row r="31" spans="1:25">
      <c r="A31" s="152">
        <v>411</v>
      </c>
      <c r="B31" s="480" t="str">
        <f>+VLOOKUP($A31,Master!$D$28:$G$224,4,FALSE)</f>
        <v>Bruto zarade i doprinosi na teret poslodavca</v>
      </c>
      <c r="C31" s="481"/>
      <c r="D31" s="481"/>
      <c r="E31" s="481"/>
      <c r="F31" s="481"/>
      <c r="G31" s="165">
        <f>+INDEX(DataEx!$1:$1048576,MATCH('2020'!$A31,DataEx!$D:$D,0),MATCH('2020'!G$6,DataEx!$7:$7,0))</f>
        <v>40884882.280000001</v>
      </c>
      <c r="H31" s="165">
        <f>+INDEX(DataEx!$1:$1048576,MATCH('2020'!$A31,DataEx!$D:$D,0),MATCH('2020'!H$6,DataEx!$7:$7,0))</f>
        <v>41362850.270000003</v>
      </c>
      <c r="I31" s="165">
        <f>+INDEX(DataEx!$1:$1048576,MATCH('2020'!$A31,DataEx!$D:$D,0),MATCH('2020'!I$6,DataEx!$7:$7,0))</f>
        <v>41444412.079999998</v>
      </c>
      <c r="J31" s="165">
        <f>+INDEX(DataEx!$1:$1048576,MATCH('2020'!$A31,DataEx!$D:$D,0),MATCH('2020'!J$6,DataEx!$7:$7,0))</f>
        <v>41745440.189999998</v>
      </c>
      <c r="K31" s="165">
        <f>+INDEX(DataEx!$1:$1048576,MATCH('2020'!$A31,DataEx!$D:$D,0),MATCH('2020'!K$6,DataEx!$7:$7,0))</f>
        <v>40757623.899999999</v>
      </c>
      <c r="L31" s="165">
        <f>+INDEX(DataEx!$1:$1048576,MATCH('2020'!$A31,DataEx!$D:$D,0),MATCH('2020'!L$6,DataEx!$7:$7,0))</f>
        <v>43040988.659999996</v>
      </c>
      <c r="M31" s="165">
        <f>+INDEX(DataEx!$1:$1048576,MATCH('2020'!$A31,DataEx!$D:$D,0),MATCH('2020'!M$6,DataEx!$7:$7,0))</f>
        <v>0</v>
      </c>
      <c r="N31" s="165">
        <f>+INDEX(DataEx!$1:$1048576,MATCH('2020'!$A31,DataEx!$D:$D,0),MATCH('2020'!N$6,DataEx!$7:$7,0))</f>
        <v>0</v>
      </c>
      <c r="O31" s="165">
        <f>+INDEX(DataEx!$1:$1048576,MATCH('2020'!$A31,DataEx!$D:$D,0),MATCH('2020'!O$6,DataEx!$7:$7,0))</f>
        <v>0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249236197.38</v>
      </c>
      <c r="T31" s="455">
        <f t="shared" si="4"/>
        <v>5.4095934143641609</v>
      </c>
    </row>
    <row r="32" spans="1:25">
      <c r="A32" s="152">
        <v>412</v>
      </c>
      <c r="B32" s="480" t="str">
        <f>+VLOOKUP($A32,Master!$D$28:$G$224,4,FALSE)</f>
        <v>Ostala lična primanja</v>
      </c>
      <c r="C32" s="481"/>
      <c r="D32" s="481"/>
      <c r="E32" s="481"/>
      <c r="F32" s="481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1082169.6499999999</v>
      </c>
      <c r="I32" s="165">
        <f>+INDEX(DataEx!$1:$1048576,MATCH('2020'!$A32,DataEx!$D:$D,0),MATCH('2020'!I$6,DataEx!$7:$7,0))</f>
        <v>1109472.33</v>
      </c>
      <c r="J32" s="165">
        <f>+INDEX(DataEx!$1:$1048576,MATCH('2020'!$A32,DataEx!$D:$D,0),MATCH('2020'!J$6,DataEx!$7:$7,0))</f>
        <v>652598.81999999995</v>
      </c>
      <c r="K32" s="165">
        <f>+INDEX(DataEx!$1:$1048576,MATCH('2020'!$A32,DataEx!$D:$D,0),MATCH('2020'!K$6,DataEx!$7:$7,0))</f>
        <v>376000.24</v>
      </c>
      <c r="L32" s="165">
        <f>+INDEX(DataEx!$1:$1048576,MATCH('2020'!$A32,DataEx!$D:$D,0),MATCH('2020'!L$6,DataEx!$7:$7,0))</f>
        <v>1295833.8</v>
      </c>
      <c r="M32" s="165">
        <f>+INDEX(DataEx!$1:$1048576,MATCH('2020'!$A32,DataEx!$D:$D,0),MATCH('2020'!M$6,DataEx!$7:$7,0))</f>
        <v>0</v>
      </c>
      <c r="N32" s="165">
        <f>+INDEX(DataEx!$1:$1048576,MATCH('2020'!$A32,DataEx!$D:$D,0),MATCH('2020'!N$6,DataEx!$7:$7,0))</f>
        <v>0</v>
      </c>
      <c r="O32" s="165">
        <f>+INDEX(DataEx!$1:$1048576,MATCH('2020'!$A32,DataEx!$D:$D,0),MATCH('2020'!O$6,DataEx!$7:$7,0))</f>
        <v>0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4992678.26</v>
      </c>
      <c r="T32" s="455">
        <f t="shared" si="4"/>
        <v>0.10836451414060295</v>
      </c>
      <c r="U32" s="307"/>
    </row>
    <row r="33" spans="1:23">
      <c r="A33" s="152">
        <v>413</v>
      </c>
      <c r="B33" s="480" t="str">
        <f>+VLOOKUP($A33,Master!$D$28:$G$224,4,FALSE)</f>
        <v>Rashodi za materijal</v>
      </c>
      <c r="C33" s="481"/>
      <c r="D33" s="481"/>
      <c r="E33" s="481"/>
      <c r="F33" s="481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4271561.3099999996</v>
      </c>
      <c r="I33" s="165">
        <f>+INDEX(DataEx!$1:$1048576,MATCH('2020'!$A33,DataEx!$D:$D,0),MATCH('2020'!I$6,DataEx!$7:$7,0))</f>
        <v>2456800.5</v>
      </c>
      <c r="J33" s="165">
        <f>+INDEX(DataEx!$1:$1048576,MATCH('2020'!$A33,DataEx!$D:$D,0),MATCH('2020'!J$6,DataEx!$7:$7,0))</f>
        <v>3001224.56</v>
      </c>
      <c r="K33" s="165">
        <f>+INDEX(DataEx!$1:$1048576,MATCH('2020'!$A33,DataEx!$D:$D,0),MATCH('2020'!K$6,DataEx!$7:$7,0))</f>
        <v>1835726.56</v>
      </c>
      <c r="L33" s="165">
        <f>+INDEX(DataEx!$1:$1048576,MATCH('2020'!$A33,DataEx!$D:$D,0),MATCH('2020'!L$6,DataEx!$7:$7,0))</f>
        <v>2091814.74</v>
      </c>
      <c r="M33" s="165">
        <f>+INDEX(DataEx!$1:$1048576,MATCH('2020'!$A33,DataEx!$D:$D,0),MATCH('2020'!M$6,DataEx!$7:$7,0))</f>
        <v>0</v>
      </c>
      <c r="N33" s="165">
        <f>+INDEX(DataEx!$1:$1048576,MATCH('2020'!$A33,DataEx!$D:$D,0),MATCH('2020'!N$6,DataEx!$7:$7,0))</f>
        <v>0</v>
      </c>
      <c r="O33" s="165">
        <f>+INDEX(DataEx!$1:$1048576,MATCH('2020'!$A33,DataEx!$D:$D,0),MATCH('2020'!O$6,DataEx!$7:$7,0))</f>
        <v>0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14502702.07</v>
      </c>
      <c r="T33" s="455">
        <f t="shared" si="4"/>
        <v>0.31477659518590062</v>
      </c>
      <c r="V33" s="305"/>
    </row>
    <row r="34" spans="1:23" s="379" customFormat="1">
      <c r="A34" s="378">
        <v>414</v>
      </c>
      <c r="B34" s="529" t="str">
        <f>+VLOOKUP($A34,Master!$D$28:$G$224,4,FALSE)</f>
        <v>Rashodi za usluge</v>
      </c>
      <c r="C34" s="530"/>
      <c r="D34" s="530"/>
      <c r="E34" s="530"/>
      <c r="F34" s="530"/>
      <c r="G34" s="165">
        <f>+INDEX(DataEx!$1:$1048576,MATCH('2020'!$A34,DataEx!$D:$D,0),MATCH('2020'!G$6,DataEx!$7:$7,0))</f>
        <v>1526609.67</v>
      </c>
      <c r="H34" s="165">
        <f>+INDEX(DataEx!$1:$1048576,MATCH('2020'!$A34,DataEx!$D:$D,0),MATCH('2020'!H$6,DataEx!$7:$7,0))</f>
        <v>5800030.7699999996</v>
      </c>
      <c r="I34" s="165">
        <f>+INDEX(DataEx!$1:$1048576,MATCH('2020'!$A34,DataEx!$D:$D,0),MATCH('2020'!I$6,DataEx!$7:$7,0))</f>
        <v>6227024.2599999998</v>
      </c>
      <c r="J34" s="165">
        <f>+INDEX(DataEx!$1:$1048576,MATCH('2020'!$A34,DataEx!$D:$D,0),MATCH('2020'!J$6,DataEx!$7:$7,0))</f>
        <v>3735755.56</v>
      </c>
      <c r="K34" s="165">
        <f>+INDEX(DataEx!$1:$1048576,MATCH('2020'!$A34,DataEx!$D:$D,0),MATCH('2020'!K$6,DataEx!$7:$7,0))</f>
        <v>13077926.789999999</v>
      </c>
      <c r="L34" s="165">
        <f>+INDEX(DataEx!$1:$1048576,MATCH('2020'!$A34,DataEx!$D:$D,0),MATCH('2020'!L$6,DataEx!$7:$7,0))</f>
        <v>5887324.7699999996</v>
      </c>
      <c r="M34" s="165">
        <f>+INDEX(DataEx!$1:$1048576,MATCH('2020'!$A34,DataEx!$D:$D,0),MATCH('2020'!M$6,DataEx!$7:$7,0))</f>
        <v>0</v>
      </c>
      <c r="N34" s="165">
        <f>+INDEX(DataEx!$1:$1048576,MATCH('2020'!$A34,DataEx!$D:$D,0),MATCH('2020'!N$6,DataEx!$7:$7,0))</f>
        <v>0</v>
      </c>
      <c r="O34" s="165">
        <f>+INDEX(DataEx!$1:$1048576,MATCH('2020'!$A34,DataEx!$D:$D,0),MATCH('2020'!O$6,DataEx!$7:$7,0))</f>
        <v>0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36254671.819999993</v>
      </c>
      <c r="T34" s="455">
        <f t="shared" si="4"/>
        <v>0.78689626939856294</v>
      </c>
      <c r="U34" s="260"/>
    </row>
    <row r="35" spans="1:23">
      <c r="A35" s="152">
        <v>415</v>
      </c>
      <c r="B35" s="480" t="str">
        <f>+VLOOKUP($A35,Master!$D$28:$G$224,4,FALSE)</f>
        <v>Rashodi za tekuće održavanje</v>
      </c>
      <c r="C35" s="481"/>
      <c r="D35" s="481"/>
      <c r="E35" s="481"/>
      <c r="F35" s="481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2265483.7400000002</v>
      </c>
      <c r="I35" s="165">
        <f>+INDEX(DataEx!$1:$1048576,MATCH('2020'!$A35,DataEx!$D:$D,0),MATCH('2020'!I$6,DataEx!$7:$7,0))</f>
        <v>1016574.39</v>
      </c>
      <c r="J35" s="165">
        <f>+INDEX(DataEx!$1:$1048576,MATCH('2020'!$A35,DataEx!$D:$D,0),MATCH('2020'!J$6,DataEx!$7:$7,0))</f>
        <v>2804355.68</v>
      </c>
      <c r="K35" s="165">
        <f>+INDEX(DataEx!$1:$1048576,MATCH('2020'!$A35,DataEx!$D:$D,0),MATCH('2020'!K$6,DataEx!$7:$7,0))</f>
        <v>1877727.17</v>
      </c>
      <c r="L35" s="165">
        <f>+INDEX(DataEx!$1:$1048576,MATCH('2020'!$A35,DataEx!$D:$D,0),MATCH('2020'!L$6,DataEx!$7:$7,0))</f>
        <v>1791066.21</v>
      </c>
      <c r="M35" s="165">
        <f>+INDEX(DataEx!$1:$1048576,MATCH('2020'!$A35,DataEx!$D:$D,0),MATCH('2020'!M$6,DataEx!$7:$7,0))</f>
        <v>0</v>
      </c>
      <c r="N35" s="165">
        <f>+INDEX(DataEx!$1:$1048576,MATCH('2020'!$A35,DataEx!$D:$D,0),MATCH('2020'!N$6,DataEx!$7:$7,0))</f>
        <v>0</v>
      </c>
      <c r="O35" s="165">
        <f>+INDEX(DataEx!$1:$1048576,MATCH('2020'!$A35,DataEx!$D:$D,0),MATCH('2020'!O$6,DataEx!$7:$7,0))</f>
        <v>0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9863899.1700000018</v>
      </c>
      <c r="T35" s="455">
        <f t="shared" si="4"/>
        <v>0.21409283463199708</v>
      </c>
    </row>
    <row r="36" spans="1:23">
      <c r="A36" s="152">
        <v>416</v>
      </c>
      <c r="B36" s="480" t="str">
        <f>+VLOOKUP($A36,Master!$D$28:$G$224,4,FALSE)</f>
        <v>Kamate</v>
      </c>
      <c r="C36" s="481"/>
      <c r="D36" s="481"/>
      <c r="E36" s="481"/>
      <c r="F36" s="481"/>
      <c r="G36" s="165">
        <f>+INDEX(DataEx!$1:$1048576,MATCH('2020'!$A36,DataEx!$D:$D,0),MATCH('2020'!G$6,DataEx!$7:$7,0))</f>
        <v>7654845.3899999997</v>
      </c>
      <c r="H36" s="165">
        <f>+INDEX(DataEx!$1:$1048576,MATCH('2020'!$A36,DataEx!$D:$D,0),MATCH('2020'!H$6,DataEx!$7:$7,0))</f>
        <v>1839801.88</v>
      </c>
      <c r="I36" s="165">
        <f>+INDEX(DataEx!$1:$1048576,MATCH('2020'!$A36,DataEx!$D:$D,0),MATCH('2020'!I$6,DataEx!$7:$7,0))</f>
        <v>27475960.399999999</v>
      </c>
      <c r="J36" s="165">
        <f>+INDEX(DataEx!$1:$1048576,MATCH('2020'!$A36,DataEx!$D:$D,0),MATCH('2020'!J$6,DataEx!$7:$7,0))</f>
        <v>22559197.739999998</v>
      </c>
      <c r="K36" s="165">
        <f>+INDEX(DataEx!$1:$1048576,MATCH('2020'!$A36,DataEx!$D:$D,0),MATCH('2020'!K$6,DataEx!$7:$7,0))</f>
        <v>1656916.58</v>
      </c>
      <c r="L36" s="165">
        <f>+INDEX(DataEx!$1:$1048576,MATCH('2020'!$A36,DataEx!$D:$D,0),MATCH('2020'!L$6,DataEx!$7:$7,0))</f>
        <v>5339935.2699999996</v>
      </c>
      <c r="M36" s="165">
        <f>+INDEX(DataEx!$1:$1048576,MATCH('2020'!$A36,DataEx!$D:$D,0),MATCH('2020'!M$6,DataEx!$7:$7,0))</f>
        <v>0</v>
      </c>
      <c r="N36" s="165">
        <f>+INDEX(DataEx!$1:$1048576,MATCH('2020'!$A36,DataEx!$D:$D,0),MATCH('2020'!N$6,DataEx!$7:$7,0))</f>
        <v>0</v>
      </c>
      <c r="O36" s="165">
        <f>+INDEX(DataEx!$1:$1048576,MATCH('2020'!$A36,DataEx!$D:$D,0),MATCH('2020'!O$6,DataEx!$7:$7,0))</f>
        <v>0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66526657.25999999</v>
      </c>
      <c r="T36" s="455">
        <f t="shared" si="4"/>
        <v>1.4439402092331732</v>
      </c>
    </row>
    <row r="37" spans="1:23">
      <c r="A37" s="152">
        <v>417</v>
      </c>
      <c r="B37" s="480" t="str">
        <f>+VLOOKUP($A37,Master!$D$28:$G$224,4,FALSE)</f>
        <v>Renta</v>
      </c>
      <c r="C37" s="481"/>
      <c r="D37" s="481"/>
      <c r="E37" s="481"/>
      <c r="F37" s="481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930050.26</v>
      </c>
      <c r="I37" s="165">
        <f>+INDEX(DataEx!$1:$1048576,MATCH('2020'!$A37,DataEx!$D:$D,0),MATCH('2020'!I$6,DataEx!$7:$7,0))</f>
        <v>896586.65</v>
      </c>
      <c r="J37" s="165">
        <f>+INDEX(DataEx!$1:$1048576,MATCH('2020'!$A37,DataEx!$D:$D,0),MATCH('2020'!J$6,DataEx!$7:$7,0))</f>
        <v>972131.72</v>
      </c>
      <c r="K37" s="165">
        <f>+INDEX(DataEx!$1:$1048576,MATCH('2020'!$A37,DataEx!$D:$D,0),MATCH('2020'!K$6,DataEx!$7:$7,0))</f>
        <v>769427.2</v>
      </c>
      <c r="L37" s="165">
        <f>+INDEX(DataEx!$1:$1048576,MATCH('2020'!$A37,DataEx!$D:$D,0),MATCH('2020'!L$6,DataEx!$7:$7,0))</f>
        <v>795087.54</v>
      </c>
      <c r="M37" s="165">
        <f>+INDEX(DataEx!$1:$1048576,MATCH('2020'!$A37,DataEx!$D:$D,0),MATCH('2020'!M$6,DataEx!$7:$7,0))</f>
        <v>0</v>
      </c>
      <c r="N37" s="165">
        <f>+INDEX(DataEx!$1:$1048576,MATCH('2020'!$A37,DataEx!$D:$D,0),MATCH('2020'!N$6,DataEx!$7:$7,0))</f>
        <v>0</v>
      </c>
      <c r="O37" s="165">
        <f>+INDEX(DataEx!$1:$1048576,MATCH('2020'!$A37,DataEx!$D:$D,0),MATCH('2020'!O$6,DataEx!$7:$7,0))</f>
        <v>0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4980061.3</v>
      </c>
      <c r="T37" s="455">
        <f t="shared" si="4"/>
        <v>0.10809066698500205</v>
      </c>
    </row>
    <row r="38" spans="1:23">
      <c r="A38" s="152">
        <v>418</v>
      </c>
      <c r="B38" s="480" t="str">
        <f>+VLOOKUP($A38,Master!$D$28:$G$224,4,FALSE)</f>
        <v>Subvencije</v>
      </c>
      <c r="C38" s="481"/>
      <c r="D38" s="481"/>
      <c r="E38" s="481"/>
      <c r="F38" s="481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1211715.27</v>
      </c>
      <c r="I38" s="165">
        <f>+INDEX(DataEx!$1:$1048576,MATCH('2020'!$A38,DataEx!$D:$D,0),MATCH('2020'!I$6,DataEx!$7:$7,0))</f>
        <v>1425211.49</v>
      </c>
      <c r="J38" s="165">
        <f>+INDEX(DataEx!$1:$1048576,MATCH('2020'!$A38,DataEx!$D:$D,0),MATCH('2020'!J$6,DataEx!$7:$7,0))</f>
        <v>5065576.53</v>
      </c>
      <c r="K38" s="165">
        <f>+INDEX(DataEx!$1:$1048576,MATCH('2020'!$A38,DataEx!$D:$D,0),MATCH('2020'!K$6,DataEx!$7:$7,0))</f>
        <v>1512180.75</v>
      </c>
      <c r="L38" s="165">
        <f>+INDEX(DataEx!$1:$1048576,MATCH('2020'!$A38,DataEx!$D:$D,0),MATCH('2020'!L$6,DataEx!$7:$7,0))</f>
        <v>2801785.17</v>
      </c>
      <c r="M38" s="165">
        <f>+INDEX(DataEx!$1:$1048576,MATCH('2020'!$A38,DataEx!$D:$D,0),MATCH('2020'!M$6,DataEx!$7:$7,0))</f>
        <v>0</v>
      </c>
      <c r="N38" s="165">
        <f>+INDEX(DataEx!$1:$1048576,MATCH('2020'!$A38,DataEx!$D:$D,0),MATCH('2020'!N$6,DataEx!$7:$7,0))</f>
        <v>0</v>
      </c>
      <c r="O38" s="165">
        <f>+INDEX(DataEx!$1:$1048576,MATCH('2020'!$A38,DataEx!$D:$D,0),MATCH('2020'!O$6,DataEx!$7:$7,0))</f>
        <v>0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12203377.130000001</v>
      </c>
      <c r="T38" s="455">
        <f t="shared" si="4"/>
        <v>0.26487046925531227</v>
      </c>
    </row>
    <row r="39" spans="1:23" s="379" customFormat="1">
      <c r="A39" s="378">
        <v>419</v>
      </c>
      <c r="B39" s="529" t="str">
        <f>+VLOOKUP($A39,Master!$D$28:$G$224,4,FALSE)</f>
        <v>Ostali izdaci</v>
      </c>
      <c r="C39" s="530"/>
      <c r="D39" s="530"/>
      <c r="E39" s="530"/>
      <c r="F39" s="530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3848578.53</v>
      </c>
      <c r="I39" s="165">
        <f>+INDEX(DataEx!$1:$1048576,MATCH('2020'!$A39,DataEx!$D:$D,0),MATCH('2020'!I$6,DataEx!$7:$7,0))</f>
        <v>3215082.08</v>
      </c>
      <c r="J39" s="165">
        <f>+INDEX(DataEx!$1:$1048576,MATCH('2020'!$A39,DataEx!$D:$D,0),MATCH('2020'!J$6,DataEx!$7:$7,0))</f>
        <v>3945513.03</v>
      </c>
      <c r="K39" s="165">
        <f>+INDEX(DataEx!$1:$1048576,MATCH('2020'!$A39,DataEx!$D:$D,0),MATCH('2020'!K$6,DataEx!$7:$7,0))</f>
        <v>3372954.89</v>
      </c>
      <c r="L39" s="165">
        <f>+INDEX(DataEx!$1:$1048576,MATCH('2020'!$A39,DataEx!$D:$D,0),MATCH('2020'!L$6,DataEx!$7:$7,0))</f>
        <v>6448024.2599999998</v>
      </c>
      <c r="M39" s="165">
        <f>+INDEX(DataEx!$1:$1048576,MATCH('2020'!$A39,DataEx!$D:$D,0),MATCH('2020'!M$6,DataEx!$7:$7,0))</f>
        <v>0</v>
      </c>
      <c r="N39" s="165">
        <f>+INDEX(DataEx!$1:$1048576,MATCH('2020'!$A39,DataEx!$D:$D,0),MATCH('2020'!N$6,DataEx!$7:$7,0))</f>
        <v>0</v>
      </c>
      <c r="O39" s="165">
        <f>+INDEX(DataEx!$1:$1048576,MATCH('2020'!$A39,DataEx!$D:$D,0),MATCH('2020'!O$6,DataEx!$7:$7,0))</f>
        <v>0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22227204.079999998</v>
      </c>
      <c r="T39" s="455">
        <f t="shared" si="4"/>
        <v>0.48243448614155793</v>
      </c>
      <c r="U39" s="260"/>
    </row>
    <row r="40" spans="1:23">
      <c r="A40" s="152">
        <v>42</v>
      </c>
      <c r="B40" s="496" t="str">
        <f>+VLOOKUP($A40,Master!$D$28:$G$224,4,FALSE)</f>
        <v>Transferi za socijalnu zaštitu</v>
      </c>
      <c r="C40" s="497"/>
      <c r="D40" s="497"/>
      <c r="E40" s="497"/>
      <c r="F40" s="497"/>
      <c r="G40" s="195">
        <f>+SUM(G41:G45)</f>
        <v>43744418.239999995</v>
      </c>
      <c r="H40" s="195">
        <f t="shared" ref="H40:R40" si="7">+SUM(H41:H45)</f>
        <v>46796687.629999995</v>
      </c>
      <c r="I40" s="195">
        <f t="shared" si="7"/>
        <v>46377214.320000008</v>
      </c>
      <c r="J40" s="177">
        <f t="shared" si="7"/>
        <v>46828214.329999998</v>
      </c>
      <c r="K40" s="195">
        <f t="shared" si="7"/>
        <v>44861859.969999999</v>
      </c>
      <c r="L40" s="195">
        <f t="shared" si="7"/>
        <v>38562298.870000005</v>
      </c>
      <c r="M40" s="195">
        <f t="shared" si="7"/>
        <v>0</v>
      </c>
      <c r="N40" s="195">
        <f t="shared" si="7"/>
        <v>0</v>
      </c>
      <c r="O40" s="195">
        <f t="shared" si="7"/>
        <v>0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267170693.35999998</v>
      </c>
      <c r="T40" s="456">
        <f t="shared" si="4"/>
        <v>5.7988560189264859</v>
      </c>
      <c r="W40" s="323"/>
    </row>
    <row r="41" spans="1:23">
      <c r="A41" s="152">
        <v>421</v>
      </c>
      <c r="B41" s="480" t="str">
        <f>+VLOOKUP($A41,Master!$D$28:$G$224,4,FALSE)</f>
        <v>Prava iz oblasti socijalne zaštite</v>
      </c>
      <c r="C41" s="481"/>
      <c r="D41" s="481"/>
      <c r="E41" s="481"/>
      <c r="F41" s="481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7174722.5199999996</v>
      </c>
      <c r="I41" s="165">
        <f>+INDEX(DataEx!$1:$1048576,MATCH('2020'!$A41,DataEx!$D:$D,0),MATCH('2020'!I$6,DataEx!$7:$7,0))</f>
        <v>6752335.3300000001</v>
      </c>
      <c r="J41" s="165">
        <f>+INDEX(DataEx!$1:$1048576,MATCH('2020'!$A41,DataEx!$D:$D,0),MATCH('2020'!J$6,DataEx!$7:$7,0))</f>
        <v>6378584.3399999999</v>
      </c>
      <c r="K41" s="165">
        <f>+INDEX(DataEx!$1:$1048576,MATCH('2020'!$A41,DataEx!$D:$D,0),MATCH('2020'!K$6,DataEx!$7:$7,0))</f>
        <v>5976072.2199999997</v>
      </c>
      <c r="L41" s="165">
        <f>+INDEX(DataEx!$1:$1048576,MATCH('2020'!$A41,DataEx!$D:$D,0),MATCH('2020'!L$6,DataEx!$7:$7,0))</f>
        <v>6185136.4800000004</v>
      </c>
      <c r="M41" s="165">
        <f>+INDEX(DataEx!$1:$1048576,MATCH('2020'!$A41,DataEx!$D:$D,0),MATCH('2020'!M$6,DataEx!$7:$7,0))</f>
        <v>0</v>
      </c>
      <c r="N41" s="165">
        <f>+INDEX(DataEx!$1:$1048576,MATCH('2020'!$A41,DataEx!$D:$D,0),MATCH('2020'!N$6,DataEx!$7:$7,0))</f>
        <v>0</v>
      </c>
      <c r="O41" s="165">
        <f>+INDEX(DataEx!$1:$1048576,MATCH('2020'!$A41,DataEx!$D:$D,0),MATCH('2020'!O$6,DataEx!$7:$7,0))</f>
        <v>0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38914988.219999999</v>
      </c>
      <c r="T41" s="455">
        <f t="shared" si="4"/>
        <v>0.84463760163219237</v>
      </c>
    </row>
    <row r="42" spans="1:23">
      <c r="A42" s="152">
        <v>422</v>
      </c>
      <c r="B42" s="480" t="str">
        <f>+VLOOKUP($A42,Master!$D$28:$G$224,4,FALSE)</f>
        <v>Sredstva za tehnološke viškove</v>
      </c>
      <c r="C42" s="481"/>
      <c r="D42" s="481"/>
      <c r="E42" s="481"/>
      <c r="F42" s="481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1607182</v>
      </c>
      <c r="I42" s="165">
        <f>+INDEX(DataEx!$1:$1048576,MATCH('2020'!$A42,DataEx!$D:$D,0),MATCH('2020'!I$6,DataEx!$7:$7,0))</f>
        <v>1602703.45</v>
      </c>
      <c r="J42" s="165">
        <f>+INDEX(DataEx!$1:$1048576,MATCH('2020'!$A42,DataEx!$D:$D,0),MATCH('2020'!J$6,DataEx!$7:$7,0))</f>
        <v>1448885.74</v>
      </c>
      <c r="K42" s="165">
        <f>+INDEX(DataEx!$1:$1048576,MATCH('2020'!$A42,DataEx!$D:$D,0),MATCH('2020'!K$6,DataEx!$7:$7,0))</f>
        <v>1413828.93</v>
      </c>
      <c r="L42" s="165">
        <f>+INDEX(DataEx!$1:$1048576,MATCH('2020'!$A42,DataEx!$D:$D,0),MATCH('2020'!L$6,DataEx!$7:$7,0))</f>
        <v>1505135.2</v>
      </c>
      <c r="M42" s="165">
        <f>+INDEX(DataEx!$1:$1048576,MATCH('2020'!$A42,DataEx!$D:$D,0),MATCH('2020'!M$6,DataEx!$7:$7,0))</f>
        <v>0</v>
      </c>
      <c r="N42" s="165">
        <f>+INDEX(DataEx!$1:$1048576,MATCH('2020'!$A42,DataEx!$D:$D,0),MATCH('2020'!N$6,DataEx!$7:$7,0))</f>
        <v>0</v>
      </c>
      <c r="O42" s="165">
        <f>+INDEX(DataEx!$1:$1048576,MATCH('2020'!$A42,DataEx!$D:$D,0),MATCH('2020'!O$6,DataEx!$7:$7,0))</f>
        <v>0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7631990.9199999999</v>
      </c>
      <c r="T42" s="455">
        <f t="shared" si="4"/>
        <v>0.16564996679183036</v>
      </c>
    </row>
    <row r="43" spans="1:23">
      <c r="A43" s="152">
        <v>423</v>
      </c>
      <c r="B43" s="480" t="str">
        <f>+VLOOKUP($A43,Master!$D$28:$G$224,4,FALSE)</f>
        <v>Prava iz oblasti penzijskog i invalidskog osiguranja</v>
      </c>
      <c r="C43" s="481"/>
      <c r="D43" s="481"/>
      <c r="E43" s="481"/>
      <c r="F43" s="481"/>
      <c r="G43" s="165">
        <f>+INDEX(DataEx!$1:$1048576,MATCH('2020'!$A43,DataEx!$D:$D,0),MATCH('2020'!G$6,DataEx!$7:$7,0))</f>
        <v>34875207.159999996</v>
      </c>
      <c r="H43" s="165">
        <f>+INDEX(DataEx!$1:$1048576,MATCH('2020'!$A43,DataEx!$D:$D,0),MATCH('2020'!H$6,DataEx!$7:$7,0))</f>
        <v>35344644.090000004</v>
      </c>
      <c r="I43" s="165">
        <f>+INDEX(DataEx!$1:$1048576,MATCH('2020'!$A43,DataEx!$D:$D,0),MATCH('2020'!I$6,DataEx!$7:$7,0))</f>
        <v>35520020</v>
      </c>
      <c r="J43" s="165">
        <f>+INDEX(DataEx!$1:$1048576,MATCH('2020'!$A43,DataEx!$D:$D,0),MATCH('2020'!J$6,DataEx!$7:$7,0))</f>
        <v>36212765.539999999</v>
      </c>
      <c r="K43" s="165">
        <f>+INDEX(DataEx!$1:$1048576,MATCH('2020'!$A43,DataEx!$D:$D,0),MATCH('2020'!K$6,DataEx!$7:$7,0))</f>
        <v>35322836.950000003</v>
      </c>
      <c r="L43" s="165">
        <f>+INDEX(DataEx!$1:$1048576,MATCH('2020'!$A43,DataEx!$D:$D,0),MATCH('2020'!L$6,DataEx!$7:$7,0))</f>
        <v>28226705.280000001</v>
      </c>
      <c r="M43" s="165">
        <f>+INDEX(DataEx!$1:$1048576,MATCH('2020'!$A43,DataEx!$D:$D,0),MATCH('2020'!M$6,DataEx!$7:$7,0))</f>
        <v>0</v>
      </c>
      <c r="N43" s="165">
        <f>+INDEX(DataEx!$1:$1048576,MATCH('2020'!$A43,DataEx!$D:$D,0),MATCH('2020'!N$6,DataEx!$7:$7,0))</f>
        <v>0</v>
      </c>
      <c r="O43" s="165">
        <f>+INDEX(DataEx!$1:$1048576,MATCH('2020'!$A43,DataEx!$D:$D,0),MATCH('2020'!O$6,DataEx!$7:$7,0))</f>
        <v>0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205502179.02000001</v>
      </c>
      <c r="T43" s="455">
        <f t="shared" si="4"/>
        <v>4.4603602765177008</v>
      </c>
    </row>
    <row r="44" spans="1:23">
      <c r="A44" s="152">
        <v>424</v>
      </c>
      <c r="B44" s="480" t="str">
        <f>+VLOOKUP($A44,Master!$D$28:$G$224,4,FALSE)</f>
        <v>Ostala prava iz oblasti zdravstvene zaštite</v>
      </c>
      <c r="C44" s="481"/>
      <c r="D44" s="481"/>
      <c r="E44" s="481"/>
      <c r="F44" s="481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1831428.58</v>
      </c>
      <c r="I44" s="165">
        <f>+INDEX(DataEx!$1:$1048576,MATCH('2020'!$A44,DataEx!$D:$D,0),MATCH('2020'!I$6,DataEx!$7:$7,0))</f>
        <v>1595368.45</v>
      </c>
      <c r="J44" s="165">
        <f>+INDEX(DataEx!$1:$1048576,MATCH('2020'!$A44,DataEx!$D:$D,0),MATCH('2020'!J$6,DataEx!$7:$7,0))</f>
        <v>2107330.88</v>
      </c>
      <c r="K44" s="165">
        <f>+INDEX(DataEx!$1:$1048576,MATCH('2020'!$A44,DataEx!$D:$D,0),MATCH('2020'!K$6,DataEx!$7:$7,0))</f>
        <v>1443795.73</v>
      </c>
      <c r="L44" s="165">
        <f>+INDEX(DataEx!$1:$1048576,MATCH('2020'!$A44,DataEx!$D:$D,0),MATCH('2020'!L$6,DataEx!$7:$7,0))</f>
        <v>1963797.13</v>
      </c>
      <c r="M44" s="165">
        <f>+INDEX(DataEx!$1:$1048576,MATCH('2020'!$A44,DataEx!$D:$D,0),MATCH('2020'!M$6,DataEx!$7:$7,0))</f>
        <v>0</v>
      </c>
      <c r="N44" s="165">
        <f>+INDEX(DataEx!$1:$1048576,MATCH('2020'!$A44,DataEx!$D:$D,0),MATCH('2020'!N$6,DataEx!$7:$7,0))</f>
        <v>0</v>
      </c>
      <c r="O44" s="165">
        <f>+INDEX(DataEx!$1:$1048576,MATCH('2020'!$A44,DataEx!$D:$D,0),MATCH('2020'!O$6,DataEx!$7:$7,0))</f>
        <v>0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10563109.669999998</v>
      </c>
      <c r="T44" s="455">
        <f t="shared" si="4"/>
        <v>0.22926897901156856</v>
      </c>
    </row>
    <row r="45" spans="1:23" s="379" customFormat="1">
      <c r="A45" s="378">
        <v>425</v>
      </c>
      <c r="B45" s="539" t="str">
        <f>+VLOOKUP($A45,Master!$D$28:$G$224,4,FALSE)</f>
        <v>Ostala prava iz zdravstvenog osiguranja</v>
      </c>
      <c r="C45" s="540"/>
      <c r="D45" s="540"/>
      <c r="E45" s="540"/>
      <c r="F45" s="540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838710.44</v>
      </c>
      <c r="I45" s="165">
        <f>+INDEX(DataEx!$1:$1048576,MATCH('2020'!$A45,DataEx!$D:$D,0),MATCH('2020'!I$6,DataEx!$7:$7,0))</f>
        <v>906787.09</v>
      </c>
      <c r="J45" s="165">
        <f>+INDEX(DataEx!$1:$1048576,MATCH('2020'!$A45,DataEx!$D:$D,0),MATCH('2020'!J$6,DataEx!$7:$7,0))</f>
        <v>680647.83</v>
      </c>
      <c r="K45" s="165">
        <f>+INDEX(DataEx!$1:$1048576,MATCH('2020'!$A45,DataEx!$D:$D,0),MATCH('2020'!K$6,DataEx!$7:$7,0))</f>
        <v>705326.14</v>
      </c>
      <c r="L45" s="165">
        <f>+INDEX(DataEx!$1:$1048576,MATCH('2020'!$A45,DataEx!$D:$D,0),MATCH('2020'!L$6,DataEx!$7:$7,0))</f>
        <v>681524.78</v>
      </c>
      <c r="M45" s="165">
        <f>+INDEX(DataEx!$1:$1048576,MATCH('2020'!$A45,DataEx!$D:$D,0),MATCH('2020'!M$6,DataEx!$7:$7,0))</f>
        <v>0</v>
      </c>
      <c r="N45" s="165">
        <f>+INDEX(DataEx!$1:$1048576,MATCH('2020'!$A45,DataEx!$D:$D,0),MATCH('2020'!N$6,DataEx!$7:$7,0))</f>
        <v>0</v>
      </c>
      <c r="O45" s="165">
        <f>+INDEX(DataEx!$1:$1048576,MATCH('2020'!$A45,DataEx!$D:$D,0),MATCH('2020'!O$6,DataEx!$7:$7,0))</f>
        <v>0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4558425.53</v>
      </c>
      <c r="T45" s="455">
        <f t="shared" si="4"/>
        <v>9.8939194973194727E-2</v>
      </c>
      <c r="U45" s="260"/>
    </row>
    <row r="46" spans="1:23">
      <c r="A46" s="152">
        <v>43</v>
      </c>
      <c r="B46" s="494" t="str">
        <f>+VLOOKUP($A46,Master!$D$28:$G$224,4,FALSE)</f>
        <v xml:space="preserve">Transferi institucijama, pojedincima, nevladinom i javnom sektoru </v>
      </c>
      <c r="C46" s="495"/>
      <c r="D46" s="495"/>
      <c r="E46" s="495"/>
      <c r="F46" s="495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23914749.120000001</v>
      </c>
      <c r="I46" s="177">
        <f>+INDEX(DataEx!$1:$1048576,MATCH('2020'!$A46,DataEx!$D:$D,0),MATCH('2020'!I$6,DataEx!$7:$7,0))</f>
        <v>31910693.890000001</v>
      </c>
      <c r="J46" s="177">
        <f>+INDEX(DataEx!$1:$1048576,MATCH('2020'!$A46,DataEx!$D:$D,0),MATCH('2020'!J$6,DataEx!$7:$7,0))</f>
        <v>17331295.199999999</v>
      </c>
      <c r="K46" s="177">
        <f>+INDEX(DataEx!$1:$1048576,MATCH('2020'!$A46,DataEx!$D:$D,0),MATCH('2020'!K$6,DataEx!$7:$7,0))</f>
        <v>15552980.33</v>
      </c>
      <c r="L46" s="177">
        <f>+INDEX(DataEx!$1:$1048576,MATCH('2020'!$A46,DataEx!$D:$D,0),MATCH('2020'!L$6,DataEx!$7:$7,0))</f>
        <v>18902264.34</v>
      </c>
      <c r="M46" s="177">
        <f>+INDEX(DataEx!$1:$1048576,MATCH('2020'!$A46,DataEx!$D:$D,0),MATCH('2020'!M$6,DataEx!$7:$7,0))</f>
        <v>0</v>
      </c>
      <c r="N46" s="177">
        <f>+INDEX(DataEx!$1:$1048576,MATCH('2020'!$A46,DataEx!$D:$D,0),MATCH('2020'!N$6,DataEx!$7:$7,0))</f>
        <v>0</v>
      </c>
      <c r="O46" s="177">
        <f>+INDEX(DataEx!$1:$1048576,MATCH('2020'!$A46,DataEx!$D:$D,0),MATCH('2020'!O$6,DataEx!$7:$7,0))</f>
        <v>0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131243549.56</v>
      </c>
      <c r="T46" s="456">
        <f t="shared" si="4"/>
        <v>2.8486000382002477</v>
      </c>
    </row>
    <row r="47" spans="1:23">
      <c r="A47" s="152">
        <v>44</v>
      </c>
      <c r="B47" s="494" t="str">
        <f>+VLOOKUP($A47,Master!$D$28:$G$224,4,FALSE)</f>
        <v>Kapitalni izdaci</v>
      </c>
      <c r="C47" s="495"/>
      <c r="D47" s="495"/>
      <c r="E47" s="495"/>
      <c r="F47" s="495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8919354.2899999991</v>
      </c>
      <c r="I47" s="177">
        <f>+INDEX(DataEx!$1:$1048576,MATCH('2020'!$A47,DataEx!$D:$D,0),MATCH('2020'!I$6,DataEx!$7:$7,0))</f>
        <v>13085415.970000001</v>
      </c>
      <c r="J47" s="177">
        <f>+INDEX(DataEx!$1:$1048576,MATCH('2020'!$A47,DataEx!$D:$D,0),MATCH('2020'!J$6,DataEx!$7:$7,0))</f>
        <v>17943688.25</v>
      </c>
      <c r="K47" s="177">
        <f>+INDEX(DataEx!$1:$1048576,MATCH('2020'!$A47,DataEx!$D:$D,0),MATCH('2020'!K$6,DataEx!$7:$7,0))</f>
        <v>15872563.539999999</v>
      </c>
      <c r="L47" s="177">
        <f>+INDEX(DataEx!$1:$1048576,MATCH('2020'!$A47,DataEx!$D:$D,0),MATCH('2020'!L$6,DataEx!$7:$7,0))</f>
        <v>24498023.93</v>
      </c>
      <c r="M47" s="177">
        <f>+INDEX(DataEx!$1:$1048576,MATCH('2020'!$A47,DataEx!$D:$D,0),MATCH('2020'!M$6,DataEx!$7:$7,0))</f>
        <v>0</v>
      </c>
      <c r="N47" s="177">
        <f>+INDEX(DataEx!$1:$1048576,MATCH('2020'!$A47,DataEx!$D:$D,0),MATCH('2020'!N$6,DataEx!$7:$7,0))</f>
        <v>0</v>
      </c>
      <c r="O47" s="177">
        <f>+INDEX(DataEx!$1:$1048576,MATCH('2020'!$A47,DataEx!$D:$D,0),MATCH('2020'!O$6,DataEx!$7:$7,0))</f>
        <v>0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84472141.599999994</v>
      </c>
      <c r="T47" s="456">
        <f t="shared" si="4"/>
        <v>1.8334413126994118</v>
      </c>
    </row>
    <row r="48" spans="1:23">
      <c r="A48" s="152">
        <v>451</v>
      </c>
      <c r="B48" s="531" t="str">
        <f>+VLOOKUP($A48,Master!$D$28:$G$224,4,FALSE)</f>
        <v>Pozajmice i krediti</v>
      </c>
      <c r="C48" s="532"/>
      <c r="D48" s="532"/>
      <c r="E48" s="532"/>
      <c r="F48" s="532"/>
      <c r="G48" s="165">
        <f>DataEx!FR169</f>
        <v>0</v>
      </c>
      <c r="H48" s="165">
        <f>DataEx!FS169</f>
        <v>277634</v>
      </c>
      <c r="I48" s="165">
        <f>DataEx!FT169</f>
        <v>0</v>
      </c>
      <c r="J48" s="165">
        <f>DataEx!FU169</f>
        <v>268014</v>
      </c>
      <c r="K48" s="165">
        <f>DataEx!FV169</f>
        <v>5000</v>
      </c>
      <c r="L48" s="165">
        <f>DataEx!FW169</f>
        <v>269846</v>
      </c>
      <c r="M48" s="165">
        <f>DataEx!FX169</f>
        <v>0</v>
      </c>
      <c r="N48" s="165">
        <f>DataEx!FY169</f>
        <v>0</v>
      </c>
      <c r="O48" s="165">
        <f>DataEx!FZ169</f>
        <v>0</v>
      </c>
      <c r="P48" s="165">
        <f>DataEx!GA169</f>
        <v>0</v>
      </c>
      <c r="Q48" s="165">
        <f>DataEx!GB169</f>
        <v>0</v>
      </c>
      <c r="R48" s="165">
        <f>DataEx!GC169</f>
        <v>0</v>
      </c>
      <c r="S48" s="244">
        <f t="shared" si="3"/>
        <v>820494</v>
      </c>
      <c r="T48" s="455">
        <f t="shared" si="4"/>
        <v>1.780856466911206E-2</v>
      </c>
    </row>
    <row r="49" spans="1:22" s="379" customFormat="1">
      <c r="A49" s="378">
        <v>47</v>
      </c>
      <c r="B49" s="533" t="str">
        <f>+VLOOKUP($A49,Master!$D$28:$G$224,4,FALSE)</f>
        <v>Rezerve</v>
      </c>
      <c r="C49" s="534"/>
      <c r="D49" s="534"/>
      <c r="E49" s="534"/>
      <c r="F49" s="534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720000</v>
      </c>
      <c r="I49" s="165">
        <f>+INDEX(DataEx!$1:$1048576,MATCH('2020'!$A49,DataEx!$D:$D,0),MATCH('2020'!I$6,DataEx!$7:$7,0))</f>
        <v>117020</v>
      </c>
      <c r="J49" s="213">
        <f>+INDEX(DataEx!$1:$1048576,MATCH('2020'!$A49,DataEx!$D:$D,0),MATCH('2020'!J$6,DataEx!$7:$7,0))</f>
        <v>3138464.05</v>
      </c>
      <c r="K49" s="165">
        <f>+INDEX(DataEx!$1:$1048576,MATCH('2020'!$A49,DataEx!$D:$D,0),MATCH('2020'!K$6,DataEx!$7:$7,0))</f>
        <v>16941995.850000001</v>
      </c>
      <c r="L49" s="165">
        <f>+INDEX(DataEx!$1:$1048576,MATCH('2020'!$A49,DataEx!$D:$D,0),MATCH('2020'!L$6,DataEx!$7:$7,0))</f>
        <v>18264699.84</v>
      </c>
      <c r="M49" s="165">
        <f>+INDEX(DataEx!$1:$1048576,MATCH('2020'!$A49,DataEx!$D:$D,0),MATCH('2020'!M$6,DataEx!$7:$7,0))</f>
        <v>0</v>
      </c>
      <c r="N49" s="165">
        <f>+INDEX(DataEx!$1:$1048576,MATCH('2020'!$A49,DataEx!$D:$D,0),MATCH('2020'!N$6,DataEx!$7:$7,0))</f>
        <v>0</v>
      </c>
      <c r="O49" s="165">
        <f>+INDEX(DataEx!$1:$1048576,MATCH('2020'!$A49,DataEx!$D:$D,0),MATCH('2020'!O$6,DataEx!$7:$7,0))</f>
        <v>0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41123373.740000002</v>
      </c>
      <c r="T49" s="455">
        <f t="shared" si="4"/>
        <v>0.89256991600286506</v>
      </c>
      <c r="U49" s="260"/>
    </row>
    <row r="50" spans="1:22" ht="13.5" thickBot="1">
      <c r="A50" s="152">
        <v>462</v>
      </c>
      <c r="B50" s="500" t="str">
        <f>+VLOOKUP($A50,Master!$D$28:$G$224,4,FALSE)</f>
        <v>Otplata garancija</v>
      </c>
      <c r="C50" s="501"/>
      <c r="D50" s="501"/>
      <c r="E50" s="501"/>
      <c r="F50" s="501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5">
        <f t="shared" si="4"/>
        <v>0</v>
      </c>
      <c r="U50" s="306"/>
      <c r="V50" s="307"/>
    </row>
    <row r="51" spans="1:22" ht="13.5" thickBot="1">
      <c r="A51" s="146">
        <v>4630</v>
      </c>
      <c r="B51" s="535" t="str">
        <f>+VLOOKUP($A51,Master!$D$28:$G$224,4,TRUE)</f>
        <v>Otplata obaveza iz prethodnog perioda</v>
      </c>
      <c r="C51" s="536"/>
      <c r="D51" s="536"/>
      <c r="E51" s="536"/>
      <c r="F51" s="536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1922034.51</v>
      </c>
      <c r="I51" s="201">
        <f>+INDEX(DataEx!$1:$1048576,MATCH('2020'!$A51,DataEx!$D:$D,0),MATCH('2020'!I$6,DataEx!$7:$7,0))</f>
        <v>1368605.81</v>
      </c>
      <c r="J51" s="201">
        <f>+INDEX(DataEx!$1:$1048576,MATCH('2020'!$A51,DataEx!$D:$D,0),MATCH('2020'!J$6,DataEx!$7:$7,0))</f>
        <v>1039845.76</v>
      </c>
      <c r="K51" s="201">
        <f>+INDEX(DataEx!$1:$1048576,MATCH('2020'!$A51,DataEx!$D:$D,0),MATCH('2020'!K$6,DataEx!$7:$7,0))</f>
        <v>1116425.95</v>
      </c>
      <c r="L51" s="201">
        <f>+INDEX(DataEx!$1:$1048576,MATCH('2020'!$A51,DataEx!$D:$D,0),MATCH('2020'!L$6,DataEx!$7:$7,0))</f>
        <v>2055860.65</v>
      </c>
      <c r="M51" s="201">
        <f>+INDEX(DataEx!$1:$1048576,MATCH('2020'!$A51,DataEx!$D:$D,0),MATCH('2020'!M$6,DataEx!$7:$7,0))</f>
        <v>0</v>
      </c>
      <c r="N51" s="201">
        <f>+INDEX(DataEx!$1:$1048576,MATCH('2020'!$A51,DataEx!$D:$D,0),MATCH('2020'!N$6,DataEx!$7:$7,0))</f>
        <v>0</v>
      </c>
      <c r="O51" s="201">
        <f>+INDEX(DataEx!$1:$1048576,MATCH('2020'!$A51,DataEx!$D:$D,0),MATCH('2020'!O$6,DataEx!$7:$7,0))</f>
        <v>0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4">
        <f>+SUM(G51:R51)</f>
        <v>8736860.879999999</v>
      </c>
      <c r="T51" s="459">
        <f t="shared" si="4"/>
        <v>0.18963082239055409</v>
      </c>
    </row>
    <row r="52" spans="1:22" ht="13.5" thickBot="1">
      <c r="A52" s="70">
        <v>1005</v>
      </c>
      <c r="B52" s="537" t="str">
        <f>+VLOOKUP($A52,Master!$D$28:$G$226,4,FALSE)</f>
        <v>Neto povećanje obaveza</v>
      </c>
      <c r="C52" s="538"/>
      <c r="D52" s="538"/>
      <c r="E52" s="538"/>
      <c r="F52" s="538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0">
        <f t="shared" si="4"/>
        <v>0</v>
      </c>
    </row>
    <row r="53" spans="1:22" ht="13.5" thickBot="1">
      <c r="A53" s="146">
        <v>1000</v>
      </c>
      <c r="B53" s="502" t="str">
        <f>+VLOOKUP($A53,Master!$D$28:$G$224,4,FALSE)</f>
        <v>Suficit / deficit</v>
      </c>
      <c r="C53" s="503"/>
      <c r="D53" s="503"/>
      <c r="E53" s="503"/>
      <c r="F53" s="503"/>
      <c r="G53" s="153">
        <f t="shared" ref="G53:R53" si="8">+G10-G29</f>
        <v>-34074474.229999989</v>
      </c>
      <c r="H53" s="153">
        <f t="shared" si="8"/>
        <v>-25307976.920000032</v>
      </c>
      <c r="I53" s="153">
        <f t="shared" si="8"/>
        <v>-16933510.109999985</v>
      </c>
      <c r="J53" s="153">
        <f t="shared" si="8"/>
        <v>-46098268.709999979</v>
      </c>
      <c r="K53" s="153">
        <f t="shared" si="8"/>
        <v>-44254343.200000018</v>
      </c>
      <c r="L53" s="153">
        <f t="shared" si="8"/>
        <v>-39935867.260000005</v>
      </c>
      <c r="M53" s="153">
        <f t="shared" si="8"/>
        <v>0</v>
      </c>
      <c r="N53" s="153">
        <f t="shared" si="8"/>
        <v>0</v>
      </c>
      <c r="O53" s="153">
        <f t="shared" si="8"/>
        <v>0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-206604440.43000001</v>
      </c>
      <c r="T53" s="461">
        <f t="shared" si="4"/>
        <v>-4.4842845143576495</v>
      </c>
    </row>
    <row r="54" spans="1:22" ht="13.5" thickBot="1">
      <c r="A54" s="146">
        <v>1001</v>
      </c>
      <c r="B54" s="504" t="str">
        <f>+VLOOKUP($A54,Master!$D$28:$G$224,4,FALSE)</f>
        <v>Primarni suficit/deficit</v>
      </c>
      <c r="C54" s="505"/>
      <c r="D54" s="505"/>
      <c r="E54" s="505"/>
      <c r="F54" s="505"/>
      <c r="G54" s="207">
        <f t="shared" ref="G54:R54" si="9">+G53+G36</f>
        <v>-26419628.839999989</v>
      </c>
      <c r="H54" s="207">
        <f t="shared" si="9"/>
        <v>-23468175.040000033</v>
      </c>
      <c r="I54" s="207">
        <f t="shared" si="9"/>
        <v>10542450.290000014</v>
      </c>
      <c r="J54" s="207">
        <f t="shared" si="9"/>
        <v>-23539070.96999998</v>
      </c>
      <c r="K54" s="207">
        <f t="shared" si="9"/>
        <v>-42597426.62000002</v>
      </c>
      <c r="L54" s="207">
        <f t="shared" si="9"/>
        <v>-34595931.99000001</v>
      </c>
      <c r="M54" s="207">
        <f t="shared" si="9"/>
        <v>0</v>
      </c>
      <c r="N54" s="207">
        <f t="shared" si="9"/>
        <v>0</v>
      </c>
      <c r="O54" s="207">
        <f t="shared" si="9"/>
        <v>0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-140077783.17000002</v>
      </c>
      <c r="T54" s="461">
        <f t="shared" si="4"/>
        <v>-3.040344305124477</v>
      </c>
    </row>
    <row r="55" spans="1:22">
      <c r="A55" s="146">
        <v>46</v>
      </c>
      <c r="B55" s="549" t="str">
        <f>+VLOOKUP($A55,Master!$D$28:$G$224,4,FALSE)</f>
        <v>Otplata dugova</v>
      </c>
      <c r="C55" s="550"/>
      <c r="D55" s="550"/>
      <c r="E55" s="550"/>
      <c r="F55" s="550"/>
      <c r="G55" s="195">
        <f t="shared" ref="G55:R55" si="10">+SUM(G56:G57)</f>
        <v>24526193.280000001</v>
      </c>
      <c r="H55" s="195">
        <f t="shared" si="10"/>
        <v>65365822.75</v>
      </c>
      <c r="I55" s="195">
        <f t="shared" si="10"/>
        <v>332059497.63</v>
      </c>
      <c r="J55" s="177">
        <f t="shared" si="10"/>
        <v>17213530.07</v>
      </c>
      <c r="K55" s="195">
        <f t="shared" si="10"/>
        <v>11395595.050000001</v>
      </c>
      <c r="L55" s="195">
        <f t="shared" si="10"/>
        <v>12046882.029999999</v>
      </c>
      <c r="M55" s="195">
        <f t="shared" si="10"/>
        <v>0</v>
      </c>
      <c r="N55" s="195">
        <f t="shared" si="10"/>
        <v>0</v>
      </c>
      <c r="O55" s="195">
        <f t="shared" si="10"/>
        <v>0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462607520.80999994</v>
      </c>
      <c r="T55" s="462">
        <f t="shared" si="4"/>
        <v>10.040750999717837</v>
      </c>
      <c r="V55" s="323"/>
    </row>
    <row r="56" spans="1:22">
      <c r="A56" s="146">
        <v>4611</v>
      </c>
      <c r="B56" s="522" t="str">
        <f>+VLOOKUP($A56,Master!$D$28:$G$224,4,FALSE)</f>
        <v>Otplata hartija od vrijednosti i kredita rezidentima</v>
      </c>
      <c r="C56" s="523"/>
      <c r="D56" s="523"/>
      <c r="E56" s="523"/>
      <c r="F56" s="523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54840868.399999999</v>
      </c>
      <c r="I56" s="213">
        <f>+INDEX(DataEx!$1:$1048576,MATCH('2020'!$A56,DataEx!$D:$D,0),MATCH('2020'!I$6,DataEx!$7:$7,0))</f>
        <v>1854849.15</v>
      </c>
      <c r="J56" s="213">
        <f>+INDEX(DataEx!$1:$1048576,MATCH('2020'!$A56,DataEx!$D:$D,0),MATCH('2020'!J$6,DataEx!$7:$7,0))</f>
        <v>1603895.49</v>
      </c>
      <c r="K56" s="213">
        <f>+INDEX(DataEx!$1:$1048576,MATCH('2020'!$A56,DataEx!$D:$D,0),MATCH('2020'!K$6,DataEx!$7:$7,0))</f>
        <v>1842278.41</v>
      </c>
      <c r="L56" s="213">
        <f>+INDEX(DataEx!$1:$1048576,MATCH('2020'!$A56,DataEx!$D:$D,0),MATCH('2020'!L$6,DataEx!$7:$7,0))</f>
        <v>2108350.36</v>
      </c>
      <c r="M56" s="213">
        <f>+INDEX(DataEx!$1:$1048576,MATCH('2020'!$A56,DataEx!$D:$D,0),MATCH('2020'!M$6,DataEx!$7:$7,0))</f>
        <v>0</v>
      </c>
      <c r="N56" s="213">
        <f>+INDEX(DataEx!$1:$1048576,MATCH('2020'!$A56,DataEx!$D:$D,0),MATCH('2020'!N$6,DataEx!$7:$7,0))</f>
        <v>0</v>
      </c>
      <c r="O56" s="213">
        <f>+INDEX(DataEx!$1:$1048576,MATCH('2020'!$A56,DataEx!$D:$D,0),MATCH('2020'!O$6,DataEx!$7:$7,0))</f>
        <v>0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85340641.379999995</v>
      </c>
      <c r="T56" s="463">
        <f t="shared" si="4"/>
        <v>1.8522918277516114</v>
      </c>
      <c r="V56" s="371"/>
    </row>
    <row r="57" spans="1:22" ht="13.5" thickBot="1">
      <c r="A57" s="146">
        <v>4612</v>
      </c>
      <c r="B57" s="498" t="str">
        <f>+VLOOKUP($A57,Master!$D$28:$G$224,4,FALSE)</f>
        <v>Otplata hartija od vrijednosti i kredita nerezidentima</v>
      </c>
      <c r="C57" s="499"/>
      <c r="D57" s="499"/>
      <c r="E57" s="499"/>
      <c r="F57" s="499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10524954.35</v>
      </c>
      <c r="I57" s="213">
        <f>+INDEX(DataEx!$1:$1048576,MATCH('2020'!$A57,DataEx!$D:$D,0),MATCH('2020'!I$6,DataEx!$7:$7,0))</f>
        <v>330204648.48000002</v>
      </c>
      <c r="J57" s="213">
        <f>+INDEX(DataEx!$1:$1048576,MATCH('2020'!$A57,DataEx!$D:$D,0),MATCH('2020'!J$6,DataEx!$7:$7,0))</f>
        <v>15609634.58</v>
      </c>
      <c r="K57" s="213">
        <f>+INDEX(DataEx!$1:$1048576,MATCH('2020'!$A57,DataEx!$D:$D,0),MATCH('2020'!K$6,DataEx!$7:$7,0))</f>
        <v>9553316.6400000006</v>
      </c>
      <c r="L57" s="213">
        <f>+INDEX(DataEx!$1:$1048576,MATCH('2020'!$A57,DataEx!$D:$D,0),MATCH('2020'!L$6,DataEx!$7:$7,0))</f>
        <v>9938531.6699999999</v>
      </c>
      <c r="M57" s="213">
        <f>+INDEX(DataEx!$1:$1048576,MATCH('2020'!$A57,DataEx!$D:$D,0),MATCH('2020'!M$6,DataEx!$7:$7,0))</f>
        <v>0</v>
      </c>
      <c r="N57" s="213">
        <f>+INDEX(DataEx!$1:$1048576,MATCH('2020'!$A57,DataEx!$D:$D,0),MATCH('2020'!N$6,DataEx!$7:$7,0))</f>
        <v>0</v>
      </c>
      <c r="O57" s="213">
        <f>+INDEX(DataEx!$1:$1048576,MATCH('2020'!$A57,DataEx!$D:$D,0),MATCH('2020'!O$6,DataEx!$7:$7,0))</f>
        <v>0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377266879.43000001</v>
      </c>
      <c r="T57" s="463">
        <f t="shared" si="4"/>
        <v>8.1884591719662279</v>
      </c>
      <c r="V57" s="333"/>
    </row>
    <row r="58" spans="1:22" ht="13.5" thickBot="1">
      <c r="A58" s="146">
        <v>4418</v>
      </c>
      <c r="B58" s="549" t="str">
        <f>+VLOOKUP($A58,Master!$D$28:$G$224,4,FALSE)</f>
        <v>Izdaci za kupovinu hartija od vrijednosti</v>
      </c>
      <c r="C58" s="550"/>
      <c r="D58" s="550"/>
      <c r="E58" s="550"/>
      <c r="F58" s="550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0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0</v>
      </c>
      <c r="T58" s="464">
        <f t="shared" si="4"/>
        <v>0</v>
      </c>
      <c r="V58" s="333"/>
    </row>
    <row r="59" spans="1:22" ht="13.5" thickBot="1">
      <c r="A59" s="146">
        <v>1002</v>
      </c>
      <c r="B59" s="524" t="str">
        <f>+VLOOKUP($A59,Master!$D$28:$G$224,4,FALSE)</f>
        <v>Nedostajuća sredstva</v>
      </c>
      <c r="C59" s="525"/>
      <c r="D59" s="525"/>
      <c r="E59" s="525"/>
      <c r="F59" s="525"/>
      <c r="G59" s="219">
        <f>+G53-G55-G58</f>
        <v>-58600667.50999999</v>
      </c>
      <c r="H59" s="219">
        <f t="shared" ref="H59:R59" si="11">+H53-H55-H58</f>
        <v>-90673799.670000032</v>
      </c>
      <c r="I59" s="219">
        <f t="shared" si="11"/>
        <v>-348993007.74000001</v>
      </c>
      <c r="J59" s="219">
        <f t="shared" si="11"/>
        <v>-63311798.779999979</v>
      </c>
      <c r="K59" s="219">
        <f t="shared" si="11"/>
        <v>-55649938.250000015</v>
      </c>
      <c r="L59" s="219">
        <f t="shared" si="11"/>
        <v>-51982749.290000007</v>
      </c>
      <c r="M59" s="219">
        <f t="shared" si="11"/>
        <v>0</v>
      </c>
      <c r="N59" s="219">
        <f t="shared" si="11"/>
        <v>0</v>
      </c>
      <c r="O59" s="219">
        <f t="shared" si="11"/>
        <v>0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-669211961.24000001</v>
      </c>
      <c r="T59" s="465">
        <f t="shared" si="4"/>
        <v>-14.525035514075487</v>
      </c>
    </row>
    <row r="60" spans="1:22" ht="13.5" thickBot="1">
      <c r="A60" s="146">
        <v>1003</v>
      </c>
      <c r="B60" s="488" t="str">
        <f>+VLOOKUP($A60,Master!$D$28:$G$224,4,FALSE)</f>
        <v>Finansiranje</v>
      </c>
      <c r="C60" s="489"/>
      <c r="D60" s="489"/>
      <c r="E60" s="489"/>
      <c r="F60" s="489"/>
      <c r="G60" s="153">
        <f>+SUM(G61:G64)</f>
        <v>58600667.50999999</v>
      </c>
      <c r="H60" s="153">
        <f t="shared" ref="H60:R60" si="12">+SUM(H61:H64)</f>
        <v>90673799.670000032</v>
      </c>
      <c r="I60" s="153">
        <f t="shared" si="12"/>
        <v>348993007.74000001</v>
      </c>
      <c r="J60" s="153">
        <f t="shared" si="12"/>
        <v>63311798.779999971</v>
      </c>
      <c r="K60" s="153">
        <f t="shared" si="12"/>
        <v>55649938.25000003</v>
      </c>
      <c r="L60" s="153">
        <f t="shared" si="12"/>
        <v>51982749.290000007</v>
      </c>
      <c r="M60" s="153">
        <f t="shared" si="12"/>
        <v>0</v>
      </c>
      <c r="N60" s="153">
        <f t="shared" si="12"/>
        <v>0</v>
      </c>
      <c r="O60" s="153">
        <f t="shared" si="12"/>
        <v>0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669211961.24000001</v>
      </c>
      <c r="T60" s="466">
        <f t="shared" si="4"/>
        <v>14.525035514075487</v>
      </c>
    </row>
    <row r="61" spans="1:22">
      <c r="A61" s="146">
        <v>7511</v>
      </c>
      <c r="B61" s="522" t="str">
        <f>+VLOOKUP($A61,Master!$D$28:$G$224,4,FALSE)</f>
        <v>Pozajmice i krediti od domaćih izvora</v>
      </c>
      <c r="C61" s="523"/>
      <c r="D61" s="523"/>
      <c r="E61" s="523"/>
      <c r="F61" s="523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23000000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19932059.129999999</v>
      </c>
      <c r="K61" s="213">
        <f>+INDEX(DataEx!$1:$1048576,MATCH('2020'!$A61,DataEx!$D:$D,0),MATCH('2020'!K$6,DataEx!$7:$7,0))</f>
        <v>10000000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0</v>
      </c>
      <c r="N61" s="213">
        <f>+INDEX(DataEx!$1:$1048576,MATCH('2020'!$A61,DataEx!$D:$D,0),MATCH('2020'!N$6,DataEx!$7:$7,0))</f>
        <v>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67832059.129999995</v>
      </c>
      <c r="T61" s="463">
        <f t="shared" si="4"/>
        <v>1.472273546979793</v>
      </c>
    </row>
    <row r="62" spans="1:22">
      <c r="A62" s="146">
        <v>7512</v>
      </c>
      <c r="B62" s="498" t="str">
        <f>+VLOOKUP($A62,Master!$D$28:$G$224,4,FALSE)</f>
        <v>Pozajmice i krediti od inostranih izvora</v>
      </c>
      <c r="C62" s="499"/>
      <c r="D62" s="499"/>
      <c r="E62" s="499"/>
      <c r="F62" s="499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1511136.76</v>
      </c>
      <c r="I62" s="213">
        <f>+INDEX(DataEx!$1:$1048576,MATCH('2020'!$A62,DataEx!$D:$D,0),MATCH('2020'!I$6,DataEx!$7:$7,0))</f>
        <v>3834054.75</v>
      </c>
      <c r="J62" s="213">
        <f>+INDEX(DataEx!$1:$1048576,MATCH('2020'!$A62,DataEx!$D:$D,0),MATCH('2020'!J$6,DataEx!$7:$7,0))</f>
        <v>4493810.3600000003</v>
      </c>
      <c r="K62" s="213">
        <f>+INDEX(DataEx!$1:$1048576,MATCH('2020'!$A62,DataEx!$D:$D,0),MATCH('2020'!K$6,DataEx!$7:$7,0))</f>
        <v>250307576.15000001</v>
      </c>
      <c r="L62" s="213">
        <f>+INDEX(DataEx!$1:$1048576,MATCH('2020'!$A62,DataEx!$D:$D,0),MATCH('2020'!L$6,DataEx!$7:$7,0))</f>
        <v>83297964.459999993</v>
      </c>
      <c r="M62" s="213">
        <f>+INDEX(DataEx!$1:$1048576,MATCH('2020'!$A62,DataEx!$D:$D,0),MATCH('2020'!M$6,DataEx!$7:$7,0))</f>
        <v>0</v>
      </c>
      <c r="N62" s="213">
        <f>+INDEX(DataEx!$1:$1048576,MATCH('2020'!$A62,DataEx!$D:$D,0),MATCH('2020'!N$6,DataEx!$7:$7,0))</f>
        <v>0</v>
      </c>
      <c r="O62" s="213">
        <f>+INDEX(DataEx!$1:$1048576,MATCH('2020'!$A62,DataEx!$D:$D,0),MATCH('2020'!O$6,DataEx!$7:$7,0))</f>
        <v>0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343761107.31999999</v>
      </c>
      <c r="T62" s="463">
        <f t="shared" si="4"/>
        <v>7.4612269077333799</v>
      </c>
    </row>
    <row r="63" spans="1:22">
      <c r="A63" s="146">
        <v>72</v>
      </c>
      <c r="B63" s="498" t="str">
        <f>+VLOOKUP($A63,Master!$D$28:$G$224,4,FALSE)</f>
        <v>Primici od prodaje imovine</v>
      </c>
      <c r="C63" s="499"/>
      <c r="D63" s="499"/>
      <c r="E63" s="499"/>
      <c r="F63" s="499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437988.22</v>
      </c>
      <c r="I63" s="213">
        <f>+INDEX(DataEx!$1:$1048576,MATCH('2020'!$A63,DataEx!$D:$D,0),MATCH('2020'!I$6,DataEx!$7:$7,0))</f>
        <v>603218.21</v>
      </c>
      <c r="J63" s="213">
        <f>+INDEX(DataEx!$1:$1048576,MATCH('2020'!$A63,DataEx!$D:$D,0),MATCH('2020'!J$6,DataEx!$7:$7,0))</f>
        <v>198578.39</v>
      </c>
      <c r="K63" s="213">
        <f>+INDEX(DataEx!$1:$1048576,MATCH('2020'!$A63,DataEx!$D:$D,0),MATCH('2020'!K$6,DataEx!$7:$7,0))</f>
        <v>270349.07</v>
      </c>
      <c r="L63" s="213">
        <f>+INDEX(DataEx!$1:$1048576,MATCH('2020'!$A63,DataEx!$D:$D,0),MATCH('2020'!L$6,DataEx!$7:$7,0))</f>
        <v>213993.31</v>
      </c>
      <c r="M63" s="213">
        <f>+INDEX(DataEx!$1:$1048576,MATCH('2020'!$A63,DataEx!$D:$D,0),MATCH('2020'!M$6,DataEx!$7:$7,0))</f>
        <v>0</v>
      </c>
      <c r="N63" s="213">
        <f>+INDEX(DataEx!$1:$1048576,MATCH('2020'!$A63,DataEx!$D:$D,0),MATCH('2020'!N$6,DataEx!$7:$7,0))</f>
        <v>0</v>
      </c>
      <c r="O63" s="213">
        <f>+INDEX(DataEx!$1:$1048576,MATCH('2020'!$A63,DataEx!$D:$D,0),MATCH('2020'!O$6,DataEx!$7:$7,0))</f>
        <v>0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1786909.7100000002</v>
      </c>
      <c r="T63" s="463">
        <f t="shared" si="4"/>
        <v>3.8784314240444512E-2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43321320.159999989</v>
      </c>
      <c r="H64" s="227">
        <f t="shared" ref="H64:R64" si="13">-H59-SUM(H61:H63)</f>
        <v>65724674.690000027</v>
      </c>
      <c r="I64" s="227">
        <f t="shared" si="13"/>
        <v>344555734.78000003</v>
      </c>
      <c r="J64" s="227">
        <f t="shared" si="13"/>
        <v>38687350.899999976</v>
      </c>
      <c r="K64" s="227">
        <f t="shared" si="13"/>
        <v>-204927986.96999997</v>
      </c>
      <c r="L64" s="227">
        <f t="shared" si="13"/>
        <v>-31529208.479999989</v>
      </c>
      <c r="M64" s="227">
        <f t="shared" si="13"/>
        <v>0</v>
      </c>
      <c r="N64" s="227">
        <f t="shared" si="13"/>
        <v>0</v>
      </c>
      <c r="O64" s="227">
        <f t="shared" si="13"/>
        <v>0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255831885.08000007</v>
      </c>
      <c r="T64" s="467">
        <f t="shared" si="4"/>
        <v>5.5527507451218732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41" t="str">
        <f>+Master!G251</f>
        <v>Plan ostvarenja budžeta</v>
      </c>
      <c r="C100" s="542"/>
      <c r="D100" s="542"/>
      <c r="E100" s="542"/>
      <c r="F100" s="542"/>
      <c r="G100" s="555">
        <v>2020</v>
      </c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7"/>
      <c r="S100" s="107" t="str">
        <f>+S7</f>
        <v>BDP</v>
      </c>
      <c r="T100" s="108">
        <f>+T7</f>
        <v>4607300000</v>
      </c>
    </row>
    <row r="101" spans="1:21" ht="15.75" customHeight="1">
      <c r="B101" s="543"/>
      <c r="C101" s="544"/>
      <c r="D101" s="544"/>
      <c r="E101" s="544"/>
      <c r="F101" s="545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5" t="str">
        <f>+Master!G245</f>
        <v>Jan - Dec</v>
      </c>
      <c r="T101" s="557">
        <f>+T8</f>
        <v>0</v>
      </c>
    </row>
    <row r="102" spans="1:21" ht="13.5" thickBot="1">
      <c r="B102" s="546"/>
      <c r="C102" s="547"/>
      <c r="D102" s="547"/>
      <c r="E102" s="547"/>
      <c r="F102" s="548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44" si="16">+CONCATENATE(A10,"p")</f>
        <v>7p</v>
      </c>
      <c r="B103" s="558" t="str">
        <f>+VLOOKUP(LEFT($A103,LEN(A103)-1)*1,Master!$D$28:$G$224,4,FALSE)</f>
        <v>Prihodi budžeta</v>
      </c>
      <c r="C103" s="559"/>
      <c r="D103" s="559"/>
      <c r="E103" s="559"/>
      <c r="F103" s="559"/>
      <c r="G103" s="93">
        <f t="shared" ref="G103:R103" si="17">+G104+G112+SUM(G117:G121)</f>
        <v>94285835.649999991</v>
      </c>
      <c r="H103" s="93">
        <f t="shared" si="17"/>
        <v>119854724.30999999</v>
      </c>
      <c r="I103" s="93">
        <f t="shared" si="17"/>
        <v>161096447.81000003</v>
      </c>
      <c r="J103" s="93">
        <f t="shared" si="17"/>
        <v>124455764.22</v>
      </c>
      <c r="K103" s="93">
        <f t="shared" si="17"/>
        <v>115626470.64833334</v>
      </c>
      <c r="L103" s="93">
        <f t="shared" si="17"/>
        <v>129263442.47262934</v>
      </c>
      <c r="M103" s="93">
        <f t="shared" si="17"/>
        <v>149679785.44142962</v>
      </c>
      <c r="N103" s="93">
        <f t="shared" si="17"/>
        <v>151163847.8668786</v>
      </c>
      <c r="O103" s="93">
        <f t="shared" si="17"/>
        <v>182359802.52894622</v>
      </c>
      <c r="P103" s="93">
        <f t="shared" si="17"/>
        <v>171190045.10814694</v>
      </c>
      <c r="Q103" s="93">
        <f t="shared" si="17"/>
        <v>126872146.86620957</v>
      </c>
      <c r="R103" s="93">
        <f t="shared" si="17"/>
        <v>179141076.23520052</v>
      </c>
      <c r="S103" s="471">
        <f>+SUM(G103:R103)</f>
        <v>1704989389.157774</v>
      </c>
      <c r="T103" s="472">
        <f>+S103/$T$100*100</f>
        <v>37.006259396127319</v>
      </c>
    </row>
    <row r="104" spans="1:21">
      <c r="A104" s="116" t="str">
        <f t="shared" si="16"/>
        <v>711p</v>
      </c>
      <c r="B104" s="560" t="str">
        <f>+VLOOKUP(LEFT($A104,LEN(A104)-1)*1,Master!$D$28:$G$224,4,FALSE)</f>
        <v>Porezi</v>
      </c>
      <c r="C104" s="561"/>
      <c r="D104" s="561"/>
      <c r="E104" s="561"/>
      <c r="F104" s="561"/>
      <c r="G104" s="79">
        <f t="shared" ref="G104:R104" si="18">+SUM(G105:G111)</f>
        <v>73320205.209999993</v>
      </c>
      <c r="H104" s="79">
        <f t="shared" si="18"/>
        <v>69683087.399999991</v>
      </c>
      <c r="I104" s="79">
        <f t="shared" si="18"/>
        <v>105613736.66000001</v>
      </c>
      <c r="J104" s="79">
        <f t="shared" si="18"/>
        <v>83521974.920000002</v>
      </c>
      <c r="K104" s="79">
        <f t="shared" si="18"/>
        <v>69752758.120000005</v>
      </c>
      <c r="L104" s="79">
        <f t="shared" si="18"/>
        <v>82125472.672907159</v>
      </c>
      <c r="M104" s="79">
        <f t="shared" si="18"/>
        <v>97440527.99295114</v>
      </c>
      <c r="N104" s="79">
        <f t="shared" si="18"/>
        <v>102835982.17822319</v>
      </c>
      <c r="O104" s="79">
        <f t="shared" si="18"/>
        <v>99861898.573637322</v>
      </c>
      <c r="P104" s="79">
        <f t="shared" si="18"/>
        <v>96098494.299763739</v>
      </c>
      <c r="Q104" s="79">
        <f t="shared" si="18"/>
        <v>81549422.466298312</v>
      </c>
      <c r="R104" s="80">
        <f t="shared" si="18"/>
        <v>93633799.201363876</v>
      </c>
      <c r="S104" s="111">
        <f t="shared" ref="S104:S157" si="19">+SUM(G104:R104)</f>
        <v>1055437359.695145</v>
      </c>
      <c r="T104" s="454">
        <f t="shared" ref="T104:T157" si="20">+S104/$T$100*100</f>
        <v>22.90793652888123</v>
      </c>
      <c r="U104" s="259"/>
    </row>
    <row r="105" spans="1:21">
      <c r="A105" s="116" t="str">
        <f t="shared" si="16"/>
        <v>7111p</v>
      </c>
      <c r="B105" s="551" t="str">
        <f>+VLOOKUP(LEFT($A105,LEN(A105)-1)*1,Master!$D$28:$G$227,4,FALSE)</f>
        <v>Porez na dohodak fizičkih lica</v>
      </c>
      <c r="C105" s="552"/>
      <c r="D105" s="552"/>
      <c r="E105" s="552"/>
      <c r="F105" s="552"/>
      <c r="G105" s="87">
        <f>+SUM(DataEx!FR219)</f>
        <v>4317755.12</v>
      </c>
      <c r="H105" s="87">
        <f>+SUM(DataEx!FS219)</f>
        <v>9514934.0399999991</v>
      </c>
      <c r="I105" s="87">
        <f>+SUM(DataEx!FT219)</f>
        <v>9988296.0800000001</v>
      </c>
      <c r="J105" s="87">
        <f>+SUM(DataEx!FU219)</f>
        <v>6960084.75</v>
      </c>
      <c r="K105" s="87">
        <f>+SUM(DataEx!FV219)</f>
        <v>10104597.5</v>
      </c>
      <c r="L105" s="87">
        <f>+SUM(DataEx!FW219)</f>
        <v>9233273.1269990597</v>
      </c>
      <c r="M105" s="87">
        <f>+SUM(DataEx!FX219)</f>
        <v>9150318.9104051236</v>
      </c>
      <c r="N105" s="87">
        <f>+SUM(DataEx!FY219)</f>
        <v>8725946.6834637858</v>
      </c>
      <c r="O105" s="87">
        <f>+SUM(DataEx!FZ219)</f>
        <v>8605027.815261459</v>
      </c>
      <c r="P105" s="87">
        <f>+SUM(DataEx!GA219)</f>
        <v>12215525.566863246</v>
      </c>
      <c r="Q105" s="87">
        <f>+SUM(DataEx!GB219)</f>
        <v>8318398.763873809</v>
      </c>
      <c r="R105" s="87">
        <f>+SUM(DataEx!GC219)</f>
        <v>15525209.395355014</v>
      </c>
      <c r="S105" s="112">
        <f t="shared" si="19"/>
        <v>112659367.75222149</v>
      </c>
      <c r="T105" s="455">
        <f t="shared" si="20"/>
        <v>2.4452362067202373</v>
      </c>
    </row>
    <row r="106" spans="1:21">
      <c r="A106" s="116" t="str">
        <f t="shared" si="16"/>
        <v>7112p</v>
      </c>
      <c r="B106" s="551" t="str">
        <f>+VLOOKUP(LEFT($A106,LEN(A106)-1)*1,Master!$D$28:$G$227,4,FALSE)</f>
        <v>Porez na dobit pravnih lica</v>
      </c>
      <c r="C106" s="552"/>
      <c r="D106" s="552"/>
      <c r="E106" s="552"/>
      <c r="F106" s="552"/>
      <c r="G106" s="87">
        <f>+SUM(DataEx!FR220)</f>
        <v>673739.6</v>
      </c>
      <c r="H106" s="87">
        <f>+SUM(DataEx!FS220)</f>
        <v>2402403.02</v>
      </c>
      <c r="I106" s="87">
        <f>+SUM(DataEx!FT220)</f>
        <v>21201257.989999998</v>
      </c>
      <c r="J106" s="87">
        <f>+SUM(DataEx!FU220)</f>
        <v>24401832.57</v>
      </c>
      <c r="K106" s="87">
        <f>+SUM(DataEx!FV220)</f>
        <v>4691004.47</v>
      </c>
      <c r="L106" s="87">
        <f>+SUM(DataEx!FW220)</f>
        <v>4393088.9950781623</v>
      </c>
      <c r="M106" s="87">
        <f>+SUM(DataEx!FX220)</f>
        <v>2315331.8626998202</v>
      </c>
      <c r="N106" s="87">
        <f>+SUM(DataEx!FY220)</f>
        <v>2012009.4317284632</v>
      </c>
      <c r="O106" s="87">
        <f>+SUM(DataEx!FZ220)</f>
        <v>2197471.5206857999</v>
      </c>
      <c r="P106" s="87">
        <f>+SUM(DataEx!GA220)</f>
        <v>448859.9419620441</v>
      </c>
      <c r="Q106" s="87">
        <f>+SUM(DataEx!GB220)</f>
        <v>572222.09031102341</v>
      </c>
      <c r="R106" s="87">
        <f>+SUM(DataEx!GC220)</f>
        <v>2287912.9892877061</v>
      </c>
      <c r="S106" s="112">
        <f t="shared" si="19"/>
        <v>67597134.481753007</v>
      </c>
      <c r="T106" s="455">
        <f t="shared" si="20"/>
        <v>1.4671745812461314</v>
      </c>
    </row>
    <row r="107" spans="1:21">
      <c r="A107" s="116" t="str">
        <f t="shared" si="16"/>
        <v>7113p</v>
      </c>
      <c r="B107" s="551" t="str">
        <f>+VLOOKUP(LEFT($A107,LEN(A107)-1)*1,Master!$D$28:$G$227,4,FALSE)</f>
        <v>Porez na promet nepokretnosti</v>
      </c>
      <c r="C107" s="552"/>
      <c r="D107" s="552"/>
      <c r="E107" s="552"/>
      <c r="F107" s="552"/>
      <c r="G107" s="87">
        <f>+SUM(DataEx!FR221)</f>
        <v>185009.31</v>
      </c>
      <c r="H107" s="87">
        <f>+SUM(DataEx!FS221)</f>
        <v>168097.86</v>
      </c>
      <c r="I107" s="87">
        <f>+SUM(DataEx!FT221)</f>
        <v>129165.08</v>
      </c>
      <c r="J107" s="87">
        <f>+SUM(DataEx!FU221)</f>
        <v>48149.33</v>
      </c>
      <c r="K107" s="87">
        <f>+SUM(DataEx!FV221)</f>
        <v>95187.63</v>
      </c>
      <c r="L107" s="87">
        <f>+SUM(DataEx!FW221)</f>
        <v>161561.36570369586</v>
      </c>
      <c r="M107" s="87">
        <f>+SUM(DataEx!FX221)</f>
        <v>155879.21216548377</v>
      </c>
      <c r="N107" s="87">
        <f>+SUM(DataEx!FY221)</f>
        <v>176011.76588988586</v>
      </c>
      <c r="O107" s="87">
        <f>+SUM(DataEx!FZ221)</f>
        <v>134410.42099123687</v>
      </c>
      <c r="P107" s="87">
        <f>+SUM(DataEx!GA221)</f>
        <v>177686.88135689148</v>
      </c>
      <c r="Q107" s="87">
        <f>+SUM(DataEx!GB221)</f>
        <v>176411.24461530321</v>
      </c>
      <c r="R107" s="87">
        <f>+SUM(DataEx!GC221)</f>
        <v>295411.18930750317</v>
      </c>
      <c r="S107" s="112">
        <f t="shared" si="19"/>
        <v>1902981.29003</v>
      </c>
      <c r="T107" s="455">
        <f t="shared" si="20"/>
        <v>4.1303611443361622E-2</v>
      </c>
    </row>
    <row r="108" spans="1:21">
      <c r="A108" s="116" t="str">
        <f t="shared" si="16"/>
        <v>7114p</v>
      </c>
      <c r="B108" s="551" t="str">
        <f>+VLOOKUP(LEFT($A108,LEN(A108)-1)*1,Master!$D$28:$G$227,4,FALSE)</f>
        <v>Porez na dodatu vrijednost</v>
      </c>
      <c r="C108" s="552"/>
      <c r="D108" s="552"/>
      <c r="E108" s="552"/>
      <c r="F108" s="552"/>
      <c r="G108" s="87">
        <f>+SUM(DataEx!FR222)</f>
        <v>47781207.189999998</v>
      </c>
      <c r="H108" s="87">
        <f>+SUM(DataEx!FS222)</f>
        <v>40097544.82</v>
      </c>
      <c r="I108" s="87">
        <f>+SUM(DataEx!FT222)</f>
        <v>54963852.219999999</v>
      </c>
      <c r="J108" s="87">
        <f>+SUM(DataEx!FU222)</f>
        <v>35570662.579999998</v>
      </c>
      <c r="K108" s="87">
        <f>+SUM(DataEx!FV222)</f>
        <v>38250745.619999997</v>
      </c>
      <c r="L108" s="87">
        <f>+SUM(DataEx!FW222)</f>
        <v>47380778.616715282</v>
      </c>
      <c r="M108" s="87">
        <f>+SUM(DataEx!FX222)</f>
        <v>60262693.256538242</v>
      </c>
      <c r="N108" s="87">
        <f>+SUM(DataEx!FY222)</f>
        <v>62819967.506489195</v>
      </c>
      <c r="O108" s="87">
        <f>+SUM(DataEx!FZ222)</f>
        <v>61535814.430397995</v>
      </c>
      <c r="P108" s="87">
        <f>+SUM(DataEx!GA222)</f>
        <v>60132973.705961175</v>
      </c>
      <c r="Q108" s="87">
        <f>+SUM(DataEx!GB222)</f>
        <v>51634389.126871005</v>
      </c>
      <c r="R108" s="87">
        <f>+SUM(DataEx!GC222)</f>
        <v>55352726.018547282</v>
      </c>
      <c r="S108" s="112">
        <f t="shared" si="19"/>
        <v>615783355.09152019</v>
      </c>
      <c r="T108" s="455">
        <f t="shared" si="20"/>
        <v>13.365384391976216</v>
      </c>
    </row>
    <row r="109" spans="1:21">
      <c r="A109" s="116" t="str">
        <f t="shared" si="16"/>
        <v>7115p</v>
      </c>
      <c r="B109" s="551" t="str">
        <f>+VLOOKUP(LEFT($A109,LEN(A109)-1)*1,Master!$D$28:$G$227,4,FALSE)</f>
        <v>Akcize</v>
      </c>
      <c r="C109" s="552"/>
      <c r="D109" s="552"/>
      <c r="E109" s="552"/>
      <c r="F109" s="552"/>
      <c r="G109" s="87">
        <f>+SUM(DataEx!FR223)</f>
        <v>18070145.100000001</v>
      </c>
      <c r="H109" s="87">
        <f>+SUM(DataEx!FS223)</f>
        <v>14831752.550000001</v>
      </c>
      <c r="I109" s="87">
        <f>+SUM(DataEx!FT223)</f>
        <v>16111610.99</v>
      </c>
      <c r="J109" s="87">
        <f>+SUM(DataEx!FU223)</f>
        <v>14097368.300000001</v>
      </c>
      <c r="K109" s="87">
        <f>+SUM(DataEx!FV223)</f>
        <v>14366315.76</v>
      </c>
      <c r="L109" s="87">
        <f>+SUM(DataEx!FW223)</f>
        <v>17736423.0479693</v>
      </c>
      <c r="M109" s="87">
        <f>+SUM(DataEx!FX223)</f>
        <v>21674329.506149229</v>
      </c>
      <c r="N109" s="87">
        <f>+SUM(DataEx!FY223)</f>
        <v>25493581.742318999</v>
      </c>
      <c r="O109" s="87">
        <f>+SUM(DataEx!FZ223)</f>
        <v>24034334.199540369</v>
      </c>
      <c r="P109" s="87">
        <f>+SUM(DataEx!GA223)</f>
        <v>19896747.919690695</v>
      </c>
      <c r="Q109" s="87">
        <f>+SUM(DataEx!GB223)</f>
        <v>18041848.774917983</v>
      </c>
      <c r="R109" s="87">
        <f>+SUM(DataEx!GC223)</f>
        <v>17033297.467273451</v>
      </c>
      <c r="S109" s="112">
        <f t="shared" si="19"/>
        <v>221387755.35786003</v>
      </c>
      <c r="T109" s="455">
        <f t="shared" si="20"/>
        <v>4.8051517235226715</v>
      </c>
    </row>
    <row r="110" spans="1:21">
      <c r="A110" s="116" t="str">
        <f t="shared" si="16"/>
        <v>7116p</v>
      </c>
      <c r="B110" s="551" t="str">
        <f>+VLOOKUP(LEFT($A110,LEN(A110)-1)*1,Master!$D$28:$G$227,4,FALSE)</f>
        <v>Porez na međunarodnu trgovinu i transakcije</v>
      </c>
      <c r="C110" s="552"/>
      <c r="D110" s="552"/>
      <c r="E110" s="552"/>
      <c r="F110" s="552"/>
      <c r="G110" s="87">
        <f>+SUM(DataEx!FR224)</f>
        <v>1537206.63</v>
      </c>
      <c r="H110" s="87">
        <f>+SUM(DataEx!FS224)</f>
        <v>1922810.55</v>
      </c>
      <c r="I110" s="87">
        <f>+SUM(DataEx!FT224)</f>
        <v>2363697.87</v>
      </c>
      <c r="J110" s="87">
        <f>+SUM(DataEx!FU224)</f>
        <v>1725304.75</v>
      </c>
      <c r="K110" s="87">
        <f>+SUM(DataEx!FV224)</f>
        <v>1588906.58</v>
      </c>
      <c r="L110" s="87">
        <f>+SUM(DataEx!FW224)</f>
        <v>2454615.7357150163</v>
      </c>
      <c r="M110" s="87">
        <f>+SUM(DataEx!FX224)</f>
        <v>3049614.4672733559</v>
      </c>
      <c r="N110" s="87">
        <f>+SUM(DataEx!FY224)</f>
        <v>2753955.9122244404</v>
      </c>
      <c r="O110" s="87">
        <f>+SUM(DataEx!FZ224)</f>
        <v>2521316.1020952258</v>
      </c>
      <c r="P110" s="87">
        <f>+SUM(DataEx!GA224)</f>
        <v>2461642.7901004632</v>
      </c>
      <c r="Q110" s="87">
        <f>+SUM(DataEx!GB224)</f>
        <v>1998547.6299790684</v>
      </c>
      <c r="R110" s="87">
        <f>+SUM(DataEx!GC224)</f>
        <v>2408802.737472435</v>
      </c>
      <c r="S110" s="112">
        <f t="shared" si="19"/>
        <v>26786421.754860003</v>
      </c>
      <c r="T110" s="455">
        <f t="shared" si="20"/>
        <v>0.58139087437023862</v>
      </c>
    </row>
    <row r="111" spans="1:21">
      <c r="A111" s="116" t="str">
        <f t="shared" si="16"/>
        <v>7118p</v>
      </c>
      <c r="B111" s="551" t="str">
        <f>+VLOOKUP(LEFT($A111,LEN(A111)-1)*1,Master!$D$28:$G$227,4,FALSE)</f>
        <v>Ostali državni porezi</v>
      </c>
      <c r="C111" s="552"/>
      <c r="D111" s="552"/>
      <c r="E111" s="552"/>
      <c r="F111" s="552"/>
      <c r="G111" s="87">
        <f>+SUM(DataEx!FR226)</f>
        <v>755142.26</v>
      </c>
      <c r="H111" s="87">
        <f>+SUM(DataEx!FS226)</f>
        <v>745544.56</v>
      </c>
      <c r="I111" s="87">
        <f>+SUM(DataEx!FT226)</f>
        <v>855856.43</v>
      </c>
      <c r="J111" s="87">
        <f>+SUM(DataEx!FU226)</f>
        <v>718572.64</v>
      </c>
      <c r="K111" s="87">
        <f>+SUM(DataEx!FV226)</f>
        <v>656000.56000000006</v>
      </c>
      <c r="L111" s="87">
        <f>+SUM(DataEx!FW226)</f>
        <v>765731.78472662985</v>
      </c>
      <c r="M111" s="87">
        <f>+SUM(DataEx!FX226)</f>
        <v>832360.77771988919</v>
      </c>
      <c r="N111" s="87">
        <f>+SUM(DataEx!FY226)</f>
        <v>854509.13610841858</v>
      </c>
      <c r="O111" s="87">
        <f>+SUM(DataEx!FZ226)</f>
        <v>833524.08466524491</v>
      </c>
      <c r="P111" s="87">
        <f>+SUM(DataEx!GA226)</f>
        <v>765057.49382921238</v>
      </c>
      <c r="Q111" s="87">
        <f>+SUM(DataEx!GB226)</f>
        <v>807604.8357300983</v>
      </c>
      <c r="R111" s="87">
        <f>+SUM(DataEx!GC226)</f>
        <v>730439.40412050928</v>
      </c>
      <c r="S111" s="112">
        <f t="shared" si="19"/>
        <v>9320343.9669000022</v>
      </c>
      <c r="T111" s="455">
        <f t="shared" si="20"/>
        <v>0.20229513960237019</v>
      </c>
    </row>
    <row r="112" spans="1:21">
      <c r="A112" s="116" t="str">
        <f t="shared" si="16"/>
        <v>712p</v>
      </c>
      <c r="B112" s="553" t="str">
        <f>+VLOOKUP(LEFT($A112,LEN(A112)-1)*1,Master!$D$28:$G$227,4,FALSE)</f>
        <v>Doprinosi</v>
      </c>
      <c r="C112" s="554"/>
      <c r="D112" s="554"/>
      <c r="E112" s="554"/>
      <c r="F112" s="554"/>
      <c r="G112" s="81">
        <f>+SUM(G113:G116)</f>
        <v>15749286.220000001</v>
      </c>
      <c r="H112" s="81">
        <f t="shared" ref="H112:R112" si="21">+SUM(H113:H116)</f>
        <v>42574769.890000001</v>
      </c>
      <c r="I112" s="81">
        <f t="shared" si="21"/>
        <v>44888756.57</v>
      </c>
      <c r="J112" s="81">
        <f t="shared" si="21"/>
        <v>33882602.5</v>
      </c>
      <c r="K112" s="81">
        <f t="shared" si="21"/>
        <v>40418289.450000003</v>
      </c>
      <c r="L112" s="81">
        <f t="shared" si="21"/>
        <v>39209561.537363522</v>
      </c>
      <c r="M112" s="81">
        <f t="shared" si="21"/>
        <v>39824401.286702745</v>
      </c>
      <c r="N112" s="81">
        <f t="shared" si="21"/>
        <v>37466342.331191912</v>
      </c>
      <c r="O112" s="81">
        <f t="shared" si="21"/>
        <v>35714950.117071614</v>
      </c>
      <c r="P112" s="81">
        <f t="shared" si="21"/>
        <v>56930028.965902433</v>
      </c>
      <c r="Q112" s="81">
        <f t="shared" si="21"/>
        <v>36060885.689019322</v>
      </c>
      <c r="R112" s="82">
        <f t="shared" si="21"/>
        <v>69780505.759044364</v>
      </c>
      <c r="S112" s="113">
        <f t="shared" si="19"/>
        <v>492500380.31629592</v>
      </c>
      <c r="T112" s="456">
        <f t="shared" si="20"/>
        <v>10.68956613019113</v>
      </c>
    </row>
    <row r="113" spans="1:21">
      <c r="A113" s="116" t="str">
        <f t="shared" si="16"/>
        <v>7121p</v>
      </c>
      <c r="B113" s="551" t="str">
        <f>+VLOOKUP(LEFT($A113,LEN(A113)-1)*1,Master!$D$28:$G$227,4,FALSE)</f>
        <v>Doprinosi za penzijsko i invalidsko osiguranje</v>
      </c>
      <c r="C113" s="552"/>
      <c r="D113" s="552"/>
      <c r="E113" s="552"/>
      <c r="F113" s="552"/>
      <c r="G113" s="87">
        <f>+SUM(DataEx!FR228)</f>
        <v>9790363.4800000004</v>
      </c>
      <c r="H113" s="87">
        <f>+SUM(DataEx!FS228)</f>
        <v>26782162.98</v>
      </c>
      <c r="I113" s="87">
        <f>+SUM(DataEx!FT228)</f>
        <v>28314388.120000001</v>
      </c>
      <c r="J113" s="87">
        <f>+SUM(DataEx!FU228)</f>
        <v>21078780.449999999</v>
      </c>
      <c r="K113" s="87">
        <f>+SUM(DataEx!FV228)</f>
        <v>24736473.050000001</v>
      </c>
      <c r="L113" s="87">
        <f>+SUM(DataEx!FW228)</f>
        <v>23760773.544303603</v>
      </c>
      <c r="M113" s="87">
        <f>+SUM(DataEx!FX228)</f>
        <v>23871756.047780998</v>
      </c>
      <c r="N113" s="87">
        <f>+SUM(DataEx!FY228)</f>
        <v>22680826.45380101</v>
      </c>
      <c r="O113" s="87">
        <f>+SUM(DataEx!FZ228)</f>
        <v>22031125.278228957</v>
      </c>
      <c r="P113" s="87">
        <f>+SUM(DataEx!GA228)</f>
        <v>35541512.532779805</v>
      </c>
      <c r="Q113" s="87">
        <f>+SUM(DataEx!GB228)</f>
        <v>22450966.125881754</v>
      </c>
      <c r="R113" s="87">
        <f>+SUM(DataEx!GC228)</f>
        <v>43833950.057554863</v>
      </c>
      <c r="S113" s="112">
        <f t="shared" si="19"/>
        <v>304873078.12033099</v>
      </c>
      <c r="T113" s="455">
        <f t="shared" si="20"/>
        <v>6.6171744431734636</v>
      </c>
    </row>
    <row r="114" spans="1:21">
      <c r="A114" s="116" t="str">
        <f t="shared" si="16"/>
        <v>7122p</v>
      </c>
      <c r="B114" s="551" t="str">
        <f>+VLOOKUP(LEFT($A114,LEN(A114)-1)*1,Master!$D$28:$G$227,4,FALSE)</f>
        <v>Doprinosi za zdravstveno osiguranje</v>
      </c>
      <c r="C114" s="552"/>
      <c r="D114" s="552"/>
      <c r="E114" s="552"/>
      <c r="F114" s="552"/>
      <c r="G114" s="87">
        <f>+SUM(DataEx!FR229)</f>
        <v>5160073.6100000003</v>
      </c>
      <c r="H114" s="87">
        <f>+SUM(DataEx!FS229)</f>
        <v>13521231.24</v>
      </c>
      <c r="I114" s="87">
        <f>+SUM(DataEx!FT229)</f>
        <v>14020072.800000001</v>
      </c>
      <c r="J114" s="87">
        <f>+SUM(DataEx!FU229)</f>
        <v>10884138.67</v>
      </c>
      <c r="K114" s="87">
        <f>+SUM(DataEx!FV229)</f>
        <v>13478103.310000001</v>
      </c>
      <c r="L114" s="87">
        <f>+SUM(DataEx!FW229)</f>
        <v>13288147.029656813</v>
      </c>
      <c r="M114" s="87">
        <f>+SUM(DataEx!FX229)</f>
        <v>13813968.415664224</v>
      </c>
      <c r="N114" s="87">
        <f>+SUM(DataEx!FY229)</f>
        <v>12735872.686387273</v>
      </c>
      <c r="O114" s="87">
        <f>+SUM(DataEx!FZ229)</f>
        <v>11644606.27986688</v>
      </c>
      <c r="P114" s="87">
        <f>+SUM(DataEx!GA229)</f>
        <v>18421242.178837776</v>
      </c>
      <c r="Q114" s="87">
        <f>+SUM(DataEx!GB229)</f>
        <v>11548434.74327364</v>
      </c>
      <c r="R114" s="87">
        <f>+SUM(DataEx!GC229)</f>
        <v>21908596.728818417</v>
      </c>
      <c r="S114" s="112">
        <f t="shared" si="19"/>
        <v>160424487.69250503</v>
      </c>
      <c r="T114" s="455">
        <f t="shared" si="20"/>
        <v>3.4819631387690197</v>
      </c>
    </row>
    <row r="115" spans="1:21">
      <c r="A115" s="116" t="str">
        <f t="shared" si="16"/>
        <v>7123p</v>
      </c>
      <c r="B115" s="551" t="str">
        <f>+VLOOKUP(LEFT($A115,LEN(A115)-1)*1,Master!$D$28:$G$227,4,FALSE)</f>
        <v>Doprinosi za osiguranje od nezaposlenosti</v>
      </c>
      <c r="C115" s="552"/>
      <c r="D115" s="552"/>
      <c r="E115" s="552"/>
      <c r="F115" s="552"/>
      <c r="G115" s="87">
        <f>+SUM(DataEx!FR230)</f>
        <v>455742.13</v>
      </c>
      <c r="H115" s="87">
        <f>+SUM(DataEx!FS230)</f>
        <v>1236727.53</v>
      </c>
      <c r="I115" s="87">
        <f>+SUM(DataEx!FT230)</f>
        <v>1425690.07</v>
      </c>
      <c r="J115" s="87">
        <f>+SUM(DataEx!FU230)</f>
        <v>1042509.86</v>
      </c>
      <c r="K115" s="87">
        <f>+SUM(DataEx!FV230)</f>
        <v>1190738.6299999999</v>
      </c>
      <c r="L115" s="87">
        <f>+SUM(DataEx!FW230)</f>
        <v>1153093.0495231841</v>
      </c>
      <c r="M115" s="87">
        <f>+SUM(DataEx!FX230)</f>
        <v>1134262.4482684694</v>
      </c>
      <c r="N115" s="87">
        <f>+SUM(DataEx!FY230)</f>
        <v>1082167.7137135214</v>
      </c>
      <c r="O115" s="87">
        <f>+SUM(DataEx!FZ230)</f>
        <v>1070252.608124112</v>
      </c>
      <c r="P115" s="87">
        <f>+SUM(DataEx!GA230)</f>
        <v>1551370.5209708875</v>
      </c>
      <c r="Q115" s="87">
        <f>+SUM(DataEx!GB230)</f>
        <v>1061855.749121662</v>
      </c>
      <c r="R115" s="87">
        <f>+SUM(DataEx!GC230)</f>
        <v>2050776.7425857519</v>
      </c>
      <c r="S115" s="112">
        <f t="shared" si="19"/>
        <v>14455187.052307591</v>
      </c>
      <c r="T115" s="455">
        <f t="shared" si="20"/>
        <v>0.31374529664462025</v>
      </c>
    </row>
    <row r="116" spans="1:21">
      <c r="A116" s="116" t="str">
        <f t="shared" si="16"/>
        <v>7124p</v>
      </c>
      <c r="B116" s="551" t="str">
        <f>+VLOOKUP(LEFT($A116,LEN(A116)-1)*1,Master!$D$28:$G$227,4,FALSE)</f>
        <v>Ostali doprinosi</v>
      </c>
      <c r="C116" s="552"/>
      <c r="D116" s="552"/>
      <c r="E116" s="552"/>
      <c r="F116" s="552"/>
      <c r="G116" s="87">
        <f>+SUM(DataEx!FR231)</f>
        <v>343107</v>
      </c>
      <c r="H116" s="87">
        <f>+SUM(DataEx!FS231)</f>
        <v>1034648.14</v>
      </c>
      <c r="I116" s="87">
        <f>+SUM(DataEx!FT231)</f>
        <v>1128605.58</v>
      </c>
      <c r="J116" s="87">
        <f>+SUM(DataEx!FU231)</f>
        <v>877173.52</v>
      </c>
      <c r="K116" s="87">
        <f>+SUM(DataEx!FV231)</f>
        <v>1012974.46</v>
      </c>
      <c r="L116" s="87">
        <f>+SUM(DataEx!FW231)</f>
        <v>1007547.9138799232</v>
      </c>
      <c r="M116" s="87">
        <f>+SUM(DataEx!FX231)</f>
        <v>1004414.3749890528</v>
      </c>
      <c r="N116" s="87">
        <f>+SUM(DataEx!FY231)</f>
        <v>967475.47729010729</v>
      </c>
      <c r="O116" s="87">
        <f>+SUM(DataEx!FZ231)</f>
        <v>968965.95085166604</v>
      </c>
      <c r="P116" s="87">
        <f>+SUM(DataEx!GA231)</f>
        <v>1415903.733313961</v>
      </c>
      <c r="Q116" s="87">
        <f>+SUM(DataEx!GB231)</f>
        <v>999629.07074226905</v>
      </c>
      <c r="R116" s="87">
        <f>+SUM(DataEx!GC231)</f>
        <v>1987182.2300853299</v>
      </c>
      <c r="S116" s="112">
        <f t="shared" si="19"/>
        <v>12747627.451152308</v>
      </c>
      <c r="T116" s="455">
        <f t="shared" si="20"/>
        <v>0.2766832516040264</v>
      </c>
    </row>
    <row r="117" spans="1:21">
      <c r="A117" s="116" t="str">
        <f t="shared" si="16"/>
        <v>713p</v>
      </c>
      <c r="B117" s="562" t="str">
        <f>+VLOOKUP(LEFT($A117,LEN(A117)-1)*1,Master!$D$28:$G$227,4,FALSE)</f>
        <v>Takse</v>
      </c>
      <c r="C117" s="563"/>
      <c r="D117" s="563"/>
      <c r="E117" s="563"/>
      <c r="F117" s="563"/>
      <c r="G117" s="83">
        <f>+SUM(DataEx!FR232)</f>
        <v>669819.01</v>
      </c>
      <c r="H117" s="83">
        <f>+SUM(DataEx!FS232)</f>
        <v>845756.92</v>
      </c>
      <c r="I117" s="83">
        <f>+SUM(DataEx!FT232)</f>
        <v>720374.53</v>
      </c>
      <c r="J117" s="83">
        <f>+SUM(DataEx!FU232)</f>
        <v>316937.24</v>
      </c>
      <c r="K117" s="83">
        <f>+SUM(DataEx!FV232)</f>
        <v>469045.42</v>
      </c>
      <c r="L117" s="83">
        <f>+SUM(DataEx!FW232)</f>
        <v>1161870.8532355535</v>
      </c>
      <c r="M117" s="83">
        <f>+SUM(DataEx!FX232)</f>
        <v>1673430.2546007757</v>
      </c>
      <c r="N117" s="83">
        <f>+SUM(DataEx!FY232)</f>
        <v>1388372.9389781314</v>
      </c>
      <c r="O117" s="83">
        <f>+SUM(DataEx!FZ232)</f>
        <v>1416214.8034873675</v>
      </c>
      <c r="P117" s="83">
        <f>+SUM(DataEx!GA232)</f>
        <v>1276386.1061063381</v>
      </c>
      <c r="Q117" s="83">
        <f>+SUM(DataEx!GB232)</f>
        <v>963348.80250703567</v>
      </c>
      <c r="R117" s="83">
        <f>+SUM(DataEx!GC232)</f>
        <v>1285597.5253147981</v>
      </c>
      <c r="S117" s="113">
        <f t="shared" si="19"/>
        <v>12187154.40423</v>
      </c>
      <c r="T117" s="456">
        <f t="shared" si="20"/>
        <v>0.26451836008573354</v>
      </c>
    </row>
    <row r="118" spans="1:21">
      <c r="A118" s="116" t="str">
        <f t="shared" si="16"/>
        <v>714p</v>
      </c>
      <c r="B118" s="562" t="str">
        <f>+VLOOKUP(LEFT($A118,LEN(A118)-1)*1,Master!$D$28:$G$227,4,FALSE)</f>
        <v>Naknade</v>
      </c>
      <c r="C118" s="563"/>
      <c r="D118" s="563"/>
      <c r="E118" s="563"/>
      <c r="F118" s="563"/>
      <c r="G118" s="83">
        <f>+SUM(DataEx!FR237)</f>
        <v>2226726.9299999997</v>
      </c>
      <c r="H118" s="83">
        <f>+SUM(DataEx!FS237)</f>
        <v>2200614.79</v>
      </c>
      <c r="I118" s="83">
        <f>+SUM(DataEx!FT237)</f>
        <v>1317967.9100000001</v>
      </c>
      <c r="J118" s="83">
        <f>+SUM(DataEx!FU237)</f>
        <v>1597851.3599999999</v>
      </c>
      <c r="K118" s="83">
        <f>+SUM(DataEx!FV237)</f>
        <v>1673853.74</v>
      </c>
      <c r="L118" s="83">
        <f>+SUM(DataEx!FW237)</f>
        <v>2179490.8743573632</v>
      </c>
      <c r="M118" s="83">
        <f>+SUM(DataEx!FX237)</f>
        <v>2571108.8359225746</v>
      </c>
      <c r="N118" s="83">
        <f>+SUM(DataEx!FY237)</f>
        <v>1825380.5890086682</v>
      </c>
      <c r="O118" s="83">
        <f>+SUM(DataEx!FZ237)</f>
        <v>2163813.0387331629</v>
      </c>
      <c r="P118" s="83">
        <f>+SUM(DataEx!GA237)</f>
        <v>1995229.2228867295</v>
      </c>
      <c r="Q118" s="83">
        <f>+SUM(DataEx!GB237)</f>
        <v>1517691.0449207788</v>
      </c>
      <c r="R118" s="83">
        <f>+SUM(DataEx!GC237)</f>
        <v>3555523.5622207262</v>
      </c>
      <c r="S118" s="113">
        <f t="shared" si="19"/>
        <v>24825251.898050006</v>
      </c>
      <c r="T118" s="456">
        <f t="shared" si="20"/>
        <v>0.53882429835369972</v>
      </c>
    </row>
    <row r="119" spans="1:21">
      <c r="A119" s="116" t="str">
        <f t="shared" si="16"/>
        <v>715p</v>
      </c>
      <c r="B119" s="562" t="str">
        <f>+VLOOKUP(LEFT($A119,LEN(A119)-1)*1,Master!$D$28:$G$227,4,FALSE)</f>
        <v>Ostali prihodi</v>
      </c>
      <c r="C119" s="563"/>
      <c r="D119" s="563"/>
      <c r="E119" s="563"/>
      <c r="F119" s="563"/>
      <c r="G119" s="83">
        <f>+SUM(DataEx!FR244)</f>
        <v>1484714.27</v>
      </c>
      <c r="H119" s="83">
        <f>+SUM(DataEx!FS244)</f>
        <v>2100277.88</v>
      </c>
      <c r="I119" s="83">
        <f>+SUM(DataEx!FT244)</f>
        <v>4248499.3600000003</v>
      </c>
      <c r="J119" s="83">
        <f>+SUM(DataEx!FU244)</f>
        <v>1617752.3800000001</v>
      </c>
      <c r="K119" s="83">
        <f>+SUM(DataEx!FV244)</f>
        <v>1237245.3599999999</v>
      </c>
      <c r="L119" s="83">
        <f>+SUM(DataEx!FW244)</f>
        <v>2257816.068284105</v>
      </c>
      <c r="M119" s="83">
        <f>+SUM(DataEx!FX244)</f>
        <v>5692253.8149066633</v>
      </c>
      <c r="N119" s="83">
        <f>+SUM(DataEx!FY244)</f>
        <v>4621203.3620386366</v>
      </c>
      <c r="O119" s="83">
        <f>+SUM(DataEx!FZ244)</f>
        <v>17537126.915220708</v>
      </c>
      <c r="P119" s="83">
        <f>+SUM(DataEx!GA244)</f>
        <v>3831817.5735939299</v>
      </c>
      <c r="Q119" s="83">
        <f>+SUM(DataEx!GB244)</f>
        <v>3619302.6260553906</v>
      </c>
      <c r="R119" s="83">
        <f>+SUM(DataEx!GC244)</f>
        <v>4678583.5639540665</v>
      </c>
      <c r="S119" s="113">
        <f t="shared" si="19"/>
        <v>52926593.174053505</v>
      </c>
      <c r="T119" s="456">
        <f t="shared" si="20"/>
        <v>1.148755088100482</v>
      </c>
    </row>
    <row r="120" spans="1:21">
      <c r="A120" s="116" t="str">
        <f t="shared" si="16"/>
        <v>73p</v>
      </c>
      <c r="B120" s="562" t="str">
        <f>+VLOOKUP(LEFT($A120,LEN(A120)-1)*1,Master!$D$28:$G$227,4,FALSE)</f>
        <v>Primici od otplate kredita i sredstva prenesena iz prethodne godine</v>
      </c>
      <c r="C120" s="563"/>
      <c r="D120" s="563"/>
      <c r="E120" s="563"/>
      <c r="F120" s="563"/>
      <c r="G120" s="83">
        <f>+SUM(DataEx!FR252)</f>
        <v>80819.179999999993</v>
      </c>
      <c r="H120" s="83">
        <f>+SUM(DataEx!FS252)</f>
        <v>813727.89</v>
      </c>
      <c r="I120" s="83">
        <f>+SUM(DataEx!FT252)</f>
        <v>794561.22</v>
      </c>
      <c r="J120" s="83">
        <f>+SUM(DataEx!FU252)</f>
        <v>561040.23</v>
      </c>
      <c r="K120" s="83">
        <f>+SUM(DataEx!FV252)</f>
        <v>218800.94</v>
      </c>
      <c r="L120" s="83">
        <f>+SUM(DataEx!FW252)</f>
        <v>172752.84814830567</v>
      </c>
      <c r="M120" s="83">
        <f>+SUM(DataEx!FX252)</f>
        <v>621585.63801238476</v>
      </c>
      <c r="N120" s="83">
        <f>+SUM(DataEx!FY252)</f>
        <v>1170088.8491047423</v>
      </c>
      <c r="O120" s="83">
        <f>+SUM(DataEx!FZ252)</f>
        <v>665799.08079606481</v>
      </c>
      <c r="P120" s="83">
        <f>+SUM(DataEx!GA252)</f>
        <v>9201611.3215604126</v>
      </c>
      <c r="Q120" s="83">
        <f>+SUM(DataEx!GB252)</f>
        <v>1305018.6190754015</v>
      </c>
      <c r="R120" s="83">
        <f>+SUM(DataEx!GC252)</f>
        <v>1507066.6233026888</v>
      </c>
      <c r="S120" s="113">
        <f t="shared" si="19"/>
        <v>17112872.440000001</v>
      </c>
      <c r="T120" s="456">
        <f t="shared" si="20"/>
        <v>0.37142952358214143</v>
      </c>
    </row>
    <row r="121" spans="1:21" ht="13.5" thickBot="1">
      <c r="A121" s="116" t="str">
        <f t="shared" si="16"/>
        <v>74p</v>
      </c>
      <c r="B121" s="564" t="str">
        <f>+VLOOKUP(LEFT($A121,LEN(A121)-1)*1,Master!$D$28:$G$227,4,FALSE)</f>
        <v>Donacije i transferi</v>
      </c>
      <c r="C121" s="565"/>
      <c r="D121" s="565"/>
      <c r="E121" s="565"/>
      <c r="F121" s="565"/>
      <c r="G121" s="83">
        <f>+SUM(DataEx!FR255)</f>
        <v>754264.83</v>
      </c>
      <c r="H121" s="83">
        <f>+SUM(DataEx!FS255)</f>
        <v>1636489.54</v>
      </c>
      <c r="I121" s="83">
        <f>+SUM(DataEx!FT255)</f>
        <v>3512551.56</v>
      </c>
      <c r="J121" s="83">
        <f>+SUM(DataEx!FU255)</f>
        <v>2957605.59</v>
      </c>
      <c r="K121" s="83">
        <f>+SUM(DataEx!FV255)</f>
        <v>1856477.6183333334</v>
      </c>
      <c r="L121" s="83">
        <f>+SUM(DataEx!FW255)</f>
        <v>2156477.6183333299</v>
      </c>
      <c r="M121" s="83">
        <f>+SUM(DataEx!FX255)</f>
        <v>1856477.6183333334</v>
      </c>
      <c r="N121" s="83">
        <f>+SUM(DataEx!FY255)</f>
        <v>1856477.6183333334</v>
      </c>
      <c r="O121" s="83">
        <f>+SUM(DataEx!FZ255)</f>
        <v>25000000</v>
      </c>
      <c r="P121" s="83">
        <f>+SUM(DataEx!GA255)</f>
        <v>1856477.6183333334</v>
      </c>
      <c r="Q121" s="83">
        <f>+SUM(DataEx!GB255)</f>
        <v>1856477.6183333334</v>
      </c>
      <c r="R121" s="83">
        <f>+SUM(DataEx!GC255)</f>
        <v>4700000</v>
      </c>
      <c r="S121" s="114">
        <f t="shared" si="19"/>
        <v>49999777.229999997</v>
      </c>
      <c r="T121" s="457">
        <f t="shared" si="20"/>
        <v>1.0852294669329108</v>
      </c>
    </row>
    <row r="122" spans="1:21" ht="13.5" thickBot="1">
      <c r="A122" s="116" t="str">
        <f t="shared" si="16"/>
        <v>4p</v>
      </c>
      <c r="B122" s="566" t="str">
        <f>+VLOOKUP(LEFT($A122,LEN(A122)-1)*1,Master!$D$28:$G$227,4,FALSE)</f>
        <v>Izdaci</v>
      </c>
      <c r="C122" s="567"/>
      <c r="D122" s="567"/>
      <c r="E122" s="567"/>
      <c r="F122" s="567"/>
      <c r="G122" s="93">
        <f t="shared" ref="G122:R122" si="22">+G123+G133+G139+SUM(G140:G144)</f>
        <v>128402307.01999998</v>
      </c>
      <c r="H122" s="93">
        <f t="shared" si="22"/>
        <v>145162701.23000002</v>
      </c>
      <c r="I122" s="93">
        <f t="shared" si="22"/>
        <v>178126074.16999999</v>
      </c>
      <c r="J122" s="93">
        <f t="shared" si="22"/>
        <v>171031315.41999999</v>
      </c>
      <c r="K122" s="93">
        <f t="shared" si="22"/>
        <v>159587309.72000003</v>
      </c>
      <c r="L122" s="93">
        <f t="shared" si="22"/>
        <v>189250396.0585714</v>
      </c>
      <c r="M122" s="93">
        <f t="shared" si="22"/>
        <v>174868238.90023816</v>
      </c>
      <c r="N122" s="93">
        <f t="shared" si="22"/>
        <v>165074952.86571434</v>
      </c>
      <c r="O122" s="93">
        <f t="shared" si="22"/>
        <v>169476198.62023818</v>
      </c>
      <c r="P122" s="93">
        <f t="shared" si="22"/>
        <v>231952338.51690477</v>
      </c>
      <c r="Q122" s="93">
        <f t="shared" si="22"/>
        <v>162937965.02690482</v>
      </c>
      <c r="R122" s="93">
        <f t="shared" si="22"/>
        <v>165009409.24733075</v>
      </c>
      <c r="S122" s="469">
        <f>+SUM(G122:R122)</f>
        <v>2040879206.795902</v>
      </c>
      <c r="T122" s="470">
        <f t="shared" si="20"/>
        <v>44.296642432572263</v>
      </c>
    </row>
    <row r="123" spans="1:21">
      <c r="A123" s="116" t="str">
        <f t="shared" si="16"/>
        <v>41p</v>
      </c>
      <c r="B123" s="568" t="str">
        <f>+VLOOKUP(LEFT($A123,LEN(A123)-1)*1,Master!$D$28:$G$227,4,FALSE)</f>
        <v>Tekući izdaci</v>
      </c>
      <c r="C123" s="569"/>
      <c r="D123" s="569"/>
      <c r="E123" s="569"/>
      <c r="F123" s="569"/>
      <c r="G123" s="85">
        <f t="shared" ref="G123:R123" si="23">+SUM(G124:G132)</f>
        <v>53697944.280000001</v>
      </c>
      <c r="H123" s="85">
        <f t="shared" si="23"/>
        <v>62612241.680000007</v>
      </c>
      <c r="I123" s="85">
        <f t="shared" si="23"/>
        <v>85267124.179999992</v>
      </c>
      <c r="J123" s="85">
        <f t="shared" si="23"/>
        <v>84481793.829999998</v>
      </c>
      <c r="K123" s="85">
        <f t="shared" si="23"/>
        <v>65236484.080000006</v>
      </c>
      <c r="L123" s="85">
        <f t="shared" si="23"/>
        <v>70375979.435714275</v>
      </c>
      <c r="M123" s="85">
        <f t="shared" si="23"/>
        <v>71160488.944047615</v>
      </c>
      <c r="N123" s="85">
        <f t="shared" si="23"/>
        <v>61367202.9095238</v>
      </c>
      <c r="O123" s="85">
        <f t="shared" si="23"/>
        <v>65768448.664047614</v>
      </c>
      <c r="P123" s="85">
        <f t="shared" si="23"/>
        <v>80948940.234047621</v>
      </c>
      <c r="Q123" s="85">
        <f t="shared" si="23"/>
        <v>67548653.694047615</v>
      </c>
      <c r="R123" s="86">
        <f t="shared" si="23"/>
        <v>71630097.914473489</v>
      </c>
      <c r="S123" s="111">
        <f t="shared" si="19"/>
        <v>840095399.84590197</v>
      </c>
      <c r="T123" s="454">
        <f t="shared" si="20"/>
        <v>18.234006898745513</v>
      </c>
    </row>
    <row r="124" spans="1:21">
      <c r="A124" s="116" t="str">
        <f t="shared" si="16"/>
        <v>411p</v>
      </c>
      <c r="B124" s="551" t="str">
        <f>+VLOOKUP(LEFT($A124,LEN(A124)-1)*1,Master!$D$28:$G$227,4,FALSE)</f>
        <v>Bruto zarade i doprinosi na teret poslodavca</v>
      </c>
      <c r="C124" s="552"/>
      <c r="D124" s="552"/>
      <c r="E124" s="552"/>
      <c r="F124" s="552"/>
      <c r="G124" s="87">
        <f>+SUM(DataEx!FR264)</f>
        <v>40884882.280000001</v>
      </c>
      <c r="H124" s="87">
        <f>+SUM(DataEx!FS264)</f>
        <v>41362850.270000003</v>
      </c>
      <c r="I124" s="87">
        <f>+SUM(DataEx!FT264)</f>
        <v>41444412.079999998</v>
      </c>
      <c r="J124" s="87">
        <f>+SUM(DataEx!FU264)</f>
        <v>41745440.189999998</v>
      </c>
      <c r="K124" s="87">
        <f>+SUM(DataEx!FV264)</f>
        <v>40757623.899999999</v>
      </c>
      <c r="L124" s="87">
        <f>+SUM(DataEx!FW264)</f>
        <v>41753797.367142849</v>
      </c>
      <c r="M124" s="87">
        <f>+SUM(DataEx!FX264)</f>
        <v>41753797.367142849</v>
      </c>
      <c r="N124" s="87">
        <f>+SUM(DataEx!FY264)</f>
        <v>41753797.367142849</v>
      </c>
      <c r="O124" s="87">
        <f>+SUM(DataEx!FZ264)</f>
        <v>41753797.367142849</v>
      </c>
      <c r="P124" s="87">
        <f>+SUM(DataEx!GA264)</f>
        <v>41753797.367142849</v>
      </c>
      <c r="Q124" s="87">
        <f>+SUM(DataEx!GB264)</f>
        <v>41753797.367142849</v>
      </c>
      <c r="R124" s="87">
        <f>+SUM(DataEx!GC264)</f>
        <v>41753797.367142849</v>
      </c>
      <c r="S124" s="112">
        <f>+SUM(G124:R124)</f>
        <v>498471790.28999996</v>
      </c>
      <c r="T124" s="455">
        <f t="shared" si="20"/>
        <v>10.81917370889675</v>
      </c>
      <c r="U124" s="325"/>
    </row>
    <row r="125" spans="1:21">
      <c r="A125" s="116" t="str">
        <f t="shared" si="16"/>
        <v>412p</v>
      </c>
      <c r="B125" s="551" t="str">
        <f>+VLOOKUP(LEFT($A125,LEN(A125)-1)*1,Master!$D$28:$G$227,4,FALSE)</f>
        <v>Ostala lična primanja</v>
      </c>
      <c r="C125" s="552"/>
      <c r="D125" s="552"/>
      <c r="E125" s="552"/>
      <c r="F125" s="552"/>
      <c r="G125" s="87">
        <f>+SUM(DataEx!FR270)</f>
        <v>476603.42</v>
      </c>
      <c r="H125" s="87">
        <f>+SUM(DataEx!FS270)</f>
        <v>1082169.6499999999</v>
      </c>
      <c r="I125" s="87">
        <f>+SUM(DataEx!FT270)</f>
        <v>1109472.33</v>
      </c>
      <c r="J125" s="87">
        <f>+SUM(DataEx!FU270)</f>
        <v>652598.81999999995</v>
      </c>
      <c r="K125" s="87">
        <f>+SUM(DataEx!FV270)</f>
        <v>376000.24</v>
      </c>
      <c r="L125" s="87">
        <f>+SUM(DataEx!FW270)</f>
        <v>1605574.7457142856</v>
      </c>
      <c r="M125" s="87">
        <f>+SUM(DataEx!FX270)</f>
        <v>1605574.7457142856</v>
      </c>
      <c r="N125" s="87">
        <f>+SUM(DataEx!FY270)</f>
        <v>1605574.7457142856</v>
      </c>
      <c r="O125" s="87">
        <f>+SUM(DataEx!FZ270)</f>
        <v>1605574.7457142856</v>
      </c>
      <c r="P125" s="87">
        <f>+SUM(DataEx!GA270)</f>
        <v>1605574.7457142856</v>
      </c>
      <c r="Q125" s="87">
        <f>+SUM(DataEx!GB270)</f>
        <v>1605574.7457142856</v>
      </c>
      <c r="R125" s="87">
        <f>+SUM(DataEx!GC270)</f>
        <v>1605590.0757142901</v>
      </c>
      <c r="S125" s="112">
        <f t="shared" si="19"/>
        <v>14935883.010000005</v>
      </c>
      <c r="T125" s="455">
        <f t="shared" si="20"/>
        <v>0.32417865148785635</v>
      </c>
    </row>
    <row r="126" spans="1:21">
      <c r="A126" s="116" t="str">
        <f t="shared" si="16"/>
        <v>413p</v>
      </c>
      <c r="B126" s="551" t="str">
        <f>+VLOOKUP(LEFT($A126,LEN(A126)-1)*1,Master!$D$28:$G$227,4,FALSE)</f>
        <v>Rashodi za materijal</v>
      </c>
      <c r="C126" s="552"/>
      <c r="D126" s="552"/>
      <c r="E126" s="552"/>
      <c r="F126" s="552"/>
      <c r="G126" s="87">
        <f>+SUM(DataEx!FR278)</f>
        <v>845574.4</v>
      </c>
      <c r="H126" s="87">
        <f>+SUM(DataEx!FS278)</f>
        <v>4271561.3099999996</v>
      </c>
      <c r="I126" s="87">
        <f>+SUM(DataEx!FT278)</f>
        <v>2456800.5</v>
      </c>
      <c r="J126" s="87">
        <f>+SUM(DataEx!FU278)</f>
        <v>3001224.56</v>
      </c>
      <c r="K126" s="87">
        <f>+SUM(DataEx!FV278)</f>
        <v>1835726.56</v>
      </c>
      <c r="L126" s="87">
        <f>+SUM(DataEx!FW278)</f>
        <v>3331584.2171428567</v>
      </c>
      <c r="M126" s="87">
        <f>+SUM(DataEx!FX278)</f>
        <v>3331584.2171428567</v>
      </c>
      <c r="N126" s="87">
        <f>+SUM(DataEx!FY278)</f>
        <v>2665267.3737142859</v>
      </c>
      <c r="O126" s="87">
        <f>+SUM(DataEx!FZ278)</f>
        <v>3331584.2171428567</v>
      </c>
      <c r="P126" s="87">
        <f>+SUM(DataEx!GA278)</f>
        <v>3331584.2171428567</v>
      </c>
      <c r="Q126" s="87">
        <f>+SUM(DataEx!GB278)</f>
        <v>3331584.2171428567</v>
      </c>
      <c r="R126" s="87">
        <f>+SUM(DataEx!GC278)</f>
        <v>3997910.8964734701</v>
      </c>
      <c r="S126" s="112">
        <f t="shared" si="19"/>
        <v>35731986.685902044</v>
      </c>
      <c r="T126" s="455">
        <f t="shared" si="20"/>
        <v>0.77555155266429454</v>
      </c>
    </row>
    <row r="127" spans="1:21">
      <c r="A127" s="116" t="str">
        <f t="shared" si="16"/>
        <v>414p</v>
      </c>
      <c r="B127" s="551" t="str">
        <f>+VLOOKUP(LEFT($A127,LEN(A127)-1)*1,Master!$D$28:$G$227,4,FALSE)</f>
        <v>Rashodi za usluge</v>
      </c>
      <c r="C127" s="552"/>
      <c r="D127" s="552"/>
      <c r="E127" s="552"/>
      <c r="F127" s="552"/>
      <c r="G127" s="87">
        <f>+SUM(DataEx!FR285)</f>
        <v>1526609.67</v>
      </c>
      <c r="H127" s="87">
        <f>+SUM(DataEx!FS285)</f>
        <v>5800030.7699999996</v>
      </c>
      <c r="I127" s="87">
        <f>+SUM(DataEx!FT285)</f>
        <v>6227024.2599999998</v>
      </c>
      <c r="J127" s="87">
        <f>+SUM(DataEx!FU285)</f>
        <v>3735755.56</v>
      </c>
      <c r="K127" s="87">
        <f>+SUM(DataEx!FV285)</f>
        <v>13077926.789999999</v>
      </c>
      <c r="L127" s="87">
        <f>+SUM(DataEx!FW285)</f>
        <v>4490161.0014285715</v>
      </c>
      <c r="M127" s="87">
        <f>+SUM(DataEx!FX285)</f>
        <v>4490161.0014285715</v>
      </c>
      <c r="N127" s="87">
        <f>+SUM(DataEx!FY285)</f>
        <v>3592128.8011428574</v>
      </c>
      <c r="O127" s="87">
        <f>+SUM(DataEx!FZ285)</f>
        <v>4490161.0014285715</v>
      </c>
      <c r="P127" s="87">
        <f>+SUM(DataEx!GA285)</f>
        <v>4490161.0014285715</v>
      </c>
      <c r="Q127" s="87">
        <f>+SUM(DataEx!GB285)</f>
        <v>4490161.0014285715</v>
      </c>
      <c r="R127" s="87">
        <f>+SUM(DataEx!GC285)</f>
        <v>5388158.5617142906</v>
      </c>
      <c r="S127" s="112">
        <f t="shared" si="19"/>
        <v>61798439.420000017</v>
      </c>
      <c r="T127" s="455">
        <f t="shared" si="20"/>
        <v>1.3413157254791312</v>
      </c>
    </row>
    <row r="128" spans="1:21">
      <c r="A128" s="116" t="str">
        <f t="shared" si="16"/>
        <v>415p</v>
      </c>
      <c r="B128" s="551" t="str">
        <f>+VLOOKUP(LEFT($A128,LEN(A128)-1)*1,Master!$D$28:$G$227,4,FALSE)</f>
        <v>Rashodi za tekuće održavanje</v>
      </c>
      <c r="C128" s="552"/>
      <c r="D128" s="552"/>
      <c r="E128" s="552"/>
      <c r="F128" s="552"/>
      <c r="G128" s="87">
        <f>+SUM(DataEx!FR295)</f>
        <v>108691.98</v>
      </c>
      <c r="H128" s="87">
        <f>+SUM(DataEx!FS295)</f>
        <v>2265483.7400000002</v>
      </c>
      <c r="I128" s="87">
        <f>+SUM(DataEx!FT295)</f>
        <v>1016574.39</v>
      </c>
      <c r="J128" s="87">
        <f>+SUM(DataEx!FU295)</f>
        <v>2804355.68</v>
      </c>
      <c r="K128" s="87">
        <f>+SUM(DataEx!FV295)</f>
        <v>1877727.17</v>
      </c>
      <c r="L128" s="87">
        <f>+SUM(DataEx!FW295)</f>
        <v>2564587.1557142856</v>
      </c>
      <c r="M128" s="87">
        <f>+SUM(DataEx!FX295)</f>
        <v>2564587.1557142856</v>
      </c>
      <c r="N128" s="87">
        <f>+SUM(DataEx!FY295)</f>
        <v>2051669.7245714283</v>
      </c>
      <c r="O128" s="87">
        <f>+SUM(DataEx!FZ295)</f>
        <v>2564587.1557142856</v>
      </c>
      <c r="P128" s="87">
        <f>+SUM(DataEx!GA295)</f>
        <v>2564587.1557142856</v>
      </c>
      <c r="Q128" s="87">
        <f>+SUM(DataEx!GB295)</f>
        <v>2564587.1557142856</v>
      </c>
      <c r="R128" s="87">
        <f>+SUM(DataEx!GC295)</f>
        <v>3077495.2968571493</v>
      </c>
      <c r="S128" s="112">
        <f t="shared" si="19"/>
        <v>26024933.760000002</v>
      </c>
      <c r="T128" s="455">
        <f t="shared" si="20"/>
        <v>0.56486301651726611</v>
      </c>
    </row>
    <row r="129" spans="1:20">
      <c r="A129" s="116" t="str">
        <f t="shared" si="16"/>
        <v>416p</v>
      </c>
      <c r="B129" s="551" t="str">
        <f>+VLOOKUP(LEFT($A129,LEN(A129)-1)*1,Master!$D$28:$G$227,4,FALSE)</f>
        <v>Kamate</v>
      </c>
      <c r="C129" s="552"/>
      <c r="D129" s="552"/>
      <c r="E129" s="552"/>
      <c r="F129" s="552"/>
      <c r="G129" s="87">
        <f>+SUM(DataEx!FR299)</f>
        <v>7654845.3899999997</v>
      </c>
      <c r="H129" s="87">
        <f>+SUM(DataEx!FS299)</f>
        <v>1839801.88</v>
      </c>
      <c r="I129" s="87">
        <f>+SUM(DataEx!FT299)</f>
        <v>27475960.399999999</v>
      </c>
      <c r="J129" s="87">
        <f>+SUM(DataEx!FU299)</f>
        <v>22559197.739999998</v>
      </c>
      <c r="K129" s="87">
        <f>+SUM(DataEx!FV299)</f>
        <v>1656916.58</v>
      </c>
      <c r="L129" s="87">
        <f>+SUM(DataEx!FW299)</f>
        <v>5198232.47</v>
      </c>
      <c r="M129" s="87">
        <f>+SUM(DataEx!FX299)</f>
        <v>7583026.2800000003</v>
      </c>
      <c r="N129" s="87">
        <f>+SUM(DataEx!FY299)</f>
        <v>786949.86</v>
      </c>
      <c r="O129" s="87">
        <f>+SUM(DataEx!FZ299)</f>
        <v>2190986</v>
      </c>
      <c r="P129" s="87">
        <f>+SUM(DataEx!GA299)</f>
        <v>17371477.57</v>
      </c>
      <c r="Q129" s="87">
        <f>+SUM(DataEx!GB299)</f>
        <v>3971191.03</v>
      </c>
      <c r="R129" s="87">
        <f>+SUM(DataEx!GC299)</f>
        <v>5055431.2400000077</v>
      </c>
      <c r="S129" s="112">
        <f t="shared" si="19"/>
        <v>103344016.44</v>
      </c>
      <c r="T129" s="455">
        <f t="shared" si="20"/>
        <v>2.2430494311201787</v>
      </c>
    </row>
    <row r="130" spans="1:20">
      <c r="A130" s="116" t="str">
        <f t="shared" si="16"/>
        <v>417p</v>
      </c>
      <c r="B130" s="551" t="str">
        <f>+VLOOKUP(LEFT($A130,LEN(A130)-1)*1,Master!$D$28:$G$227,4,FALSE)</f>
        <v>Renta</v>
      </c>
      <c r="C130" s="552"/>
      <c r="D130" s="552"/>
      <c r="E130" s="552"/>
      <c r="F130" s="552"/>
      <c r="G130" s="87">
        <f>+SUM(DataEx!FR302)</f>
        <v>616777.93000000005</v>
      </c>
      <c r="H130" s="87">
        <f>+SUM(DataEx!FS302)</f>
        <v>930050.26</v>
      </c>
      <c r="I130" s="87">
        <f>+SUM(DataEx!FT302)</f>
        <v>896586.65</v>
      </c>
      <c r="J130" s="87">
        <f>+SUM(DataEx!FU302)</f>
        <v>972131.72</v>
      </c>
      <c r="K130" s="87">
        <f>+SUM(DataEx!FV302)</f>
        <v>769427.2</v>
      </c>
      <c r="L130" s="87">
        <f>+SUM(DataEx!FW302)</f>
        <v>991607.47714285715</v>
      </c>
      <c r="M130" s="87">
        <f>+SUM(DataEx!FX302)</f>
        <v>991607.47714285715</v>
      </c>
      <c r="N130" s="87">
        <f>+SUM(DataEx!FY302)</f>
        <v>991607.47714285715</v>
      </c>
      <c r="O130" s="87">
        <f>+SUM(DataEx!FZ302)</f>
        <v>991607.47714285715</v>
      </c>
      <c r="P130" s="87">
        <f>+SUM(DataEx!GA302)</f>
        <v>991607.47714285715</v>
      </c>
      <c r="Q130" s="87">
        <f>+SUM(DataEx!GB302)</f>
        <v>991607.47714285715</v>
      </c>
      <c r="R130" s="87">
        <f>+SUM(DataEx!GC302)</f>
        <v>991620.63714285719</v>
      </c>
      <c r="S130" s="112">
        <f>+SUM(G130:R130)</f>
        <v>11126239.260000002</v>
      </c>
      <c r="T130" s="455">
        <f t="shared" si="20"/>
        <v>0.24149152996331913</v>
      </c>
    </row>
    <row r="131" spans="1:20">
      <c r="A131" s="116" t="str">
        <f t="shared" si="16"/>
        <v>418p</v>
      </c>
      <c r="B131" s="551" t="str">
        <f>+VLOOKUP(LEFT($A131,LEN(A131)-1)*1,Master!$D$28:$G$227,4,FALSE)</f>
        <v>Subvencije</v>
      </c>
      <c r="C131" s="552"/>
      <c r="D131" s="552"/>
      <c r="E131" s="552"/>
      <c r="F131" s="552"/>
      <c r="G131" s="87">
        <f>+SUM(DataEx!FR306)</f>
        <v>186907.92</v>
      </c>
      <c r="H131" s="87">
        <f>+SUM(DataEx!FS306)</f>
        <v>1211715.27</v>
      </c>
      <c r="I131" s="87">
        <f>+SUM(DataEx!FT306)</f>
        <v>1425211.49</v>
      </c>
      <c r="J131" s="87">
        <f>+SUM(DataEx!FU306)</f>
        <v>5065576.53</v>
      </c>
      <c r="K131" s="87">
        <f>+SUM(DataEx!FV306)</f>
        <v>1512180.75</v>
      </c>
      <c r="L131" s="87">
        <f>+SUM(DataEx!FW306)</f>
        <v>4240435.0014285715</v>
      </c>
      <c r="M131" s="87">
        <f>+SUM(DataEx!FX306)</f>
        <v>4240435.0014285715</v>
      </c>
      <c r="N131" s="87">
        <f>+SUM(DataEx!FY306)</f>
        <v>4240435.0014285715</v>
      </c>
      <c r="O131" s="87">
        <f>+SUM(DataEx!FZ306)</f>
        <v>4240435.0014285715</v>
      </c>
      <c r="P131" s="87">
        <f>+SUM(DataEx!GA306)</f>
        <v>4240435.0014285715</v>
      </c>
      <c r="Q131" s="87">
        <f>+SUM(DataEx!GB306)</f>
        <v>4240435.0014285715</v>
      </c>
      <c r="R131" s="87">
        <f>+SUM(DataEx!GC306)</f>
        <v>4240435.0014285715</v>
      </c>
      <c r="S131" s="112">
        <f t="shared" si="19"/>
        <v>39084636.969999999</v>
      </c>
      <c r="T131" s="455">
        <f t="shared" si="20"/>
        <v>0.84831977448831197</v>
      </c>
    </row>
    <row r="132" spans="1:20">
      <c r="A132" s="116" t="str">
        <f t="shared" si="16"/>
        <v>419p</v>
      </c>
      <c r="B132" s="551" t="str">
        <f>+VLOOKUP(LEFT($A132,LEN(A132)-1)*1,Master!$D$28:$G$227,4,FALSE)</f>
        <v>Ostali izdaci</v>
      </c>
      <c r="C132" s="552"/>
      <c r="D132" s="552"/>
      <c r="E132" s="552"/>
      <c r="F132" s="552"/>
      <c r="G132" s="87">
        <f>+SUM(DataEx!FR310)</f>
        <v>1397051.29</v>
      </c>
      <c r="H132" s="87">
        <f>+SUM(DataEx!FS310)</f>
        <v>3848578.53</v>
      </c>
      <c r="I132" s="87">
        <f>+SUM(DataEx!FT310)</f>
        <v>3215082.08</v>
      </c>
      <c r="J132" s="87">
        <f>+SUM(DataEx!FU310)</f>
        <v>3945513.03</v>
      </c>
      <c r="K132" s="87">
        <f>+SUM(DataEx!FV310)</f>
        <v>3372954.89</v>
      </c>
      <c r="L132" s="87">
        <f>+SUM(DataEx!FW310)</f>
        <v>6200000</v>
      </c>
      <c r="M132" s="87">
        <f>+SUM(DataEx!FX310)</f>
        <v>4599715.6983333342</v>
      </c>
      <c r="N132" s="87">
        <f>+SUM(DataEx!FY310)</f>
        <v>3679772.5586666674</v>
      </c>
      <c r="O132" s="87">
        <f>+SUM(DataEx!FZ310)</f>
        <v>4599715.6983333342</v>
      </c>
      <c r="P132" s="87">
        <f>+SUM(DataEx!GA310)</f>
        <v>4599715.6983333342</v>
      </c>
      <c r="Q132" s="87">
        <f>+SUM(DataEx!GB310)</f>
        <v>4599715.6983333342</v>
      </c>
      <c r="R132" s="87">
        <f>+SUM(DataEx!GC310)</f>
        <v>5519658.8379999958</v>
      </c>
      <c r="S132" s="112">
        <f t="shared" si="19"/>
        <v>49577474.010000005</v>
      </c>
      <c r="T132" s="455">
        <f t="shared" si="20"/>
        <v>1.0760635081284049</v>
      </c>
    </row>
    <row r="133" spans="1:20">
      <c r="A133" s="116" t="str">
        <f t="shared" si="16"/>
        <v>42p</v>
      </c>
      <c r="B133" s="570" t="str">
        <f>+VLOOKUP(LEFT($A133,LEN(A133)-1)*1,Master!$D$28:$G$227,4,FALSE)</f>
        <v>Transferi za socijalnu zaštitu</v>
      </c>
      <c r="C133" s="571"/>
      <c r="D133" s="571"/>
      <c r="E133" s="571"/>
      <c r="F133" s="571"/>
      <c r="G133" s="84">
        <f t="shared" ref="G133:R133" si="24">+SUM(G134:G138)</f>
        <v>43744418.239999995</v>
      </c>
      <c r="H133" s="84">
        <f t="shared" si="24"/>
        <v>46796687.629999995</v>
      </c>
      <c r="I133" s="84">
        <f t="shared" si="24"/>
        <v>46377214.320000008</v>
      </c>
      <c r="J133" s="84">
        <f t="shared" si="24"/>
        <v>46828214.329999998</v>
      </c>
      <c r="K133" s="84">
        <f t="shared" si="24"/>
        <v>44861859.969999999</v>
      </c>
      <c r="L133" s="84">
        <f t="shared" si="24"/>
        <v>49868571.824285723</v>
      </c>
      <c r="M133" s="84">
        <f t="shared" si="24"/>
        <v>49868571.824285723</v>
      </c>
      <c r="N133" s="84">
        <f t="shared" si="24"/>
        <v>49868571.824285723</v>
      </c>
      <c r="O133" s="84">
        <f t="shared" si="24"/>
        <v>49868571.824285723</v>
      </c>
      <c r="P133" s="84">
        <f t="shared" si="24"/>
        <v>49868571.824285723</v>
      </c>
      <c r="Q133" s="84">
        <f t="shared" si="24"/>
        <v>49868571.824285723</v>
      </c>
      <c r="R133" s="84">
        <f t="shared" si="24"/>
        <v>49868571.824285723</v>
      </c>
      <c r="S133" s="113">
        <f t="shared" si="19"/>
        <v>577688397.26000011</v>
      </c>
      <c r="T133" s="456">
        <f t="shared" si="20"/>
        <v>12.538545292470646</v>
      </c>
    </row>
    <row r="134" spans="1:20">
      <c r="A134" s="116" t="str">
        <f t="shared" si="16"/>
        <v>421p</v>
      </c>
      <c r="B134" s="551" t="str">
        <f>+VLOOKUP(LEFT($A134,LEN(A134)-1)*1,Master!$D$28:$G$227,4,FALSE)</f>
        <v>Prava iz oblasti socijalne zaštite</v>
      </c>
      <c r="C134" s="552"/>
      <c r="D134" s="552"/>
      <c r="E134" s="552"/>
      <c r="F134" s="552"/>
      <c r="G134" s="87">
        <f>SUM(DataEx!FR321)</f>
        <v>6448137.3300000001</v>
      </c>
      <c r="H134" s="87">
        <f>SUM(DataEx!FS321)</f>
        <v>7174722.5199999996</v>
      </c>
      <c r="I134" s="87">
        <f>SUM(DataEx!FT321)</f>
        <v>6752335.3300000001</v>
      </c>
      <c r="J134" s="87">
        <f>SUM(DataEx!FU321)</f>
        <v>6378584.3399999999</v>
      </c>
      <c r="K134" s="87">
        <f>SUM(DataEx!FV321)</f>
        <v>5976072.2199999997</v>
      </c>
      <c r="L134" s="87">
        <f>SUM(DataEx!FW321)</f>
        <v>7400021.1800000006</v>
      </c>
      <c r="M134" s="87">
        <f>SUM(DataEx!FX321)</f>
        <v>7400021.1800000006</v>
      </c>
      <c r="N134" s="87">
        <f>SUM(DataEx!FY321)</f>
        <v>7400021.1800000006</v>
      </c>
      <c r="O134" s="87">
        <f>SUM(DataEx!FZ321)</f>
        <v>7400021.1800000006</v>
      </c>
      <c r="P134" s="87">
        <f>SUM(DataEx!GA321)</f>
        <v>7400021.1800000006</v>
      </c>
      <c r="Q134" s="87">
        <f>SUM(DataEx!GB321)</f>
        <v>7400021.1800000006</v>
      </c>
      <c r="R134" s="87">
        <f>SUM(DataEx!GC321)</f>
        <v>7400021.1800000006</v>
      </c>
      <c r="S134" s="112">
        <f t="shared" si="19"/>
        <v>84530000.000000015</v>
      </c>
      <c r="T134" s="455">
        <f t="shared" si="20"/>
        <v>1.8346971111062882</v>
      </c>
    </row>
    <row r="135" spans="1:20">
      <c r="A135" s="116" t="str">
        <f t="shared" si="16"/>
        <v>422p</v>
      </c>
      <c r="B135" s="551" t="str">
        <f>+VLOOKUP(LEFT($A135,LEN(A135)-1)*1,Master!$D$28:$G$227,4,FALSE)</f>
        <v>Sredstva za tehnološke viškove</v>
      </c>
      <c r="C135" s="552"/>
      <c r="D135" s="552"/>
      <c r="E135" s="552"/>
      <c r="F135" s="552"/>
      <c r="G135" s="87">
        <f>SUM(DataEx!FR330)</f>
        <v>54255.6</v>
      </c>
      <c r="H135" s="87">
        <f>SUM(DataEx!FS330)</f>
        <v>1607182</v>
      </c>
      <c r="I135" s="87">
        <f>SUM(DataEx!FT330)</f>
        <v>1602703.45</v>
      </c>
      <c r="J135" s="87">
        <f>SUM(DataEx!FU330)</f>
        <v>1448885.74</v>
      </c>
      <c r="K135" s="87">
        <f>SUM(DataEx!FV330)</f>
        <v>1413828.93</v>
      </c>
      <c r="L135" s="87">
        <f>SUM(DataEx!FW330)</f>
        <v>2033020.7142857143</v>
      </c>
      <c r="M135" s="87">
        <f>SUM(DataEx!FX330)</f>
        <v>2033020.7142857143</v>
      </c>
      <c r="N135" s="87">
        <f>SUM(DataEx!FY330)</f>
        <v>2033020.7142857143</v>
      </c>
      <c r="O135" s="87">
        <f>SUM(DataEx!FZ330)</f>
        <v>2033020.7142857143</v>
      </c>
      <c r="P135" s="87">
        <f>SUM(DataEx!GA330)</f>
        <v>2033020.7142857143</v>
      </c>
      <c r="Q135" s="87">
        <f>SUM(DataEx!GB330)</f>
        <v>2033020.7142857143</v>
      </c>
      <c r="R135" s="87">
        <f>SUM(DataEx!GC330)</f>
        <v>2033020.7142857143</v>
      </c>
      <c r="S135" s="112">
        <f t="shared" si="19"/>
        <v>20358000.719999999</v>
      </c>
      <c r="T135" s="455">
        <f t="shared" si="20"/>
        <v>0.44186401406463649</v>
      </c>
    </row>
    <row r="136" spans="1:20">
      <c r="A136" s="116" t="str">
        <f t="shared" si="16"/>
        <v>423p</v>
      </c>
      <c r="B136" s="551" t="str">
        <f>+VLOOKUP(LEFT($A136,LEN(A136)-1)*1,Master!$D$28:$G$227,4,FALSE)</f>
        <v>Prava iz oblasti penzijskog i invalidskog osiguranja</v>
      </c>
      <c r="C136" s="552"/>
      <c r="D136" s="552"/>
      <c r="E136" s="552"/>
      <c r="F136" s="552"/>
      <c r="G136" s="87">
        <f>SUM(DataEx!FR336)</f>
        <v>34875207.159999996</v>
      </c>
      <c r="H136" s="87">
        <f>SUM(DataEx!FS336)</f>
        <v>35344644.090000004</v>
      </c>
      <c r="I136" s="87">
        <f>SUM(DataEx!FT336)</f>
        <v>35520020</v>
      </c>
      <c r="J136" s="87">
        <f>SUM(DataEx!FU336)</f>
        <v>36212765.539999999</v>
      </c>
      <c r="K136" s="87">
        <f>SUM(DataEx!FV336)</f>
        <v>35322836.950000003</v>
      </c>
      <c r="L136" s="87">
        <f>SUM(DataEx!FW336)</f>
        <v>37842845.828571431</v>
      </c>
      <c r="M136" s="87">
        <f>SUM(DataEx!FX336)</f>
        <v>37842845.828571431</v>
      </c>
      <c r="N136" s="87">
        <f>SUM(DataEx!FY336)</f>
        <v>37842845.828571431</v>
      </c>
      <c r="O136" s="87">
        <f>SUM(DataEx!FZ336)</f>
        <v>37842845.828571431</v>
      </c>
      <c r="P136" s="87">
        <f>SUM(DataEx!GA336)</f>
        <v>37842845.828571431</v>
      </c>
      <c r="Q136" s="87">
        <f>SUM(DataEx!GB336)</f>
        <v>37842845.828571431</v>
      </c>
      <c r="R136" s="87">
        <f>SUM(DataEx!GC336)</f>
        <v>37842845.828571431</v>
      </c>
      <c r="S136" s="112">
        <f t="shared" si="19"/>
        <v>442175394.54000008</v>
      </c>
      <c r="T136" s="455">
        <f t="shared" si="20"/>
        <v>9.5972781138627852</v>
      </c>
    </row>
    <row r="137" spans="1:20">
      <c r="A137" s="116" t="str">
        <f t="shared" si="16"/>
        <v>424p</v>
      </c>
      <c r="B137" s="551" t="str">
        <f>+VLOOKUP(LEFT($A137,LEN(A137)-1)*1,Master!$D$28:$G$227,4,FALSE)</f>
        <v>Ostala prava iz oblasti zdravstvene zaštite</v>
      </c>
      <c r="C137" s="552"/>
      <c r="D137" s="552"/>
      <c r="E137" s="552"/>
      <c r="F137" s="552"/>
      <c r="G137" s="87">
        <f>SUM(DataEx!FR344)</f>
        <v>1621388.9</v>
      </c>
      <c r="H137" s="87">
        <f>SUM(DataEx!FS344)</f>
        <v>1831428.58</v>
      </c>
      <c r="I137" s="87">
        <f>SUM(DataEx!FT344)</f>
        <v>1595368.45</v>
      </c>
      <c r="J137" s="87">
        <f>SUM(DataEx!FU344)</f>
        <v>2107330.88</v>
      </c>
      <c r="K137" s="87">
        <f>SUM(DataEx!FV344)</f>
        <v>1443795.73</v>
      </c>
      <c r="L137" s="87">
        <f>SUM(DataEx!FW344)</f>
        <v>1628669.78</v>
      </c>
      <c r="M137" s="87">
        <f>SUM(DataEx!FX344)</f>
        <v>1628669.78</v>
      </c>
      <c r="N137" s="87">
        <f>SUM(DataEx!FY344)</f>
        <v>1628669.78</v>
      </c>
      <c r="O137" s="87">
        <f>SUM(DataEx!FZ344)</f>
        <v>1628669.78</v>
      </c>
      <c r="P137" s="87">
        <f>SUM(DataEx!GA344)</f>
        <v>1628669.78</v>
      </c>
      <c r="Q137" s="87">
        <f>SUM(DataEx!GB344)</f>
        <v>1628669.78</v>
      </c>
      <c r="R137" s="87">
        <f>SUM(DataEx!GC344)</f>
        <v>1628669.78</v>
      </c>
      <c r="S137" s="112">
        <f t="shared" si="19"/>
        <v>20000000.999999996</v>
      </c>
      <c r="T137" s="455">
        <f t="shared" si="20"/>
        <v>0.43409374253901412</v>
      </c>
    </row>
    <row r="138" spans="1:20">
      <c r="A138" s="116" t="str">
        <f t="shared" si="16"/>
        <v>425p</v>
      </c>
      <c r="B138" s="551" t="str">
        <f>+VLOOKUP(LEFT($A138,LEN(A138)-1)*1,Master!$D$28:$G$227,4,FALSE)</f>
        <v>Ostala prava iz zdravstvenog osiguranja</v>
      </c>
      <c r="C138" s="552"/>
      <c r="D138" s="552"/>
      <c r="E138" s="552"/>
      <c r="F138" s="552"/>
      <c r="G138" s="87">
        <f>SUM(DataEx!FR346)</f>
        <v>745429.25</v>
      </c>
      <c r="H138" s="87">
        <f>SUM(DataEx!FS346)</f>
        <v>838710.44</v>
      </c>
      <c r="I138" s="87">
        <f>SUM(DataEx!FT346)</f>
        <v>906787.09</v>
      </c>
      <c r="J138" s="87">
        <f>SUM(DataEx!FU346)</f>
        <v>680647.83</v>
      </c>
      <c r="K138" s="87">
        <f>SUM(DataEx!FV346)</f>
        <v>705326.14</v>
      </c>
      <c r="L138" s="87">
        <f>SUM(DataEx!FW346)</f>
        <v>964014.32142857148</v>
      </c>
      <c r="M138" s="87">
        <f>SUM(DataEx!FX346)</f>
        <v>964014.32142857148</v>
      </c>
      <c r="N138" s="87">
        <f>SUM(DataEx!FY346)</f>
        <v>964014.32142857148</v>
      </c>
      <c r="O138" s="87">
        <f>SUM(DataEx!FZ346)</f>
        <v>964014.32142857148</v>
      </c>
      <c r="P138" s="87">
        <f>SUM(DataEx!GA346)</f>
        <v>964014.32142857148</v>
      </c>
      <c r="Q138" s="87">
        <f>SUM(DataEx!GB346)</f>
        <v>964014.32142857148</v>
      </c>
      <c r="R138" s="87">
        <f>SUM(DataEx!GC346)</f>
        <v>964014.32142857148</v>
      </c>
      <c r="S138" s="112">
        <f t="shared" si="19"/>
        <v>10625001</v>
      </c>
      <c r="T138" s="455">
        <f t="shared" si="20"/>
        <v>0.23061231089792286</v>
      </c>
    </row>
    <row r="139" spans="1:20">
      <c r="A139" s="116" t="str">
        <f t="shared" si="16"/>
        <v>43p</v>
      </c>
      <c r="B139" s="576" t="str">
        <f>+VLOOKUP(LEFT($A139,LEN(A139)-1)*1,Master!$D$28:$G$227,4,FALSE)</f>
        <v xml:space="preserve">Transferi institucijama, pojedincima, nevladinom i javnom sektoru </v>
      </c>
      <c r="C139" s="577"/>
      <c r="D139" s="577"/>
      <c r="E139" s="577"/>
      <c r="F139" s="577"/>
      <c r="G139" s="83">
        <f>SUM(DataEx!FR350)</f>
        <v>23631566.68</v>
      </c>
      <c r="H139" s="83">
        <f>SUM(DataEx!FS350)</f>
        <v>23914749.120000001</v>
      </c>
      <c r="I139" s="83">
        <f>SUM(DataEx!FT350)</f>
        <v>31910693.890000001</v>
      </c>
      <c r="J139" s="83">
        <f>SUM(DataEx!FU350)</f>
        <v>17331295.199999999</v>
      </c>
      <c r="K139" s="83">
        <f>SUM(DataEx!FV350)</f>
        <v>15552980.33</v>
      </c>
      <c r="L139" s="83">
        <f>SUM(DataEx!FW350)</f>
        <v>23483872.51285715</v>
      </c>
      <c r="M139" s="83">
        <f>SUM(DataEx!FX350)</f>
        <v>19317205.846190531</v>
      </c>
      <c r="N139" s="83">
        <f>SUM(DataEx!FY350)</f>
        <v>19317205.846190531</v>
      </c>
      <c r="O139" s="83">
        <f>SUM(DataEx!FZ350)</f>
        <v>19317205.846190531</v>
      </c>
      <c r="P139" s="83">
        <f>SUM(DataEx!GA350)</f>
        <v>44317205.846190527</v>
      </c>
      <c r="Q139" s="83">
        <f>SUM(DataEx!GB350)</f>
        <v>19317205.846190531</v>
      </c>
      <c r="R139" s="83">
        <f>SUM(DataEx!GC350)</f>
        <v>19317205.846190531</v>
      </c>
      <c r="S139" s="113">
        <f>+SUM(G139:R139)</f>
        <v>276728392.81000036</v>
      </c>
      <c r="T139" s="456">
        <f t="shared" si="20"/>
        <v>6.0063028847698297</v>
      </c>
    </row>
    <row r="140" spans="1:20">
      <c r="A140" s="116" t="str">
        <f t="shared" si="16"/>
        <v>44p</v>
      </c>
      <c r="B140" s="576" t="str">
        <f>+VLOOKUP(LEFT($A140,LEN(A140)-1)*1,Master!$D$28:$G$227,4,FALSE)</f>
        <v>Kapitalni izdaci</v>
      </c>
      <c r="C140" s="577"/>
      <c r="D140" s="577"/>
      <c r="E140" s="577"/>
      <c r="F140" s="577"/>
      <c r="G140" s="83">
        <f>SUM(DataEx!FR368)</f>
        <v>4153095.62</v>
      </c>
      <c r="H140" s="83">
        <f>SUM(DataEx!FS368)</f>
        <v>8919354.2899999991</v>
      </c>
      <c r="I140" s="83">
        <f>SUM(DataEx!FT368)</f>
        <v>13085415.970000001</v>
      </c>
      <c r="J140" s="83">
        <f>SUM(DataEx!FU368)</f>
        <v>17943688.25</v>
      </c>
      <c r="K140" s="83">
        <f>SUM(DataEx!FV368)</f>
        <v>15872563.539999999</v>
      </c>
      <c r="L140" s="83">
        <f>SUM(DataEx!FW368)</f>
        <v>25000000</v>
      </c>
      <c r="M140" s="83">
        <f>SUM(DataEx!FX368)</f>
        <v>20000000</v>
      </c>
      <c r="N140" s="83">
        <f>SUM(DataEx!FY368)</f>
        <v>20000000</v>
      </c>
      <c r="O140" s="83">
        <f>SUM(DataEx!FZ368)</f>
        <v>20000000</v>
      </c>
      <c r="P140" s="83">
        <f>SUM(DataEx!GA368)</f>
        <v>17295648.326666653</v>
      </c>
      <c r="Q140" s="83">
        <f>SUM(DataEx!GB368)</f>
        <v>17295648.326666653</v>
      </c>
      <c r="R140" s="83">
        <f>SUM(DataEx!GC368)</f>
        <v>15285648.326666702</v>
      </c>
      <c r="S140" s="113">
        <f t="shared" si="19"/>
        <v>194851062.65000004</v>
      </c>
      <c r="T140" s="456">
        <f t="shared" si="20"/>
        <v>4.2291811397130648</v>
      </c>
    </row>
    <row r="141" spans="1:20">
      <c r="A141" s="116" t="str">
        <f t="shared" si="16"/>
        <v>451p</v>
      </c>
      <c r="B141" s="572" t="str">
        <f>+VLOOKUP(LEFT($A141,LEN(A141)-1)*1,Master!$D$28:$G$227,4,FALSE)</f>
        <v>Pozajmice i krediti</v>
      </c>
      <c r="C141" s="573"/>
      <c r="D141" s="573"/>
      <c r="E141" s="573"/>
      <c r="F141" s="573"/>
      <c r="G141" s="87">
        <f>SUM(DataEx!FR378)</f>
        <v>0</v>
      </c>
      <c r="H141" s="87">
        <f>SUM(DataEx!FS378)</f>
        <v>277634</v>
      </c>
      <c r="I141" s="87">
        <f>SUM(DataEx!FT378)</f>
        <v>0</v>
      </c>
      <c r="J141" s="87">
        <f>SUM(DataEx!FU378)</f>
        <v>268014</v>
      </c>
      <c r="K141" s="87">
        <f>SUM(DataEx!FV378)</f>
        <v>5000</v>
      </c>
      <c r="L141" s="87">
        <f>SUM(DataEx!FW378)</f>
        <v>147050.57142857142</v>
      </c>
      <c r="M141" s="87">
        <f>SUM(DataEx!FX378)</f>
        <v>147050.57142857142</v>
      </c>
      <c r="N141" s="87">
        <f>SUM(DataEx!FY378)</f>
        <v>147050.57142857142</v>
      </c>
      <c r="O141" s="87">
        <f>SUM(DataEx!FZ378)</f>
        <v>147050.57142857142</v>
      </c>
      <c r="P141" s="87">
        <f>SUM(DataEx!GA378)</f>
        <v>147050.57142857142</v>
      </c>
      <c r="Q141" s="87">
        <f>SUM(DataEx!GB378)</f>
        <v>147050.57142857142</v>
      </c>
      <c r="R141" s="87">
        <f>SUM(DataEx!GC378)</f>
        <v>147050.57142857142</v>
      </c>
      <c r="S141" s="112">
        <f t="shared" si="19"/>
        <v>1580001.9999999995</v>
      </c>
      <c r="T141" s="455">
        <f t="shared" si="20"/>
        <v>3.4293447355283994E-2</v>
      </c>
    </row>
    <row r="142" spans="1:20">
      <c r="A142" s="116" t="str">
        <f t="shared" si="16"/>
        <v>47p</v>
      </c>
      <c r="B142" s="572" t="str">
        <f>+VLOOKUP(LEFT($A142,LEN(A142)-1)*1,Master!$D$28:$G$227,4,FALSE)</f>
        <v>Rezerve</v>
      </c>
      <c r="C142" s="573"/>
      <c r="D142" s="573"/>
      <c r="E142" s="573"/>
      <c r="F142" s="573"/>
      <c r="G142" s="87">
        <f>SUM(DataEx!FR393)</f>
        <v>1941194</v>
      </c>
      <c r="H142" s="87">
        <f>SUM(DataEx!FS393)</f>
        <v>720000</v>
      </c>
      <c r="I142" s="87">
        <f>SUM(DataEx!FT393)</f>
        <v>117020</v>
      </c>
      <c r="J142" s="87">
        <f>SUM(DataEx!FU393)</f>
        <v>3138464.05</v>
      </c>
      <c r="K142" s="87">
        <f>SUM(DataEx!FV393)</f>
        <v>16941995.850000001</v>
      </c>
      <c r="L142" s="87">
        <f>SUM(DataEx!FW393)</f>
        <v>19000000</v>
      </c>
      <c r="M142" s="87">
        <f>SUM(DataEx!FX393)</f>
        <v>13000000</v>
      </c>
      <c r="N142" s="87">
        <f>SUM(DataEx!FY393)</f>
        <v>13000000</v>
      </c>
      <c r="O142" s="87">
        <f>SUM(DataEx!FZ393)</f>
        <v>13000000</v>
      </c>
      <c r="P142" s="87">
        <f>SUM(DataEx!GA393)</f>
        <v>38000000</v>
      </c>
      <c r="Q142" s="87">
        <f>SUM(DataEx!GB393)</f>
        <v>7385913.0500000007</v>
      </c>
      <c r="R142" s="87">
        <f>SUM(DataEx!GC393)</f>
        <v>7385913.0500000007</v>
      </c>
      <c r="S142" s="112">
        <f t="shared" si="19"/>
        <v>133630500</v>
      </c>
      <c r="T142" s="455">
        <f t="shared" si="20"/>
        <v>2.9004080480975842</v>
      </c>
    </row>
    <row r="143" spans="1:20">
      <c r="A143" s="116" t="str">
        <f t="shared" si="16"/>
        <v>462p</v>
      </c>
      <c r="B143" s="572" t="str">
        <f>+VLOOKUP(LEFT($A143,LEN(A143)-1)*1,Master!$D$28:$G$227,4,FALSE)</f>
        <v>Otplata garancija</v>
      </c>
      <c r="C143" s="573"/>
      <c r="D143" s="573"/>
      <c r="E143" s="573"/>
      <c r="F143" s="573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5">
        <f t="shared" si="20"/>
        <v>0</v>
      </c>
    </row>
    <row r="144" spans="1:20">
      <c r="A144" s="117" t="str">
        <f t="shared" si="16"/>
        <v>4630p</v>
      </c>
      <c r="B144" s="572" t="str">
        <f>+VLOOKUP(LEFT($A144,LEN(A144)-1)*1,Master!$D$28:$G$227,4,FALSE)</f>
        <v>Otplata obaveza iz prethodnog perioda</v>
      </c>
      <c r="C144" s="573"/>
      <c r="D144" s="573"/>
      <c r="E144" s="573"/>
      <c r="F144" s="573"/>
      <c r="G144" s="96">
        <f>SUM(DataEx!FR392)</f>
        <v>1234088.2</v>
      </c>
      <c r="H144" s="96">
        <f>SUM(DataEx!FS392)</f>
        <v>1922034.51</v>
      </c>
      <c r="I144" s="96">
        <f>SUM(DataEx!FT392)</f>
        <v>1368605.81</v>
      </c>
      <c r="J144" s="96">
        <f>SUM(DataEx!FU392)</f>
        <v>1039845.76</v>
      </c>
      <c r="K144" s="96">
        <f>SUM(DataEx!FV392)</f>
        <v>1116425.95</v>
      </c>
      <c r="L144" s="96">
        <f>SUM(DataEx!FW392)</f>
        <v>1374921.7142857143</v>
      </c>
      <c r="M144" s="96">
        <f>SUM(DataEx!FX392)</f>
        <v>1374921.7142857143</v>
      </c>
      <c r="N144" s="96">
        <f>SUM(DataEx!FY392)</f>
        <v>1374921.7142857143</v>
      </c>
      <c r="O144" s="96">
        <f>SUM(DataEx!FZ392)</f>
        <v>1374921.7142857143</v>
      </c>
      <c r="P144" s="96">
        <f>SUM(DataEx!GA392)</f>
        <v>1374921.7142857143</v>
      </c>
      <c r="Q144" s="96">
        <f>SUM(DataEx!GB392)</f>
        <v>1374921.7142857143</v>
      </c>
      <c r="R144" s="96">
        <f>SUM(DataEx!GC392)</f>
        <v>1374921.7142857143</v>
      </c>
      <c r="S144" s="103">
        <f>+SUM(G144:R144)</f>
        <v>16305452.23</v>
      </c>
      <c r="T144" s="463">
        <f t="shared" si="20"/>
        <v>0.35390472142035467</v>
      </c>
    </row>
    <row r="145" spans="1:20" ht="13.5" thickBot="1">
      <c r="A145" s="116">
        <v>1005</v>
      </c>
      <c r="B145" s="572" t="s">
        <v>687</v>
      </c>
      <c r="C145" s="573"/>
      <c r="D145" s="573"/>
      <c r="E145" s="573"/>
      <c r="F145" s="573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0">
        <f t="shared" si="20"/>
        <v>0</v>
      </c>
    </row>
    <row r="146" spans="1:20" ht="13.5" thickBot="1">
      <c r="A146" s="117" t="str">
        <f>+CONCATENATE(A53,"p")</f>
        <v>1000p</v>
      </c>
      <c r="B146" s="574" t="str">
        <f>+VLOOKUP(LEFT($A146,LEN(A146)-1)*1,Master!$D$28:$G$224,4,FALSE)</f>
        <v>Suficit / deficit</v>
      </c>
      <c r="C146" s="575"/>
      <c r="D146" s="575"/>
      <c r="E146" s="575"/>
      <c r="F146" s="575"/>
      <c r="G146" s="93">
        <f t="shared" ref="G146:R146" si="25">+G103-G122</f>
        <v>-34116471.36999999</v>
      </c>
      <c r="H146" s="93">
        <f t="shared" si="25"/>
        <v>-25307976.920000032</v>
      </c>
      <c r="I146" s="93">
        <f t="shared" si="25"/>
        <v>-17029626.359999955</v>
      </c>
      <c r="J146" s="93">
        <f t="shared" si="25"/>
        <v>-46575551.199999988</v>
      </c>
      <c r="K146" s="93">
        <f t="shared" si="25"/>
        <v>-43960839.071666688</v>
      </c>
      <c r="L146" s="93">
        <f t="shared" si="25"/>
        <v>-59986953.58594206</v>
      </c>
      <c r="M146" s="93">
        <f t="shared" si="25"/>
        <v>-25188453.458808541</v>
      </c>
      <c r="N146" s="93">
        <f t="shared" si="25"/>
        <v>-13911104.998835742</v>
      </c>
      <c r="O146" s="93">
        <f t="shared" si="25"/>
        <v>12883603.908708036</v>
      </c>
      <c r="P146" s="93">
        <f t="shared" si="25"/>
        <v>-60762293.408757836</v>
      </c>
      <c r="Q146" s="93">
        <f t="shared" si="25"/>
        <v>-36065818.160695255</v>
      </c>
      <c r="R146" s="93">
        <f t="shared" si="25"/>
        <v>14131666.987869769</v>
      </c>
      <c r="S146" s="106">
        <f t="shared" si="19"/>
        <v>-335889817.63812828</v>
      </c>
      <c r="T146" s="461">
        <f t="shared" si="20"/>
        <v>-7.2903830364449513</v>
      </c>
    </row>
    <row r="147" spans="1:20" ht="13.5" thickBot="1">
      <c r="A147" s="117" t="str">
        <f>+CONCATENATE(A54,"p")</f>
        <v>1001p</v>
      </c>
      <c r="B147" s="580" t="str">
        <f>+VLOOKUP(LEFT($A147,LEN(A147)-1)*1,Master!$D$28:$G$224,4,FALSE)</f>
        <v>Primarni suficit/deficit</v>
      </c>
      <c r="C147" s="581"/>
      <c r="D147" s="581"/>
      <c r="E147" s="581"/>
      <c r="F147" s="581"/>
      <c r="G147" s="94">
        <f t="shared" ref="G147:R147" si="26">+G146+G129</f>
        <v>-26461625.979999989</v>
      </c>
      <c r="H147" s="94">
        <f t="shared" si="26"/>
        <v>-23468175.040000033</v>
      </c>
      <c r="I147" s="94">
        <f t="shared" si="26"/>
        <v>10446334.040000044</v>
      </c>
      <c r="J147" s="94">
        <f t="shared" si="26"/>
        <v>-24016353.45999999</v>
      </c>
      <c r="K147" s="94">
        <f t="shared" si="26"/>
        <v>-42303922.49166669</v>
      </c>
      <c r="L147" s="94">
        <f t="shared" si="26"/>
        <v>-54788721.115942061</v>
      </c>
      <c r="M147" s="94">
        <f t="shared" si="26"/>
        <v>-17605427.17880854</v>
      </c>
      <c r="N147" s="94">
        <f t="shared" si="26"/>
        <v>-13124155.138835743</v>
      </c>
      <c r="O147" s="94">
        <f t="shared" si="26"/>
        <v>15074589.908708036</v>
      </c>
      <c r="P147" s="94">
        <f t="shared" si="26"/>
        <v>-43390815.838757835</v>
      </c>
      <c r="Q147" s="94">
        <f t="shared" si="26"/>
        <v>-32094627.130695254</v>
      </c>
      <c r="R147" s="94">
        <f t="shared" si="26"/>
        <v>19187098.227869779</v>
      </c>
      <c r="S147" s="106">
        <f t="shared" si="19"/>
        <v>-232545801.19812831</v>
      </c>
      <c r="T147" s="461">
        <f t="shared" si="20"/>
        <v>-5.0473336053247744</v>
      </c>
    </row>
    <row r="148" spans="1:20">
      <c r="A148" s="117" t="str">
        <f>+CONCATENATE(A55,"p")</f>
        <v>46p</v>
      </c>
      <c r="B148" s="570" t="str">
        <f>+VLOOKUP(LEFT($A148,LEN(A148)-1)*1,Master!$D$28:$G$224,4,FALSE)</f>
        <v>Otplata dugova</v>
      </c>
      <c r="C148" s="571"/>
      <c r="D148" s="571"/>
      <c r="E148" s="571"/>
      <c r="F148" s="571"/>
      <c r="G148" s="84">
        <f t="shared" ref="G148:R148" si="27">+SUM(G149:G150)</f>
        <v>1725839.0999999999</v>
      </c>
      <c r="H148" s="84">
        <f t="shared" si="27"/>
        <v>3305317.26</v>
      </c>
      <c r="I148" s="84">
        <f t="shared" si="27"/>
        <v>339468444.25999999</v>
      </c>
      <c r="J148" s="84">
        <f t="shared" si="27"/>
        <v>17477408.559999999</v>
      </c>
      <c r="K148" s="84">
        <f t="shared" si="27"/>
        <v>15441444.539999999</v>
      </c>
      <c r="L148" s="84">
        <f t="shared" si="27"/>
        <v>12046825.949999999</v>
      </c>
      <c r="M148" s="84">
        <f t="shared" si="27"/>
        <v>11726652.870000001</v>
      </c>
      <c r="N148" s="84">
        <f t="shared" si="27"/>
        <v>8624889.1799999997</v>
      </c>
      <c r="O148" s="84">
        <f t="shared" si="27"/>
        <v>18011093.800000001</v>
      </c>
      <c r="P148" s="84">
        <f t="shared" si="27"/>
        <v>9855652.5999999996</v>
      </c>
      <c r="Q148" s="84">
        <f t="shared" si="27"/>
        <v>89792355.439999998</v>
      </c>
      <c r="R148" s="84">
        <f t="shared" si="27"/>
        <v>12114076.439999999</v>
      </c>
      <c r="S148" s="104">
        <f t="shared" si="19"/>
        <v>539590000.00000012</v>
      </c>
      <c r="T148" s="462">
        <f t="shared" si="20"/>
        <v>11.711631541249758</v>
      </c>
    </row>
    <row r="149" spans="1:20">
      <c r="A149" s="117" t="str">
        <f>+CONCATENATE(A56,"p")</f>
        <v>4611p</v>
      </c>
      <c r="B149" s="578" t="str">
        <f>+VLOOKUP(LEFT($A149,LEN(A149)-1)*1,Master!$D$28:$G$224,4,FALSE)</f>
        <v>Otplata hartija od vrijednosti i kredita rezidentima</v>
      </c>
      <c r="C149" s="579"/>
      <c r="D149" s="579"/>
      <c r="E149" s="579"/>
      <c r="F149" s="579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3">
        <f t="shared" si="20"/>
        <v>2.598267966053871</v>
      </c>
    </row>
    <row r="150" spans="1:20" ht="13.5" thickBot="1">
      <c r="A150" s="117" t="str">
        <f>+CONCATENATE(A57,"p")</f>
        <v>4612p</v>
      </c>
      <c r="B150" s="572" t="str">
        <f>+VLOOKUP(LEFT($A150,LEN(A150)-1)*1,Master!$D$28:$G$224,4,FALSE)</f>
        <v>Otplata hartija od vrijednosti i kredita nerezidentima</v>
      </c>
      <c r="C150" s="573"/>
      <c r="D150" s="573"/>
      <c r="E150" s="573"/>
      <c r="F150" s="573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3">
        <f t="shared" si="20"/>
        <v>9.1133635751958835</v>
      </c>
    </row>
    <row r="151" spans="1:20" ht="13.5" thickBot="1">
      <c r="A151" s="117"/>
      <c r="B151" s="566" t="s">
        <v>338</v>
      </c>
      <c r="C151" s="567"/>
      <c r="D151" s="567"/>
      <c r="E151" s="567"/>
      <c r="F151" s="567"/>
      <c r="G151" s="93">
        <f>+DataEx!FR376</f>
        <v>0</v>
      </c>
      <c r="H151" s="93">
        <f>+DataEx!FS376</f>
        <v>0</v>
      </c>
      <c r="I151" s="93">
        <f>+DataEx!FT376</f>
        <v>0</v>
      </c>
      <c r="J151" s="93">
        <f>+DataEx!FU376</f>
        <v>0</v>
      </c>
      <c r="K151" s="93">
        <f>+DataEx!FV376</f>
        <v>0</v>
      </c>
      <c r="L151" s="93">
        <f>+DataEx!FW376</f>
        <v>0</v>
      </c>
      <c r="M151" s="93">
        <f>+DataEx!FX376</f>
        <v>335000</v>
      </c>
      <c r="N151" s="93">
        <f>+DataEx!FY376</f>
        <v>335000</v>
      </c>
      <c r="O151" s="93">
        <f>+DataEx!FZ376</f>
        <v>335000</v>
      </c>
      <c r="P151" s="93">
        <f>+DataEx!GA376</f>
        <v>335000</v>
      </c>
      <c r="Q151" s="93">
        <f>+DataEx!GB376</f>
        <v>335000</v>
      </c>
      <c r="R151" s="93">
        <f>+DataEx!GC376</f>
        <v>335000</v>
      </c>
      <c r="S151" s="106">
        <f t="shared" si="19"/>
        <v>2010000</v>
      </c>
      <c r="T151" s="468">
        <f t="shared" si="20"/>
        <v>4.3626418943849977E-2</v>
      </c>
    </row>
    <row r="152" spans="1:20" ht="13.5" thickBot="1">
      <c r="A152" s="117" t="str">
        <f t="shared" ref="A152:A157" si="28">+CONCATENATE(A59,"p")</f>
        <v>1002p</v>
      </c>
      <c r="B152" s="582" t="str">
        <f>+VLOOKUP(LEFT($A152,LEN(A152)-1)*1,Master!$D$28:$G$224,4,FALSE)</f>
        <v>Nedostajuća sredstva</v>
      </c>
      <c r="C152" s="583"/>
      <c r="D152" s="583"/>
      <c r="E152" s="583"/>
      <c r="F152" s="583"/>
      <c r="G152" s="77">
        <f t="shared" ref="G152:R152" si="29">+G146-G148-G151</f>
        <v>-35842310.469999991</v>
      </c>
      <c r="H152" s="77">
        <f t="shared" si="29"/>
        <v>-28613294.18000003</v>
      </c>
      <c r="I152" s="77">
        <f t="shared" si="29"/>
        <v>-356498070.61999995</v>
      </c>
      <c r="J152" s="77">
        <f t="shared" si="29"/>
        <v>-64052959.75999999</v>
      </c>
      <c r="K152" s="77">
        <f t="shared" si="29"/>
        <v>-59402283.611666687</v>
      </c>
      <c r="L152" s="77">
        <f t="shared" si="29"/>
        <v>-72033779.535942063</v>
      </c>
      <c r="M152" s="77">
        <f t="shared" si="29"/>
        <v>-37250106.328808546</v>
      </c>
      <c r="N152" s="77">
        <f t="shared" si="29"/>
        <v>-22870994.178835742</v>
      </c>
      <c r="O152" s="77">
        <f t="shared" si="29"/>
        <v>-5462489.8912919648</v>
      </c>
      <c r="P152" s="77">
        <f t="shared" si="29"/>
        <v>-70952946.00875783</v>
      </c>
      <c r="Q152" s="77">
        <f t="shared" si="29"/>
        <v>-126193173.60069525</v>
      </c>
      <c r="R152" s="77">
        <f t="shared" si="29"/>
        <v>1682590.5478697699</v>
      </c>
      <c r="S152" s="109">
        <f t="shared" si="19"/>
        <v>-877489817.63812828</v>
      </c>
      <c r="T152" s="465">
        <f t="shared" si="20"/>
        <v>-19.045640996638557</v>
      </c>
    </row>
    <row r="153" spans="1:20" ht="13.5" thickBot="1">
      <c r="A153" s="117" t="str">
        <f t="shared" si="28"/>
        <v>1003p</v>
      </c>
      <c r="B153" s="566" t="str">
        <f>+VLOOKUP(LEFT($A153,LEN(A153)-1)*1,Master!$D$28:$G$224,4,FALSE)</f>
        <v>Finansiranje</v>
      </c>
      <c r="C153" s="567"/>
      <c r="D153" s="567"/>
      <c r="E153" s="567"/>
      <c r="F153" s="567"/>
      <c r="G153" s="93">
        <f t="shared" ref="G153:R153" si="30">+SUM(G154:G157)</f>
        <v>35842310.469999991</v>
      </c>
      <c r="H153" s="93">
        <f t="shared" si="30"/>
        <v>28613294.18000003</v>
      </c>
      <c r="I153" s="93">
        <f t="shared" si="30"/>
        <v>356498070.61999995</v>
      </c>
      <c r="J153" s="93">
        <f t="shared" si="30"/>
        <v>64052959.75999999</v>
      </c>
      <c r="K153" s="93">
        <f t="shared" si="30"/>
        <v>59402283.611666679</v>
      </c>
      <c r="L153" s="93">
        <f t="shared" si="30"/>
        <v>72033779.535942063</v>
      </c>
      <c r="M153" s="93">
        <f t="shared" si="30"/>
        <v>37250106.328808546</v>
      </c>
      <c r="N153" s="93">
        <f t="shared" si="30"/>
        <v>22870994.178835742</v>
      </c>
      <c r="O153" s="93">
        <f t="shared" si="30"/>
        <v>5462489.8912919648</v>
      </c>
      <c r="P153" s="93">
        <f t="shared" si="30"/>
        <v>70952946.00875783</v>
      </c>
      <c r="Q153" s="93">
        <f t="shared" si="30"/>
        <v>126193173.60069525</v>
      </c>
      <c r="R153" s="93">
        <f t="shared" si="30"/>
        <v>-1682590.5478697699</v>
      </c>
      <c r="S153" s="110">
        <f t="shared" si="19"/>
        <v>877489817.63812828</v>
      </c>
      <c r="T153" s="466">
        <f t="shared" si="20"/>
        <v>19.045640996638557</v>
      </c>
    </row>
    <row r="154" spans="1:20">
      <c r="A154" s="117" t="str">
        <f t="shared" si="28"/>
        <v>7511p</v>
      </c>
      <c r="B154" s="578" t="str">
        <f>+VLOOKUP(LEFT($A154,LEN(A154)-1)*1,Master!$D$28:$G$224,4,FALSE)</f>
        <v>Pozajmice i krediti od domaćih izvora</v>
      </c>
      <c r="C154" s="579"/>
      <c r="D154" s="579"/>
      <c r="E154" s="579"/>
      <c r="F154" s="579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594">
        <f t="shared" si="19"/>
        <v>0</v>
      </c>
      <c r="T154" s="463">
        <f t="shared" si="20"/>
        <v>0</v>
      </c>
    </row>
    <row r="155" spans="1:20">
      <c r="A155" s="117" t="str">
        <f t="shared" si="28"/>
        <v>7512p</v>
      </c>
      <c r="B155" s="572" t="str">
        <f>+VLOOKUP(LEFT($A155,LEN(A155)-1)*1,Master!$D$28:$G$224,4,FALSE)</f>
        <v>Pozajmice i krediti od inostranih izvora</v>
      </c>
      <c r="C155" s="573"/>
      <c r="D155" s="573"/>
      <c r="E155" s="573"/>
      <c r="F155" s="573"/>
      <c r="G155" s="96">
        <f>+DataEx!FR261</f>
        <v>316564.84000000003</v>
      </c>
      <c r="H155" s="96">
        <f>+DataEx!FS261</f>
        <v>1511136.76</v>
      </c>
      <c r="I155" s="96">
        <f>+DataEx!FT261</f>
        <v>3834054.75</v>
      </c>
      <c r="J155" s="96">
        <f>+DataEx!FU261</f>
        <v>4493810.3600000003</v>
      </c>
      <c r="K155" s="96">
        <f>+DataEx!FV261</f>
        <v>250307576.15000001</v>
      </c>
      <c r="L155" s="96">
        <f>+DataEx!FW261</f>
        <v>10146635.998571429</v>
      </c>
      <c r="M155" s="96">
        <f>+DataEx!FX261</f>
        <v>10146635.998571429</v>
      </c>
      <c r="N155" s="96">
        <f>+DataEx!FY261</f>
        <v>10146635.998571429</v>
      </c>
      <c r="O155" s="96">
        <f>+DataEx!FZ261</f>
        <v>10146635.998571429</v>
      </c>
      <c r="P155" s="96">
        <f>+DataEx!GA261</f>
        <v>10146635.998571429</v>
      </c>
      <c r="Q155" s="96">
        <f>+DataEx!GB261</f>
        <v>10146635.998571429</v>
      </c>
      <c r="R155" s="96">
        <f>+DataEx!GC261</f>
        <v>10146635.998571429</v>
      </c>
      <c r="S155" s="594">
        <f t="shared" si="19"/>
        <v>331489594.8500002</v>
      </c>
      <c r="T155" s="463">
        <f t="shared" si="20"/>
        <v>7.1948775823150264</v>
      </c>
    </row>
    <row r="156" spans="1:20">
      <c r="A156" s="117" t="str">
        <f t="shared" si="28"/>
        <v>72p</v>
      </c>
      <c r="B156" s="572" t="str">
        <f>+VLOOKUP(LEFT($A156,LEN(A156)-1)*1,Master!$D$28:$G$224,4,FALSE)</f>
        <v>Primici od prodaje imovine</v>
      </c>
      <c r="C156" s="573"/>
      <c r="D156" s="573"/>
      <c r="E156" s="573"/>
      <c r="F156" s="573"/>
      <c r="G156" s="96">
        <f>+DataEx!FR249</f>
        <v>62782.51</v>
      </c>
      <c r="H156" s="96">
        <f>+DataEx!FS249</f>
        <v>437988.22</v>
      </c>
      <c r="I156" s="96">
        <f>+DataEx!FT249</f>
        <v>603218.21</v>
      </c>
      <c r="J156" s="96">
        <f>+DataEx!FU249</f>
        <v>198578.39</v>
      </c>
      <c r="K156" s="96">
        <f>+DataEx!FV249</f>
        <v>270349.07</v>
      </c>
      <c r="L156" s="96">
        <f>+DataEx!FW249</f>
        <v>632440.5</v>
      </c>
      <c r="M156" s="96">
        <f>+DataEx!FX249</f>
        <v>632440.5</v>
      </c>
      <c r="N156" s="96">
        <f>+DataEx!FY249</f>
        <v>632440.5</v>
      </c>
      <c r="O156" s="96">
        <f>+DataEx!FZ249</f>
        <v>632440.5</v>
      </c>
      <c r="P156" s="96">
        <f>+DataEx!GA249</f>
        <v>632440.5</v>
      </c>
      <c r="Q156" s="96">
        <f>+DataEx!GB249</f>
        <v>632440.5</v>
      </c>
      <c r="R156" s="96">
        <f>+DataEx!GC249</f>
        <v>632440.6</v>
      </c>
      <c r="S156" s="594">
        <f t="shared" si="19"/>
        <v>6000000</v>
      </c>
      <c r="T156" s="463">
        <f t="shared" si="20"/>
        <v>0.13022811625029843</v>
      </c>
    </row>
    <row r="157" spans="1:20" ht="13.5" thickBot="1">
      <c r="A157" s="117" t="str">
        <f t="shared" si="28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1">-G152-SUM(G154:G156)</f>
        <v>35462963.11999999</v>
      </c>
      <c r="H157" s="97">
        <f t="shared" si="31"/>
        <v>26664169.200000029</v>
      </c>
      <c r="I157" s="97">
        <f t="shared" si="31"/>
        <v>352060797.65999997</v>
      </c>
      <c r="J157" s="97">
        <f t="shared" si="31"/>
        <v>59360571.00999999</v>
      </c>
      <c r="K157" s="97">
        <f t="shared" si="31"/>
        <v>-191175641.60833332</v>
      </c>
      <c r="L157" s="97">
        <f t="shared" si="31"/>
        <v>61254703.037370637</v>
      </c>
      <c r="M157" s="97">
        <f t="shared" si="31"/>
        <v>26471029.830237117</v>
      </c>
      <c r="N157" s="97">
        <f t="shared" si="31"/>
        <v>12091917.680264313</v>
      </c>
      <c r="O157" s="97">
        <f t="shared" si="31"/>
        <v>-5316586.6072794646</v>
      </c>
      <c r="P157" s="97">
        <f t="shared" si="31"/>
        <v>60173869.510186404</v>
      </c>
      <c r="Q157" s="97">
        <f t="shared" si="31"/>
        <v>115414097.10212383</v>
      </c>
      <c r="R157" s="97">
        <f t="shared" si="31"/>
        <v>-12461667.146441199</v>
      </c>
      <c r="S157" s="105">
        <f t="shared" si="19"/>
        <v>540000222.78812826</v>
      </c>
      <c r="T157" s="467">
        <f t="shared" si="20"/>
        <v>11.720535298073237</v>
      </c>
    </row>
  </sheetData>
  <mergeCells count="114"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S8" sqref="S8:T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761</v>
      </c>
      <c r="H6" s="236" t="s">
        <v>762</v>
      </c>
      <c r="I6" s="236" t="s">
        <v>763</v>
      </c>
      <c r="J6" s="236" t="s">
        <v>764</v>
      </c>
      <c r="K6" s="236" t="s">
        <v>765</v>
      </c>
      <c r="L6" s="236" t="s">
        <v>766</v>
      </c>
      <c r="M6" s="236" t="s">
        <v>767</v>
      </c>
      <c r="N6" s="236" t="s">
        <v>768</v>
      </c>
      <c r="O6" s="236" t="s">
        <v>769</v>
      </c>
      <c r="P6" s="236" t="s">
        <v>770</v>
      </c>
      <c r="Q6" s="236" t="s">
        <v>771</v>
      </c>
      <c r="R6" s="236" t="s">
        <v>772</v>
      </c>
      <c r="S6" s="235"/>
      <c r="T6" s="235"/>
    </row>
    <row r="7" spans="1:20" ht="15" customHeight="1" thickBot="1">
      <c r="A7" s="146"/>
      <c r="B7" s="528" t="str">
        <f>+[1]Master!G251</f>
        <v>Ostvarenje budžeta</v>
      </c>
      <c r="C7" s="509"/>
      <c r="D7" s="509"/>
      <c r="E7" s="509"/>
      <c r="F7" s="509"/>
      <c r="G7" s="517">
        <v>2019</v>
      </c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21"/>
      <c r="S7" s="237" t="str">
        <f>+[1]Master!G248</f>
        <v>BDP</v>
      </c>
      <c r="T7" s="238">
        <v>4907900000</v>
      </c>
    </row>
    <row r="8" spans="1:20" ht="16.5" customHeight="1">
      <c r="A8" s="146"/>
      <c r="B8" s="510"/>
      <c r="C8" s="511"/>
      <c r="D8" s="511"/>
      <c r="E8" s="511"/>
      <c r="F8" s="512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517" t="str">
        <f>+[1]Master!G245</f>
        <v>Jan - Dec</v>
      </c>
      <c r="T8" s="521"/>
    </row>
    <row r="9" spans="1:20" ht="13.5" thickBot="1">
      <c r="A9" s="146"/>
      <c r="B9" s="513"/>
      <c r="C9" s="514"/>
      <c r="D9" s="514"/>
      <c r="E9" s="514"/>
      <c r="F9" s="515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476" t="str">
        <f>+VLOOKUP($A10,[1]Master!$D$27:$G$225,4,FALSE)</f>
        <v>Prihodi budžeta</v>
      </c>
      <c r="C10" s="477"/>
      <c r="D10" s="477"/>
      <c r="E10" s="477"/>
      <c r="F10" s="477"/>
      <c r="G10" s="153">
        <f t="shared" ref="G10:R10" si="1">+G11+G19+SUM(G24:G28)</f>
        <v>107257200.93000001</v>
      </c>
      <c r="H10" s="153">
        <f t="shared" si="1"/>
        <v>116543983.53</v>
      </c>
      <c r="I10" s="153">
        <f t="shared" si="1"/>
        <v>147544399.37</v>
      </c>
      <c r="J10" s="153">
        <f t="shared" si="1"/>
        <v>165044617.93000001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165941160.95000002</v>
      </c>
      <c r="P10" s="153">
        <f t="shared" si="1"/>
        <v>156600980.84999999</v>
      </c>
      <c r="Q10" s="153">
        <f t="shared" si="1"/>
        <v>147278935.88</v>
      </c>
      <c r="R10" s="153">
        <f t="shared" si="1"/>
        <v>243093452.31999999</v>
      </c>
      <c r="S10" s="402">
        <f>+SUM(G10:R10)</f>
        <v>1885130543.5699999</v>
      </c>
      <c r="T10" s="387">
        <f>+S10/$T$7</f>
        <v>0.38410125380916482</v>
      </c>
    </row>
    <row r="11" spans="1:20">
      <c r="A11" s="152">
        <v>711</v>
      </c>
      <c r="B11" s="478" t="str">
        <f>+VLOOKUP($A11,[1]Master!$D$27:$G$225,4,FALSE)</f>
        <v>Porezi</v>
      </c>
      <c r="C11" s="479"/>
      <c r="D11" s="479"/>
      <c r="E11" s="479"/>
      <c r="F11" s="479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5" si="3">+SUM(G11:R11)</f>
        <v>1172748653.1199999</v>
      </c>
      <c r="T11" s="388">
        <f t="shared" ref="T11:T66" si="4">+S11/$T$7</f>
        <v>0.23895121194808369</v>
      </c>
    </row>
    <row r="12" spans="1:20">
      <c r="A12" s="152">
        <v>7111</v>
      </c>
      <c r="B12" s="480" t="str">
        <f>+VLOOKUP($A12,[1]Master!$D$27:$G$225,4,FALSE)</f>
        <v>Porez na dohodak fizičkih lica</v>
      </c>
      <c r="C12" s="481"/>
      <c r="D12" s="481"/>
      <c r="E12" s="481"/>
      <c r="F12" s="481"/>
      <c r="G12" s="165">
        <f>+INDEX([1]DataEx!$1:$1048576,MATCH('2019'!$A12,[1]DataEx!$D:$D,0),MATCH('2019'!G$6,[1]DataEx!$7:$7,0))</f>
        <v>4240913.8099999996</v>
      </c>
      <c r="H12" s="165">
        <f>+INDEX([1]DataEx!$1:$1048576,MATCH('2019'!$A12,[1]DataEx!$D:$D,0),MATCH('2019'!H$6,[1]DataEx!$7:$7,0))</f>
        <v>9361661.1500000004</v>
      </c>
      <c r="I12" s="165">
        <f>+INDEX([1]DataEx!$1:$1048576,MATCH('2019'!$A12,[1]DataEx!$D:$D,0),MATCH('2019'!I$6,[1]DataEx!$7:$7,0))</f>
        <v>9044961.5800000001</v>
      </c>
      <c r="J12" s="165">
        <f>+INDEX([1]DataEx!$1:$1048576,MATCH('2019'!$A12,[1]DataEx!$D:$D,0),MATCH('2019'!J$6,[1]DataEx!$7:$7,0))</f>
        <v>10767101.800000001</v>
      </c>
      <c r="K12" s="165">
        <f>+INDEX([1]DataEx!$1:$1048576,MATCH('2019'!$A12,[1]DataEx!$D:$D,0),MATCH('2019'!K$6,[1]DataEx!$7:$7,0))</f>
        <v>10210712.41</v>
      </c>
      <c r="L12" s="165">
        <f>+INDEX([1]DataEx!$1:$1048576,MATCH('2019'!$A12,[1]DataEx!$D:$D,0),MATCH('2019'!L$6,[1]DataEx!$7:$7,0))</f>
        <v>10125793.029999999</v>
      </c>
      <c r="M12" s="165">
        <f>+INDEX([1]DataEx!$1:$1048576,MATCH('2019'!$A12,[1]DataEx!$D:$D,0),MATCH('2019'!M$6,[1]DataEx!$7:$7,0))</f>
        <v>10986746.67</v>
      </c>
      <c r="N12" s="165">
        <f>+INDEX([1]DataEx!$1:$1048576,MATCH('2019'!$A12,[1]DataEx!$D:$D,0),MATCH('2019'!N$6,[1]DataEx!$7:$7,0))</f>
        <v>10477204.85</v>
      </c>
      <c r="O12" s="165">
        <f>+INDEX([1]DataEx!$1:$1048576,MATCH('2019'!$A12,[1]DataEx!$D:$D,0),MATCH('2019'!O$6,[1]DataEx!$7:$7,0))</f>
        <v>10332018.109999999</v>
      </c>
      <c r="P12" s="165">
        <f>+INDEX([1]DataEx!$1:$1048576,MATCH('2019'!$A12,[1]DataEx!$D:$D,0),MATCH('2019'!P$6,[1]DataEx!$7:$7,0))</f>
        <v>10824900.91</v>
      </c>
      <c r="Q12" s="165">
        <f>+INDEX([1]DataEx!$1:$1048576,MATCH('2019'!$A12,[1]DataEx!$D:$D,0),MATCH('2019'!Q$6,[1]DataEx!$7:$7,0))</f>
        <v>9987863.9000000004</v>
      </c>
      <c r="R12" s="165">
        <f>+INDEX([1]DataEx!$1:$1048576,MATCH('2019'!$A12,[1]DataEx!$D:$D,0),MATCH('2019'!R$6,[1]DataEx!$7:$7,0))</f>
        <v>18641048.940000001</v>
      </c>
      <c r="S12" s="404">
        <f t="shared" si="3"/>
        <v>125000927.16</v>
      </c>
      <c r="T12" s="389">
        <f t="shared" si="4"/>
        <v>2.5469330499806434E-2</v>
      </c>
    </row>
    <row r="13" spans="1:20">
      <c r="A13" s="152">
        <v>7112</v>
      </c>
      <c r="B13" s="480" t="str">
        <f>+VLOOKUP($A13,[1]Master!$D$27:$G$225,4,FALSE)</f>
        <v>Porez na dobit pravnih lica</v>
      </c>
      <c r="C13" s="481"/>
      <c r="D13" s="481"/>
      <c r="E13" s="481"/>
      <c r="F13" s="481"/>
      <c r="G13" s="165">
        <f>+INDEX([1]DataEx!$1:$1048576,MATCH('2019'!$A13,[1]DataEx!$D:$D,0),MATCH('2019'!G$6,[1]DataEx!$7:$7,0))</f>
        <v>936843.13</v>
      </c>
      <c r="H13" s="165">
        <f>+INDEX([1]DataEx!$1:$1048576,MATCH('2019'!$A13,[1]DataEx!$D:$D,0),MATCH('2019'!H$6,[1]DataEx!$7:$7,0))</f>
        <v>1962550.32</v>
      </c>
      <c r="I13" s="165">
        <f>+INDEX([1]DataEx!$1:$1048576,MATCH('2019'!$A13,[1]DataEx!$D:$D,0),MATCH('2019'!I$6,[1]DataEx!$7:$7,0))</f>
        <v>22465664.23</v>
      </c>
      <c r="J13" s="165">
        <f>+INDEX([1]DataEx!$1:$1048576,MATCH('2019'!$A13,[1]DataEx!$D:$D,0),MATCH('2019'!J$6,[1]DataEx!$7:$7,0))</f>
        <v>20408432.98</v>
      </c>
      <c r="K13" s="165">
        <f>+INDEX([1]DataEx!$1:$1048576,MATCH('2019'!$A13,[1]DataEx!$D:$D,0),MATCH('2019'!K$6,[1]DataEx!$7:$7,0))</f>
        <v>4781744.7</v>
      </c>
      <c r="L13" s="165">
        <f>+INDEX([1]DataEx!$1:$1048576,MATCH('2019'!$A13,[1]DataEx!$D:$D,0),MATCH('2019'!L$6,[1]DataEx!$7:$7,0))</f>
        <v>3678815</v>
      </c>
      <c r="M13" s="165">
        <f>+INDEX([1]DataEx!$1:$1048576,MATCH('2019'!$A13,[1]DataEx!$D:$D,0),MATCH('2019'!M$6,[1]DataEx!$7:$7,0))</f>
        <v>3890710.55</v>
      </c>
      <c r="N13" s="165">
        <f>+INDEX([1]DataEx!$1:$1048576,MATCH('2019'!$A13,[1]DataEx!$D:$D,0),MATCH('2019'!N$6,[1]DataEx!$7:$7,0))</f>
        <v>3092994.24</v>
      </c>
      <c r="O13" s="165">
        <f>+INDEX([1]DataEx!$1:$1048576,MATCH('2019'!$A13,[1]DataEx!$D:$D,0),MATCH('2019'!O$6,[1]DataEx!$7:$7,0))</f>
        <v>2242778.35</v>
      </c>
      <c r="P13" s="165">
        <f>+INDEX([1]DataEx!$1:$1048576,MATCH('2019'!$A13,[1]DataEx!$D:$D,0),MATCH('2019'!P$6,[1]DataEx!$7:$7,0))</f>
        <v>690017.25</v>
      </c>
      <c r="Q13" s="165">
        <f>+INDEX([1]DataEx!$1:$1048576,MATCH('2019'!$A13,[1]DataEx!$D:$D,0),MATCH('2019'!Q$6,[1]DataEx!$7:$7,0))</f>
        <v>879657.72</v>
      </c>
      <c r="R13" s="165">
        <f>+INDEX([1]DataEx!$1:$1048576,MATCH('2019'!$A13,[1]DataEx!$D:$D,0),MATCH('2019'!R$6,[1]DataEx!$7:$7,0))</f>
        <v>7785764.6100000003</v>
      </c>
      <c r="S13" s="404">
        <f t="shared" si="3"/>
        <v>72815973.079999998</v>
      </c>
      <c r="T13" s="389">
        <f t="shared" si="4"/>
        <v>1.4836482625970374E-2</v>
      </c>
    </row>
    <row r="14" spans="1:20">
      <c r="A14" s="152">
        <v>7113</v>
      </c>
      <c r="B14" s="480" t="str">
        <f>+VLOOKUP($A14,[1]Master!$D$27:$G$225,4,FALSE)</f>
        <v>Porez na promet nepokretnosti</v>
      </c>
      <c r="C14" s="481"/>
      <c r="D14" s="481"/>
      <c r="E14" s="481"/>
      <c r="F14" s="481"/>
      <c r="G14" s="165">
        <f>+INDEX([1]DataEx!$1:$1048576,MATCH('2019'!$A14,[1]DataEx!$D:$D,0),MATCH('2019'!G$6,[1]DataEx!$7:$7,0))</f>
        <v>118243.45</v>
      </c>
      <c r="H14" s="165">
        <f>+INDEX([1]DataEx!$1:$1048576,MATCH('2019'!$A14,[1]DataEx!$D:$D,0),MATCH('2019'!H$6,[1]DataEx!$7:$7,0))</f>
        <v>169568.16</v>
      </c>
      <c r="I14" s="165">
        <f>+INDEX([1]DataEx!$1:$1048576,MATCH('2019'!$A14,[1]DataEx!$D:$D,0),MATCH('2019'!I$6,[1]DataEx!$7:$7,0))</f>
        <v>146352.49</v>
      </c>
      <c r="J14" s="165">
        <f>+INDEX([1]DataEx!$1:$1048576,MATCH('2019'!$A14,[1]DataEx!$D:$D,0),MATCH('2019'!J$6,[1]DataEx!$7:$7,0))</f>
        <v>204359.36</v>
      </c>
      <c r="K14" s="165">
        <f>+INDEX([1]DataEx!$1:$1048576,MATCH('2019'!$A14,[1]DataEx!$D:$D,0),MATCH('2019'!K$6,[1]DataEx!$7:$7,0))</f>
        <v>147510.5</v>
      </c>
      <c r="L14" s="165">
        <f>+INDEX([1]DataEx!$1:$1048576,MATCH('2019'!$A14,[1]DataEx!$D:$D,0),MATCH('2019'!L$6,[1]DataEx!$7:$7,0))</f>
        <v>158253.64000000001</v>
      </c>
      <c r="M14" s="165">
        <f>+INDEX([1]DataEx!$1:$1048576,MATCH('2019'!$A14,[1]DataEx!$D:$D,0),MATCH('2019'!M$6,[1]DataEx!$7:$7,0))</f>
        <v>152687.82</v>
      </c>
      <c r="N14" s="165">
        <f>+INDEX([1]DataEx!$1:$1048576,MATCH('2019'!$A14,[1]DataEx!$D:$D,0),MATCH('2019'!N$6,[1]DataEx!$7:$7,0))</f>
        <v>172408.19</v>
      </c>
      <c r="O14" s="165">
        <f>+INDEX([1]DataEx!$1:$1048576,MATCH('2019'!$A14,[1]DataEx!$D:$D,0),MATCH('2019'!O$6,[1]DataEx!$7:$7,0))</f>
        <v>131658.57</v>
      </c>
      <c r="P14" s="165">
        <f>+INDEX([1]DataEx!$1:$1048576,MATCH('2019'!$A14,[1]DataEx!$D:$D,0),MATCH('2019'!P$6,[1]DataEx!$7:$7,0))</f>
        <v>174049.01</v>
      </c>
      <c r="Q14" s="165">
        <f>+INDEX([1]DataEx!$1:$1048576,MATCH('2019'!$A14,[1]DataEx!$D:$D,0),MATCH('2019'!Q$6,[1]DataEx!$7:$7,0))</f>
        <v>172799.49</v>
      </c>
      <c r="R14" s="165">
        <f>+INDEX([1]DataEx!$1:$1048576,MATCH('2019'!$A14,[1]DataEx!$D:$D,0),MATCH('2019'!R$6,[1]DataEx!$7:$7,0))</f>
        <v>289363.09000000003</v>
      </c>
      <c r="S14" s="404">
        <f t="shared" si="3"/>
        <v>2037253.77</v>
      </c>
      <c r="T14" s="389">
        <f t="shared" si="4"/>
        <v>4.1509683775138042E-4</v>
      </c>
    </row>
    <row r="15" spans="1:20">
      <c r="A15" s="152">
        <v>7114</v>
      </c>
      <c r="B15" s="480" t="str">
        <f>+VLOOKUP($A15,[1]Master!$D$27:$G$225,4,FALSE)</f>
        <v>Porez na dodatu vrijednost</v>
      </c>
      <c r="C15" s="481"/>
      <c r="D15" s="481"/>
      <c r="E15" s="481"/>
      <c r="F15" s="481"/>
      <c r="G15" s="165">
        <f>+INDEX([1]DataEx!$1:$1048576,MATCH('2019'!$A15,[1]DataEx!$D:$D,0),MATCH('2019'!G$6,[1]DataEx!$7:$7,0))</f>
        <v>49847223.18</v>
      </c>
      <c r="H15" s="165">
        <f>+INDEX([1]DataEx!$1:$1048576,MATCH('2019'!$A15,[1]DataEx!$D:$D,0),MATCH('2019'!H$6,[1]DataEx!$7:$7,0))</f>
        <v>38958365.399999999</v>
      </c>
      <c r="I15" s="165">
        <f>+INDEX([1]DataEx!$1:$1048576,MATCH('2019'!$A15,[1]DataEx!$D:$D,0),MATCH('2019'!I$6,[1]DataEx!$7:$7,0))</f>
        <v>50498218.18</v>
      </c>
      <c r="J15" s="165">
        <f>+INDEX([1]DataEx!$1:$1048576,MATCH('2019'!$A15,[1]DataEx!$D:$D,0),MATCH('2019'!J$6,[1]DataEx!$7:$7,0))</f>
        <v>55142838.460000001</v>
      </c>
      <c r="K15" s="165">
        <f>+INDEX([1]DataEx!$1:$1048576,MATCH('2019'!$A15,[1]DataEx!$D:$D,0),MATCH('2019'!K$6,[1]DataEx!$7:$7,0))</f>
        <v>56428341.859999999</v>
      </c>
      <c r="L15" s="165">
        <f>+INDEX([1]DataEx!$1:$1048576,MATCH('2019'!$A15,[1]DataEx!$D:$D,0),MATCH('2019'!L$6,[1]DataEx!$7:$7,0))</f>
        <v>52810087.229999997</v>
      </c>
      <c r="M15" s="165">
        <f>+INDEX([1]DataEx!$1:$1048576,MATCH('2019'!$A15,[1]DataEx!$D:$D,0),MATCH('2019'!M$6,[1]DataEx!$7:$7,0))</f>
        <v>71626480.939999998</v>
      </c>
      <c r="N15" s="165">
        <f>+INDEX([1]DataEx!$1:$1048576,MATCH('2019'!$A15,[1]DataEx!$D:$D,0),MATCH('2019'!N$6,[1]DataEx!$7:$7,0))</f>
        <v>71690318.180000007</v>
      </c>
      <c r="O15" s="165">
        <f>+INDEX([1]DataEx!$1:$1048576,MATCH('2019'!$A15,[1]DataEx!$D:$D,0),MATCH('2019'!O$6,[1]DataEx!$7:$7,0))</f>
        <v>70816309.909999996</v>
      </c>
      <c r="P15" s="165">
        <f>+INDEX([1]DataEx!$1:$1048576,MATCH('2019'!$A15,[1]DataEx!$D:$D,0),MATCH('2019'!P$6,[1]DataEx!$7:$7,0))</f>
        <v>65908952.759999998</v>
      </c>
      <c r="Q15" s="165">
        <f>+INDEX([1]DataEx!$1:$1048576,MATCH('2019'!$A15,[1]DataEx!$D:$D,0),MATCH('2019'!Q$6,[1]DataEx!$7:$7,0))</f>
        <v>54764641.939999998</v>
      </c>
      <c r="R15" s="165">
        <f>+INDEX([1]DataEx!$1:$1048576,MATCH('2019'!$A15,[1]DataEx!$D:$D,0),MATCH('2019'!R$6,[1]DataEx!$7:$7,0))</f>
        <v>57237175.490000002</v>
      </c>
      <c r="S15" s="404">
        <f t="shared" si="3"/>
        <v>695728953.52999997</v>
      </c>
      <c r="T15" s="389">
        <f t="shared" si="4"/>
        <v>0.14175695379490208</v>
      </c>
    </row>
    <row r="16" spans="1:20">
      <c r="A16" s="152">
        <v>7115</v>
      </c>
      <c r="B16" s="480" t="str">
        <f>+VLOOKUP($A16,[1]Master!$D$27:$G$225,4,FALSE)</f>
        <v>Akcize</v>
      </c>
      <c r="C16" s="481"/>
      <c r="D16" s="481"/>
      <c r="E16" s="481"/>
      <c r="F16" s="481"/>
      <c r="G16" s="165">
        <f>+INDEX([1]DataEx!$1:$1048576,MATCH('2019'!$A16,[1]DataEx!$D:$D,0),MATCH('2019'!G$6,[1]DataEx!$7:$7,0))</f>
        <v>15141217.210000001</v>
      </c>
      <c r="H16" s="165">
        <f>+INDEX([1]DataEx!$1:$1048576,MATCH('2019'!$A16,[1]DataEx!$D:$D,0),MATCH('2019'!H$6,[1]DataEx!$7:$7,0))</f>
        <v>13186126.23</v>
      </c>
      <c r="I16" s="165">
        <f>+INDEX([1]DataEx!$1:$1048576,MATCH('2019'!$A16,[1]DataEx!$D:$D,0),MATCH('2019'!I$6,[1]DataEx!$7:$7,0))</f>
        <v>13315087.640000001</v>
      </c>
      <c r="J16" s="165">
        <f>+INDEX([1]DataEx!$1:$1048576,MATCH('2019'!$A16,[1]DataEx!$D:$D,0),MATCH('2019'!J$6,[1]DataEx!$7:$7,0))</f>
        <v>16826313.73</v>
      </c>
      <c r="K16" s="165">
        <f>+INDEX([1]DataEx!$1:$1048576,MATCH('2019'!$A16,[1]DataEx!$D:$D,0),MATCH('2019'!K$6,[1]DataEx!$7:$7,0))</f>
        <v>19442485.359999999</v>
      </c>
      <c r="L16" s="165">
        <f>+INDEX([1]DataEx!$1:$1048576,MATCH('2019'!$A16,[1]DataEx!$D:$D,0),MATCH('2019'!L$6,[1]DataEx!$7:$7,0))</f>
        <v>19205497.870000001</v>
      </c>
      <c r="M16" s="165">
        <f>+INDEX([1]DataEx!$1:$1048576,MATCH('2019'!$A16,[1]DataEx!$D:$D,0),MATCH('2019'!M$6,[1]DataEx!$7:$7,0))</f>
        <v>24612824.059999999</v>
      </c>
      <c r="N16" s="165">
        <f>+INDEX([1]DataEx!$1:$1048576,MATCH('2019'!$A16,[1]DataEx!$D:$D,0),MATCH('2019'!N$6,[1]DataEx!$7:$7,0))</f>
        <v>29562766.32</v>
      </c>
      <c r="O16" s="165">
        <f>+INDEX([1]DataEx!$1:$1048576,MATCH('2019'!$A16,[1]DataEx!$D:$D,0),MATCH('2019'!O$6,[1]DataEx!$7:$7,0))</f>
        <v>27417042.280000001</v>
      </c>
      <c r="P16" s="165">
        <f>+INDEX([1]DataEx!$1:$1048576,MATCH('2019'!$A16,[1]DataEx!$D:$D,0),MATCH('2019'!P$6,[1]DataEx!$7:$7,0))</f>
        <v>20585777.449999999</v>
      </c>
      <c r="Q16" s="165">
        <f>+INDEX([1]DataEx!$1:$1048576,MATCH('2019'!$A16,[1]DataEx!$D:$D,0),MATCH('2019'!Q$6,[1]DataEx!$7:$7,0))</f>
        <v>18663851.199999999</v>
      </c>
      <c r="R16" s="165">
        <f>+INDEX([1]DataEx!$1:$1048576,MATCH('2019'!$A16,[1]DataEx!$D:$D,0),MATCH('2019'!R$6,[1]DataEx!$7:$7,0))</f>
        <v>17559308.390000001</v>
      </c>
      <c r="S16" s="404">
        <f t="shared" si="3"/>
        <v>235518297.74000001</v>
      </c>
      <c r="T16" s="389">
        <f t="shared" si="4"/>
        <v>4.798759097373622E-2</v>
      </c>
    </row>
    <row r="17" spans="1:25">
      <c r="A17" s="152">
        <v>7116</v>
      </c>
      <c r="B17" s="480" t="str">
        <f>+VLOOKUP($A17,[1]Master!$D$27:$G$225,4,FALSE)</f>
        <v>Porez na međunarodnu trgovinu i transakcije</v>
      </c>
      <c r="C17" s="481"/>
      <c r="D17" s="481"/>
      <c r="E17" s="481"/>
      <c r="F17" s="481"/>
      <c r="G17" s="165">
        <f>+INDEX([1]DataEx!$1:$1048576,MATCH('2019'!$A17,[1]DataEx!$D:$D,0),MATCH('2019'!G$6,[1]DataEx!$7:$7,0))</f>
        <v>1424968.68</v>
      </c>
      <c r="H17" s="165">
        <f>+INDEX([1]DataEx!$1:$1048576,MATCH('2019'!$A17,[1]DataEx!$D:$D,0),MATCH('2019'!H$6,[1]DataEx!$7:$7,0))</f>
        <v>1733788.33</v>
      </c>
      <c r="I17" s="165">
        <f>+INDEX([1]DataEx!$1:$1048576,MATCH('2019'!$A17,[1]DataEx!$D:$D,0),MATCH('2019'!I$6,[1]DataEx!$7:$7,0))</f>
        <v>2462209.73</v>
      </c>
      <c r="J17" s="165">
        <f>+INDEX([1]DataEx!$1:$1048576,MATCH('2019'!$A17,[1]DataEx!$D:$D,0),MATCH('2019'!J$6,[1]DataEx!$7:$7,0))</f>
        <v>2531899.16</v>
      </c>
      <c r="K17" s="165">
        <f>+INDEX([1]DataEx!$1:$1048576,MATCH('2019'!$A17,[1]DataEx!$D:$D,0),MATCH('2019'!K$6,[1]DataEx!$7:$7,0))</f>
        <v>2502520.2799999998</v>
      </c>
      <c r="L17" s="165">
        <f>+INDEX([1]DataEx!$1:$1048576,MATCH('2019'!$A17,[1]DataEx!$D:$D,0),MATCH('2019'!L$6,[1]DataEx!$7:$7,0))</f>
        <v>2485583.9700000002</v>
      </c>
      <c r="M17" s="165">
        <f>+INDEX([1]DataEx!$1:$1048576,MATCH('2019'!$A17,[1]DataEx!$D:$D,0),MATCH('2019'!M$6,[1]DataEx!$7:$7,0))</f>
        <v>3088089.4</v>
      </c>
      <c r="N17" s="165">
        <f>+INDEX([1]DataEx!$1:$1048576,MATCH('2019'!$A17,[1]DataEx!$D:$D,0),MATCH('2019'!N$6,[1]DataEx!$7:$7,0))</f>
        <v>2788700.72</v>
      </c>
      <c r="O17" s="165">
        <f>+INDEX([1]DataEx!$1:$1048576,MATCH('2019'!$A17,[1]DataEx!$D:$D,0),MATCH('2019'!O$6,[1]DataEx!$7:$7,0))</f>
        <v>2553125.85</v>
      </c>
      <c r="P17" s="165">
        <f>+INDEX([1]DataEx!$1:$1048576,MATCH('2019'!$A17,[1]DataEx!$D:$D,0),MATCH('2019'!P$6,[1]DataEx!$7:$7,0))</f>
        <v>2492699.6800000002</v>
      </c>
      <c r="Q17" s="165">
        <f>+INDEX([1]DataEx!$1:$1048576,MATCH('2019'!$A17,[1]DataEx!$D:$D,0),MATCH('2019'!Q$6,[1]DataEx!$7:$7,0))</f>
        <v>2023761.96</v>
      </c>
      <c r="R17" s="165">
        <f>+INDEX([1]DataEx!$1:$1048576,MATCH('2019'!$A17,[1]DataEx!$D:$D,0),MATCH('2019'!R$6,[1]DataEx!$7:$7,0))</f>
        <v>2439192.98</v>
      </c>
      <c r="S17" s="404">
        <f t="shared" si="3"/>
        <v>28526540.740000002</v>
      </c>
      <c r="T17" s="389">
        <f t="shared" si="4"/>
        <v>5.8123720409951306E-3</v>
      </c>
    </row>
    <row r="18" spans="1:25">
      <c r="A18" s="152">
        <v>7118</v>
      </c>
      <c r="B18" s="480" t="str">
        <f>+VLOOKUP($A18,[1]Master!$D$27:$G$225,4,FALSE)</f>
        <v>Ostali državni porezi</v>
      </c>
      <c r="C18" s="481"/>
      <c r="D18" s="481"/>
      <c r="E18" s="481"/>
      <c r="F18" s="481"/>
      <c r="G18" s="165">
        <f>+INDEX([1]DataEx!$1:$1048576,MATCH('2019'!$A18,[1]DataEx!$D:$D,0),MATCH('2019'!G$6,[1]DataEx!$7:$7,0))</f>
        <v>720320.96</v>
      </c>
      <c r="H18" s="165">
        <f>+INDEX([1]DataEx!$1:$1048576,MATCH('2019'!$A18,[1]DataEx!$D:$D,0),MATCH('2019'!H$6,[1]DataEx!$7:$7,0))</f>
        <v>3098848.85</v>
      </c>
      <c r="I18" s="165">
        <f>+INDEX([1]DataEx!$1:$1048576,MATCH('2019'!$A18,[1]DataEx!$D:$D,0),MATCH('2019'!I$6,[1]DataEx!$7:$7,0))</f>
        <v>777051.66</v>
      </c>
      <c r="J18" s="165">
        <f>+INDEX([1]DataEx!$1:$1048576,MATCH('2019'!$A18,[1]DataEx!$D:$D,0),MATCH('2019'!J$6,[1]DataEx!$7:$7,0))</f>
        <v>910873.03</v>
      </c>
      <c r="K18" s="165">
        <f>+INDEX([1]DataEx!$1:$1048576,MATCH('2019'!$A18,[1]DataEx!$D:$D,0),MATCH('2019'!K$6,[1]DataEx!$7:$7,0))</f>
        <v>858869.92</v>
      </c>
      <c r="L18" s="165">
        <f>+INDEX([1]DataEx!$1:$1048576,MATCH('2019'!$A18,[1]DataEx!$D:$D,0),MATCH('2019'!L$6,[1]DataEx!$7:$7,0))</f>
        <v>925408.95</v>
      </c>
      <c r="M18" s="165">
        <f>+INDEX([1]DataEx!$1:$1048576,MATCH('2019'!$A18,[1]DataEx!$D:$D,0),MATCH('2019'!M$6,[1]DataEx!$7:$7,0))</f>
        <v>1005932.01</v>
      </c>
      <c r="N18" s="165">
        <f>+INDEX([1]DataEx!$1:$1048576,MATCH('2019'!$A18,[1]DataEx!$D:$D,0),MATCH('2019'!N$6,[1]DataEx!$7:$7,0))</f>
        <v>1032698.94</v>
      </c>
      <c r="O18" s="165">
        <f>+INDEX([1]DataEx!$1:$1048576,MATCH('2019'!$A18,[1]DataEx!$D:$D,0),MATCH('2019'!O$6,[1]DataEx!$7:$7,0))</f>
        <v>1007337.9</v>
      </c>
      <c r="P18" s="165">
        <f>+INDEX([1]DataEx!$1:$1048576,MATCH('2019'!$A18,[1]DataEx!$D:$D,0),MATCH('2019'!P$6,[1]DataEx!$7:$7,0))</f>
        <v>924594.05</v>
      </c>
      <c r="Q18" s="165">
        <f>+INDEX([1]DataEx!$1:$1048576,MATCH('2019'!$A18,[1]DataEx!$D:$D,0),MATCH('2019'!Q$6,[1]DataEx!$7:$7,0))</f>
        <v>976013.74</v>
      </c>
      <c r="R18" s="165">
        <f>+INDEX([1]DataEx!$1:$1048576,MATCH('2019'!$A18,[1]DataEx!$D:$D,0),MATCH('2019'!R$6,[1]DataEx!$7:$7,0))</f>
        <v>882757.09</v>
      </c>
      <c r="S18" s="404">
        <f t="shared" si="3"/>
        <v>13120707.100000001</v>
      </c>
      <c r="T18" s="389">
        <f t="shared" si="4"/>
        <v>2.6733851749220646E-3</v>
      </c>
    </row>
    <row r="19" spans="1:25">
      <c r="A19" s="152">
        <v>712</v>
      </c>
      <c r="B19" s="484" t="str">
        <f>+VLOOKUP($A19,[1]Master!$D$27:$G$225,4,FALSE)</f>
        <v>Doprinosi</v>
      </c>
      <c r="C19" s="485"/>
      <c r="D19" s="485"/>
      <c r="E19" s="485"/>
      <c r="F19" s="485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0.11130336171071131</v>
      </c>
    </row>
    <row r="20" spans="1:25">
      <c r="A20" s="152">
        <v>7121</v>
      </c>
      <c r="B20" s="480" t="str">
        <f>+VLOOKUP($A20,[1]Master!$D$27:$G$225,4,FALSE)</f>
        <v>Doprinosi za penzijsko i invalidsko osiguranje</v>
      </c>
      <c r="C20" s="481"/>
      <c r="D20" s="481"/>
      <c r="E20" s="481"/>
      <c r="F20" s="481"/>
      <c r="G20" s="165">
        <f>+INDEX([1]DataEx!$1:$1048576,MATCH('2019'!$A20,[1]DataEx!$D:$D,0),MATCH('2019'!G$6,[1]DataEx!$7:$7,0))</f>
        <v>9695765.5800000001</v>
      </c>
      <c r="H20" s="165">
        <f>+INDEX([1]DataEx!$1:$1048576,MATCH('2019'!$A20,[1]DataEx!$D:$D,0),MATCH('2019'!H$6,[1]DataEx!$7:$7,0))</f>
        <v>24593790.260000002</v>
      </c>
      <c r="I20" s="165">
        <f>+INDEX([1]DataEx!$1:$1048576,MATCH('2019'!$A20,[1]DataEx!$D:$D,0),MATCH('2019'!I$6,[1]DataEx!$7:$7,0))</f>
        <v>23923752.719999999</v>
      </c>
      <c r="J20" s="165">
        <f>+INDEX([1]DataEx!$1:$1048576,MATCH('2019'!$A20,[1]DataEx!$D:$D,0),MATCH('2019'!J$6,[1]DataEx!$7:$7,0))</f>
        <v>29650595.870000001</v>
      </c>
      <c r="K20" s="165">
        <f>+INDEX([1]DataEx!$1:$1048576,MATCH('2019'!$A20,[1]DataEx!$D:$D,0),MATCH('2019'!K$6,[1]DataEx!$7:$7,0))</f>
        <v>22104934.850000001</v>
      </c>
      <c r="L20" s="165">
        <f>+INDEX([1]DataEx!$1:$1048576,MATCH('2019'!$A20,[1]DataEx!$D:$D,0),MATCH('2019'!L$6,[1]DataEx!$7:$7,0))</f>
        <v>27009559.609999999</v>
      </c>
      <c r="M20" s="165">
        <f>+INDEX([1]DataEx!$1:$1048576,MATCH('2019'!$A20,[1]DataEx!$D:$D,0),MATCH('2019'!M$6,[1]DataEx!$7:$7,0))</f>
        <v>28964205.43</v>
      </c>
      <c r="N20" s="165">
        <f>+INDEX([1]DataEx!$1:$1048576,MATCH('2019'!$A20,[1]DataEx!$D:$D,0),MATCH('2019'!N$6,[1]DataEx!$7:$7,0))</f>
        <v>27519220.43</v>
      </c>
      <c r="O20" s="165">
        <f>+INDEX([1]DataEx!$1:$1048576,MATCH('2019'!$A20,[1]DataEx!$D:$D,0),MATCH('2019'!O$6,[1]DataEx!$7:$7,0))</f>
        <v>26730921.559999999</v>
      </c>
      <c r="P20" s="165">
        <f>+INDEX([1]DataEx!$1:$1048576,MATCH('2019'!$A20,[1]DataEx!$D:$D,0),MATCH('2019'!P$6,[1]DataEx!$7:$7,0))</f>
        <v>28563512.620000001</v>
      </c>
      <c r="Q20" s="165">
        <f>+INDEX([1]DataEx!$1:$1048576,MATCH('2019'!$A20,[1]DataEx!$D:$D,0),MATCH('2019'!Q$6,[1]DataEx!$7:$7,0))</f>
        <v>27240325.079999998</v>
      </c>
      <c r="R20" s="165">
        <f>+INDEX([1]DataEx!$1:$1048576,MATCH('2019'!$A20,[1]DataEx!$D:$D,0),MATCH('2019'!R$6,[1]DataEx!$7:$7,0))</f>
        <v>53184840.350000001</v>
      </c>
      <c r="S20" s="404">
        <f>+SUM(G20:R20)</f>
        <v>329181424.36000001</v>
      </c>
      <c r="T20" s="389">
        <f t="shared" si="4"/>
        <v>6.7071746441451544E-2</v>
      </c>
    </row>
    <row r="21" spans="1:25">
      <c r="A21" s="152">
        <v>7122</v>
      </c>
      <c r="B21" s="480" t="str">
        <f>+VLOOKUP($A21,[1]Master!$D$27:$G$225,4,FALSE)</f>
        <v>Doprinosi za zdravstveno osiguranje</v>
      </c>
      <c r="C21" s="481"/>
      <c r="D21" s="481"/>
      <c r="E21" s="481"/>
      <c r="F21" s="481"/>
      <c r="G21" s="165">
        <f>+INDEX([1]DataEx!$1:$1048576,MATCH('2019'!$A21,[1]DataEx!$D:$D,0),MATCH('2019'!G$6,[1]DataEx!$7:$7,0))</f>
        <v>5963049.2000000002</v>
      </c>
      <c r="H21" s="165">
        <f>+INDEX([1]DataEx!$1:$1048576,MATCH('2019'!$A21,[1]DataEx!$D:$D,0),MATCH('2019'!H$6,[1]DataEx!$7:$7,0))</f>
        <v>15122476.890000001</v>
      </c>
      <c r="I21" s="165">
        <f>+INDEX([1]DataEx!$1:$1048576,MATCH('2019'!$A21,[1]DataEx!$D:$D,0),MATCH('2019'!I$6,[1]DataEx!$7:$7,0))</f>
        <v>14777265.789999999</v>
      </c>
      <c r="J21" s="165">
        <f>+INDEX([1]DataEx!$1:$1048576,MATCH('2019'!$A21,[1]DataEx!$D:$D,0),MATCH('2019'!J$6,[1]DataEx!$7:$7,0))</f>
        <v>17925167.550000001</v>
      </c>
      <c r="K21" s="165">
        <f>+INDEX([1]DataEx!$1:$1048576,MATCH('2019'!$A21,[1]DataEx!$D:$D,0),MATCH('2019'!K$6,[1]DataEx!$7:$7,0))</f>
        <v>13458982.5</v>
      </c>
      <c r="L21" s="165">
        <f>+INDEX([1]DataEx!$1:$1048576,MATCH('2019'!$A21,[1]DataEx!$D:$D,0),MATCH('2019'!L$6,[1]DataEx!$7:$7,0))</f>
        <v>15925774.34</v>
      </c>
      <c r="M21" s="165">
        <f>+INDEX([1]DataEx!$1:$1048576,MATCH('2019'!$A21,[1]DataEx!$D:$D,0),MATCH('2019'!M$6,[1]DataEx!$7:$7,0))</f>
        <v>17203285.449999999</v>
      </c>
      <c r="N21" s="165">
        <f>+INDEX([1]DataEx!$1:$1048576,MATCH('2019'!$A21,[1]DataEx!$D:$D,0),MATCH('2019'!N$6,[1]DataEx!$7:$7,0))</f>
        <v>15860674.26</v>
      </c>
      <c r="O21" s="165">
        <f>+INDEX([1]DataEx!$1:$1048576,MATCH('2019'!$A21,[1]DataEx!$D:$D,0),MATCH('2019'!O$6,[1]DataEx!$7:$7,0))</f>
        <v>14501660.91</v>
      </c>
      <c r="P21" s="165">
        <f>+INDEX([1]DataEx!$1:$1048576,MATCH('2019'!$A21,[1]DataEx!$D:$D,0),MATCH('2019'!P$6,[1]DataEx!$7:$7,0))</f>
        <v>15344312.359999999</v>
      </c>
      <c r="Q21" s="165">
        <f>+INDEX([1]DataEx!$1:$1048576,MATCH('2019'!$A21,[1]DataEx!$D:$D,0),MATCH('2019'!Q$6,[1]DataEx!$7:$7,0))</f>
        <v>14381893.27</v>
      </c>
      <c r="R21" s="165">
        <f>+INDEX([1]DataEx!$1:$1048576,MATCH('2019'!$A21,[1]DataEx!$D:$D,0),MATCH('2019'!R$6,[1]DataEx!$7:$7,0))</f>
        <v>27283965.91</v>
      </c>
      <c r="S21" s="404">
        <f t="shared" si="3"/>
        <v>187748508.43000001</v>
      </c>
      <c r="T21" s="389">
        <f t="shared" si="4"/>
        <v>3.8254346753193835E-2</v>
      </c>
    </row>
    <row r="22" spans="1:25">
      <c r="A22" s="152">
        <v>7123</v>
      </c>
      <c r="B22" s="480" t="str">
        <f>+VLOOKUP($A22,[1]Master!$D$27:$G$225,4,FALSE)</f>
        <v>Doprinosi za osiguranje od nezaposlenosti</v>
      </c>
      <c r="C22" s="481"/>
      <c r="D22" s="481"/>
      <c r="E22" s="481"/>
      <c r="F22" s="481"/>
      <c r="G22" s="165">
        <f>+INDEX([1]DataEx!$1:$1048576,MATCH('2019'!$A22,[1]DataEx!$D:$D,0),MATCH('2019'!G$6,[1]DataEx!$7:$7,0))</f>
        <v>459881.42</v>
      </c>
      <c r="H22" s="165">
        <f>+INDEX([1]DataEx!$1:$1048576,MATCH('2019'!$A22,[1]DataEx!$D:$D,0),MATCH('2019'!H$6,[1]DataEx!$7:$7,0))</f>
        <v>1160315.8500000001</v>
      </c>
      <c r="I22" s="165">
        <f>+INDEX([1]DataEx!$1:$1048576,MATCH('2019'!$A22,[1]DataEx!$D:$D,0),MATCH('2019'!I$6,[1]DataEx!$7:$7,0))</f>
        <v>1135767.8899999999</v>
      </c>
      <c r="J22" s="165">
        <f>+INDEX([1]DataEx!$1:$1048576,MATCH('2019'!$A22,[1]DataEx!$D:$D,0),MATCH('2019'!J$6,[1]DataEx!$7:$7,0))</f>
        <v>1375720.59</v>
      </c>
      <c r="K22" s="165">
        <f>+INDEX([1]DataEx!$1:$1048576,MATCH('2019'!$A22,[1]DataEx!$D:$D,0),MATCH('2019'!K$6,[1]DataEx!$7:$7,0))</f>
        <v>1026106.03</v>
      </c>
      <c r="L22" s="165">
        <f>+INDEX([1]DataEx!$1:$1048576,MATCH('2019'!$A22,[1]DataEx!$D:$D,0),MATCH('2019'!L$6,[1]DataEx!$7:$7,0))</f>
        <v>1222753.49</v>
      </c>
      <c r="M22" s="165">
        <f>+INDEX([1]DataEx!$1:$1048576,MATCH('2019'!$A22,[1]DataEx!$D:$D,0),MATCH('2019'!M$6,[1]DataEx!$7:$7,0))</f>
        <v>1316999.83</v>
      </c>
      <c r="N22" s="165">
        <f>+INDEX([1]DataEx!$1:$1048576,MATCH('2019'!$A22,[1]DataEx!$D:$D,0),MATCH('2019'!N$6,[1]DataEx!$7:$7,0))</f>
        <v>1256512.28</v>
      </c>
      <c r="O22" s="165">
        <f>+INDEX([1]DataEx!$1:$1048576,MATCH('2019'!$A22,[1]DataEx!$D:$D,0),MATCH('2019'!O$6,[1]DataEx!$7:$7,0))</f>
        <v>1242677.57</v>
      </c>
      <c r="P22" s="165">
        <f>+INDEX([1]DataEx!$1:$1048576,MATCH('2019'!$A22,[1]DataEx!$D:$D,0),MATCH('2019'!P$6,[1]DataEx!$7:$7,0))</f>
        <v>1311319.78</v>
      </c>
      <c r="Q22" s="165">
        <f>+INDEX([1]DataEx!$1:$1048576,MATCH('2019'!$A22,[1]DataEx!$D:$D,0),MATCH('2019'!Q$6,[1]DataEx!$7:$7,0))</f>
        <v>1232927.92</v>
      </c>
      <c r="R22" s="165">
        <f>+INDEX([1]DataEx!$1:$1048576,MATCH('2019'!$A22,[1]DataEx!$D:$D,0),MATCH('2019'!R$6,[1]DataEx!$7:$7,0))</f>
        <v>2381170.7999999998</v>
      </c>
      <c r="S22" s="404">
        <f t="shared" si="3"/>
        <v>15122153.449999999</v>
      </c>
      <c r="T22" s="389">
        <f t="shared" si="4"/>
        <v>3.081186138674382E-3</v>
      </c>
    </row>
    <row r="23" spans="1:25">
      <c r="A23" s="152">
        <v>7124</v>
      </c>
      <c r="B23" s="480" t="str">
        <f>+VLOOKUP($A23,[1]Master!$D$27:$G$225,4,FALSE)</f>
        <v>Ostali doprinosi</v>
      </c>
      <c r="C23" s="481"/>
      <c r="D23" s="481"/>
      <c r="E23" s="481"/>
      <c r="F23" s="481"/>
      <c r="G23" s="165">
        <f>+INDEX([1]DataEx!$1:$1048576,MATCH('2019'!$A23,[1]DataEx!$D:$D,0),MATCH('2019'!G$6,[1]DataEx!$7:$7,0))</f>
        <v>380185.28</v>
      </c>
      <c r="H23" s="165">
        <f>+INDEX([1]DataEx!$1:$1048576,MATCH('2019'!$A23,[1]DataEx!$D:$D,0),MATCH('2019'!H$6,[1]DataEx!$7:$7,0))</f>
        <v>1035686.38</v>
      </c>
      <c r="I23" s="165">
        <f>+INDEX([1]DataEx!$1:$1048576,MATCH('2019'!$A23,[1]DataEx!$D:$D,0),MATCH('2019'!I$6,[1]DataEx!$7:$7,0))</f>
        <v>1210812.78</v>
      </c>
      <c r="J23" s="165">
        <f>+INDEX([1]DataEx!$1:$1048576,MATCH('2019'!$A23,[1]DataEx!$D:$D,0),MATCH('2019'!J$6,[1]DataEx!$7:$7,0))</f>
        <v>1339504.93</v>
      </c>
      <c r="K23" s="165">
        <f>+INDEX([1]DataEx!$1:$1048576,MATCH('2019'!$A23,[1]DataEx!$D:$D,0),MATCH('2019'!K$6,[1]DataEx!$7:$7,0))</f>
        <v>906261.75</v>
      </c>
      <c r="L23" s="165">
        <f>+INDEX([1]DataEx!$1:$1048576,MATCH('2019'!$A23,[1]DataEx!$D:$D,0),MATCH('2019'!L$6,[1]DataEx!$7:$7,0))</f>
        <v>1122699.07</v>
      </c>
      <c r="M23" s="165">
        <f>+INDEX([1]DataEx!$1:$1048576,MATCH('2019'!$A23,[1]DataEx!$D:$D,0),MATCH('2019'!M$6,[1]DataEx!$7:$7,0))</f>
        <v>1177648.73</v>
      </c>
      <c r="N23" s="165">
        <f>+INDEX([1]DataEx!$1:$1048576,MATCH('2019'!$A23,[1]DataEx!$D:$D,0),MATCH('2019'!N$6,[1]DataEx!$7:$7,0))</f>
        <v>1134338.8700000001</v>
      </c>
      <c r="O23" s="165">
        <f>+INDEX([1]DataEx!$1:$1048576,MATCH('2019'!$A23,[1]DataEx!$D:$D,0),MATCH('2019'!O$6,[1]DataEx!$7:$7,0))</f>
        <v>1136086.4099999999</v>
      </c>
      <c r="P23" s="165">
        <f>+INDEX([1]DataEx!$1:$1048576,MATCH('2019'!$A23,[1]DataEx!$D:$D,0),MATCH('2019'!P$6,[1]DataEx!$7:$7,0))</f>
        <v>1268502.9099999999</v>
      </c>
      <c r="Q23" s="165">
        <f>+INDEX([1]DataEx!$1:$1048576,MATCH('2019'!$A23,[1]DataEx!$D:$D,0),MATCH('2019'!Q$6,[1]DataEx!$7:$7,0))</f>
        <v>1172038.0900000001</v>
      </c>
      <c r="R23" s="165">
        <f>+INDEX([1]DataEx!$1:$1048576,MATCH('2019'!$A23,[1]DataEx!$D:$D,0),MATCH('2019'!R$6,[1]DataEx!$7:$7,0))</f>
        <v>2329917.5</v>
      </c>
      <c r="S23" s="404">
        <f t="shared" si="3"/>
        <v>14213682.699999999</v>
      </c>
      <c r="T23" s="389">
        <f t="shared" si="4"/>
        <v>2.8960823773915524E-3</v>
      </c>
      <c r="Y23" s="319"/>
    </row>
    <row r="24" spans="1:25">
      <c r="A24" s="152">
        <v>713</v>
      </c>
      <c r="B24" s="482" t="str">
        <f>+VLOOKUP($A24,[1]Master!$D$27:$G$225,4,FALSE)</f>
        <v>Takse</v>
      </c>
      <c r="C24" s="483"/>
      <c r="D24" s="483"/>
      <c r="E24" s="483"/>
      <c r="F24" s="483"/>
      <c r="G24" s="177">
        <f>+INDEX([1]DataEx!$1:$1048576,MATCH('2019'!$A24,[1]DataEx!$D:$D,0),MATCH('2019'!G$6,[1]DataEx!$7:$7,0))</f>
        <v>851162.27</v>
      </c>
      <c r="H24" s="177">
        <f>+INDEX([1]DataEx!$1:$1048576,MATCH('2019'!$A24,[1]DataEx!$D:$D,0),MATCH('2019'!H$6,[1]DataEx!$7:$7,0))</f>
        <v>1041125.3899999999</v>
      </c>
      <c r="I24" s="177">
        <f>+INDEX([1]DataEx!$1:$1048576,MATCH('2019'!$A24,[1]DataEx!$D:$D,0),MATCH('2019'!I$6,[1]DataEx!$7:$7,0))</f>
        <v>1066481.8799999999</v>
      </c>
      <c r="J24" s="177">
        <f>+INDEX([1]DataEx!$1:$1048576,MATCH('2019'!$A24,[1]DataEx!$D:$D,0),MATCH('2019'!J$6,[1]DataEx!$7:$7,0))</f>
        <v>1290371.49</v>
      </c>
      <c r="K24" s="177">
        <f>+INDEX([1]DataEx!$1:$1048576,MATCH('2019'!$A24,[1]DataEx!$D:$D,0),MATCH('2019'!K$6,[1]DataEx!$7:$7,0))</f>
        <v>1208813.17</v>
      </c>
      <c r="L24" s="177">
        <f>+INDEX([1]DataEx!$1:$1048576,MATCH('2019'!$A24,[1]DataEx!$D:$D,0),MATCH('2019'!L$6,[1]DataEx!$7:$7,0))</f>
        <v>1252534.6599999999</v>
      </c>
      <c r="M24" s="177">
        <f>+INDEX([1]DataEx!$1:$1048576,MATCH('2019'!$A24,[1]DataEx!$D:$D,0),MATCH('2019'!M$6,[1]DataEx!$7:$7,0))</f>
        <v>1880947.5899999999</v>
      </c>
      <c r="N24" s="177">
        <f>+INDEX([1]DataEx!$1:$1048576,MATCH('2019'!$A24,[1]DataEx!$D:$D,0),MATCH('2019'!N$6,[1]DataEx!$7:$7,0))</f>
        <v>1630940.38</v>
      </c>
      <c r="O24" s="177">
        <f>+INDEX([1]DataEx!$1:$1048576,MATCH('2019'!$A24,[1]DataEx!$D:$D,0),MATCH('2019'!O$6,[1]DataEx!$7:$7,0))</f>
        <v>1570845.07</v>
      </c>
      <c r="P24" s="177">
        <f>+INDEX([1]DataEx!$1:$1048576,MATCH('2019'!$A24,[1]DataEx!$D:$D,0),MATCH('2019'!P$6,[1]DataEx!$7:$7,0))</f>
        <v>1362143.29</v>
      </c>
      <c r="Q24" s="177">
        <f>+INDEX([1]DataEx!$1:$1048576,MATCH('2019'!$A24,[1]DataEx!$D:$D,0),MATCH('2019'!Q$6,[1]DataEx!$7:$7,0))</f>
        <v>1005591.42</v>
      </c>
      <c r="R24" s="246">
        <f>+INDEX([1]DataEx!$1:$1048576,MATCH('2019'!$A24,[1]DataEx!$D:$D,0),MATCH('2019'!R$6,[1]DataEx!$7:$7,0))</f>
        <v>1445452.81</v>
      </c>
      <c r="S24" s="405">
        <f t="shared" si="3"/>
        <v>15606409.419999998</v>
      </c>
      <c r="T24" s="390">
        <f t="shared" si="4"/>
        <v>3.1798548095926969E-3</v>
      </c>
      <c r="Y24" s="319"/>
    </row>
    <row r="25" spans="1:25">
      <c r="A25" s="152">
        <v>714</v>
      </c>
      <c r="B25" s="482" t="str">
        <f>+VLOOKUP($A25,[1]Master!$D$27:$G$225,4,FALSE)</f>
        <v>Naknade</v>
      </c>
      <c r="C25" s="483"/>
      <c r="D25" s="483"/>
      <c r="E25" s="483"/>
      <c r="F25" s="483"/>
      <c r="G25" s="177">
        <f>+INDEX([1]DataEx!$1:$1048576,MATCH('2019'!$A25,[1]DataEx!$D:$D,0),MATCH('2019'!G$6,[1]DataEx!$7:$7,0))</f>
        <v>2315003.25</v>
      </c>
      <c r="H25" s="177">
        <f>+INDEX([1]DataEx!$1:$1048576,MATCH('2019'!$A25,[1]DataEx!$D:$D,0),MATCH('2019'!H$6,[1]DataEx!$7:$7,0))</f>
        <v>1541397.86</v>
      </c>
      <c r="I25" s="177">
        <f>+INDEX([1]DataEx!$1:$1048576,MATCH('2019'!$A25,[1]DataEx!$D:$D,0),MATCH('2019'!I$6,[1]DataEx!$7:$7,0))</f>
        <v>2408517.5</v>
      </c>
      <c r="J25" s="177">
        <f>+INDEX([1]DataEx!$1:$1048576,MATCH('2019'!$A25,[1]DataEx!$D:$D,0),MATCH('2019'!J$6,[1]DataEx!$7:$7,0))</f>
        <v>3310133.38</v>
      </c>
      <c r="K25" s="177">
        <f>+INDEX([1]DataEx!$1:$1048576,MATCH('2019'!$A25,[1]DataEx!$D:$D,0),MATCH('2019'!K$6,[1]DataEx!$7:$7,0))</f>
        <v>1792591.2</v>
      </c>
      <c r="L25" s="177">
        <f>+INDEX([1]DataEx!$1:$1048576,MATCH('2019'!$A25,[1]DataEx!$D:$D,0),MATCH('2019'!L$6,[1]DataEx!$7:$7,0))</f>
        <v>2081141.31</v>
      </c>
      <c r="M25" s="177">
        <f>+INDEX([1]DataEx!$1:$1048576,MATCH('2019'!$A25,[1]DataEx!$D:$D,0),MATCH('2019'!M$6,[1]DataEx!$7:$7,0))</f>
        <v>2697450.35</v>
      </c>
      <c r="N25" s="177">
        <f>+INDEX([1]DataEx!$1:$1048576,MATCH('2019'!$A25,[1]DataEx!$D:$D,0),MATCH('2019'!N$6,[1]DataEx!$7:$7,0))</f>
        <v>1985377.1099999999</v>
      </c>
      <c r="O25" s="177">
        <f>+INDEX([1]DataEx!$1:$1048576,MATCH('2019'!$A25,[1]DataEx!$D:$D,0),MATCH('2019'!O$6,[1]DataEx!$7:$7,0))</f>
        <v>2352827.11</v>
      </c>
      <c r="P25" s="177">
        <f>+INDEX([1]DataEx!$1:$1048576,MATCH('2019'!$A25,[1]DataEx!$D:$D,0),MATCH('2019'!P$6,[1]DataEx!$7:$7,0))</f>
        <v>2477150.35</v>
      </c>
      <c r="Q25" s="177">
        <f>+INDEX([1]DataEx!$1:$1048576,MATCH('2019'!$A25,[1]DataEx!$D:$D,0),MATCH('2019'!Q$6,[1]DataEx!$7:$7,0))</f>
        <v>1582634.86</v>
      </c>
      <c r="R25" s="246">
        <f>+INDEX([1]DataEx!$1:$1048576,MATCH('2019'!$A25,[1]DataEx!$D:$D,0),MATCH('2019'!R$6,[1]DataEx!$7:$7,0))</f>
        <v>3693530.67</v>
      </c>
      <c r="S25" s="405">
        <f t="shared" si="3"/>
        <v>28237754.950000003</v>
      </c>
      <c r="T25" s="390">
        <f t="shared" si="4"/>
        <v>5.7535310316021116E-3</v>
      </c>
      <c r="W25" s="306"/>
    </row>
    <row r="26" spans="1:25">
      <c r="A26" s="152">
        <v>715</v>
      </c>
      <c r="B26" s="482" t="str">
        <f>+VLOOKUP($A26,[1]Master!$D$27:$G$225,4,FALSE)</f>
        <v>Ostali prihodi</v>
      </c>
      <c r="C26" s="483"/>
      <c r="D26" s="483"/>
      <c r="E26" s="483"/>
      <c r="F26" s="483"/>
      <c r="G26" s="177">
        <f>+INDEX([1]DataEx!$1:$1048576,MATCH('2019'!$A26,[1]DataEx!$D:$D,0),MATCH('2019'!G$6,[1]DataEx!$7:$7,0))</f>
        <v>1567147.41</v>
      </c>
      <c r="H26" s="177">
        <f>+INDEX([1]DataEx!$1:$1048576,MATCH('2019'!$A26,[1]DataEx!$D:$D,0),MATCH('2019'!H$6,[1]DataEx!$7:$7,0))</f>
        <v>2199531.1</v>
      </c>
      <c r="I26" s="177">
        <f>+INDEX([1]DataEx!$1:$1048576,MATCH('2019'!$A26,[1]DataEx!$D:$D,0),MATCH('2019'!I$6,[1]DataEx!$7:$7,0))</f>
        <v>3193816.55</v>
      </c>
      <c r="J26" s="177">
        <f>+INDEX([1]DataEx!$1:$1048576,MATCH('2019'!$A26,[1]DataEx!$D:$D,0),MATCH('2019'!J$6,[1]DataEx!$7:$7,0))</f>
        <v>2384912.75</v>
      </c>
      <c r="K26" s="177">
        <f>+INDEX([1]DataEx!$1:$1048576,MATCH('2019'!$A26,[1]DataEx!$D:$D,0),MATCH('2019'!K$6,[1]DataEx!$7:$7,0))</f>
        <v>7159071.0099999998</v>
      </c>
      <c r="L26" s="177">
        <f>+INDEX([1]DataEx!$1:$1048576,MATCH('2019'!$A26,[1]DataEx!$D:$D,0),MATCH('2019'!L$6,[1]DataEx!$7:$7,0))</f>
        <v>3262994.81</v>
      </c>
      <c r="M26" s="177">
        <f>+INDEX([1]DataEx!$1:$1048576,MATCH('2019'!$A26,[1]DataEx!$D:$D,0),MATCH('2019'!M$6,[1]DataEx!$7:$7,0))</f>
        <v>3734626.12</v>
      </c>
      <c r="N26" s="177">
        <f>+INDEX([1]DataEx!$1:$1048576,MATCH('2019'!$A26,[1]DataEx!$D:$D,0),MATCH('2019'!N$6,[1]DataEx!$7:$7,0))</f>
        <v>2985463.57</v>
      </c>
      <c r="O26" s="177">
        <f>+INDEX([1]DataEx!$1:$1048576,MATCH('2019'!$A26,[1]DataEx!$D:$D,0),MATCH('2019'!O$6,[1]DataEx!$7:$7,0))</f>
        <v>2214023.2000000002</v>
      </c>
      <c r="P26" s="177">
        <f>+INDEX([1]DataEx!$1:$1048576,MATCH('2019'!$A26,[1]DataEx!$D:$D,0),MATCH('2019'!P$6,[1]DataEx!$7:$7,0))</f>
        <v>2505033.94</v>
      </c>
      <c r="Q26" s="177">
        <f>+INDEX([1]DataEx!$1:$1048576,MATCH('2019'!$A26,[1]DataEx!$D:$D,0),MATCH('2019'!Q$6,[1]DataEx!$7:$7,0))</f>
        <v>2278636.0299999998</v>
      </c>
      <c r="R26" s="246">
        <f>+INDEX([1]DataEx!$1:$1048576,MATCH('2019'!$A26,[1]DataEx!$D:$D,0),MATCH('2019'!R$6,[1]DataEx!$7:$7,0))</f>
        <v>42306339.840000004</v>
      </c>
      <c r="S26" s="405">
        <f t="shared" si="3"/>
        <v>75791596.330000013</v>
      </c>
      <c r="T26" s="390">
        <f t="shared" si="4"/>
        <v>1.5442775184905971E-2</v>
      </c>
      <c r="W26" s="325"/>
    </row>
    <row r="27" spans="1:25">
      <c r="A27" s="152">
        <v>73</v>
      </c>
      <c r="B27" s="482" t="str">
        <f>+VLOOKUP($A27,[1]Master!$D$27:$G$225,4,FALSE)</f>
        <v>Primici od otplate kredita i sredstva prenesena iz prethodne godine</v>
      </c>
      <c r="C27" s="483"/>
      <c r="D27" s="483"/>
      <c r="E27" s="483"/>
      <c r="F27" s="483"/>
      <c r="G27" s="177">
        <f>+INDEX([1]DataEx!$1:$1048576,MATCH('2019'!$A27,[1]DataEx!$D:$D,0),MATCH('2019'!G$6,[1]DataEx!$7:$7,0))</f>
        <v>69158.880000000005</v>
      </c>
      <c r="H27" s="177">
        <f>+INDEX([1]DataEx!$1:$1048576,MATCH('2019'!$A27,[1]DataEx!$D:$D,0),MATCH('2019'!H$6,[1]DataEx!$7:$7,0))</f>
        <v>378338.04</v>
      </c>
      <c r="I27" s="177">
        <f>+INDEX([1]DataEx!$1:$1048576,MATCH('2019'!$A27,[1]DataEx!$D:$D,0),MATCH('2019'!I$6,[1]DataEx!$7:$7,0))</f>
        <v>257172.98</v>
      </c>
      <c r="J27" s="177">
        <f>+INDEX([1]DataEx!$1:$1048576,MATCH('2019'!$A27,[1]DataEx!$D:$D,0),MATCH('2019'!J$6,[1]DataEx!$7:$7,0))</f>
        <v>349238.34</v>
      </c>
      <c r="K27" s="177">
        <f>+INDEX([1]DataEx!$1:$1048576,MATCH('2019'!$A27,[1]DataEx!$D:$D,0),MATCH('2019'!K$6,[1]DataEx!$7:$7,0))</f>
        <v>808656.23</v>
      </c>
      <c r="L27" s="177">
        <f>+INDEX([1]DataEx!$1:$1048576,MATCH('2019'!$A27,[1]DataEx!$D:$D,0),MATCH('2019'!L$6,[1]DataEx!$7:$7,0))</f>
        <v>1298753.81</v>
      </c>
      <c r="M27" s="177">
        <f>+INDEX([1]DataEx!$1:$1048576,MATCH('2019'!$A27,[1]DataEx!$D:$D,0),MATCH('2019'!M$6,[1]DataEx!$7:$7,0))</f>
        <v>134648.84</v>
      </c>
      <c r="N27" s="177">
        <f>+INDEX([1]DataEx!$1:$1048576,MATCH('2019'!$A27,[1]DataEx!$D:$D,0),MATCH('2019'!N$6,[1]DataEx!$7:$7,0))</f>
        <v>1295803.5900000001</v>
      </c>
      <c r="O27" s="177">
        <f>+INDEX([1]DataEx!$1:$1048576,MATCH('2019'!$A27,[1]DataEx!$D:$D,0),MATCH('2019'!O$6,[1]DataEx!$7:$7,0))</f>
        <v>183612.59</v>
      </c>
      <c r="P27" s="177">
        <f>+INDEX([1]DataEx!$1:$1048576,MATCH('2019'!$A27,[1]DataEx!$D:$D,0),MATCH('2019'!P$6,[1]DataEx!$7:$7,0))</f>
        <v>223272.51</v>
      </c>
      <c r="Q27" s="177">
        <f>+INDEX([1]DataEx!$1:$1048576,MATCH('2019'!$A27,[1]DataEx!$D:$D,0),MATCH('2019'!Q$6,[1]DataEx!$7:$7,0))</f>
        <v>1445230.26</v>
      </c>
      <c r="R27" s="246">
        <f>+INDEX([1]DataEx!$1:$1048576,MATCH('2019'!$A27,[1]DataEx!$D:$D,0),MATCH('2019'!R$6,[1]DataEx!$7:$7,0))</f>
        <v>1668986.37</v>
      </c>
      <c r="S27" s="405">
        <f t="shared" si="3"/>
        <v>8112872.4399999995</v>
      </c>
      <c r="T27" s="390">
        <f t="shared" si="4"/>
        <v>1.6530231748813136E-3</v>
      </c>
    </row>
    <row r="28" spans="1:25" ht="13.5" thickBot="1">
      <c r="A28" s="152">
        <v>74</v>
      </c>
      <c r="B28" s="486" t="str">
        <f>+VLOOKUP($A28,[1]Master!$D$27:$G$225,4,FALSE)</f>
        <v>Donacije i transferi</v>
      </c>
      <c r="C28" s="487"/>
      <c r="D28" s="487"/>
      <c r="E28" s="487"/>
      <c r="F28" s="487"/>
      <c r="G28" s="177">
        <f>+INDEX([1]DataEx!$1:$1048576,MATCH('2019'!$A28,[1]DataEx!$D:$D,0),MATCH('2019'!G$6,[1]DataEx!$7:$7,0))</f>
        <v>13526117.220000001</v>
      </c>
      <c r="H28" s="177">
        <f>+INDEX([1]DataEx!$1:$1048576,MATCH('2019'!$A28,[1]DataEx!$D:$D,0),MATCH('2019'!H$6,[1]DataEx!$7:$7,0))</f>
        <v>1000413.32</v>
      </c>
      <c r="I28" s="177">
        <f>+INDEX([1]DataEx!$1:$1048576,MATCH('2019'!$A28,[1]DataEx!$D:$D,0),MATCH('2019'!I$6,[1]DataEx!$7:$7,0))</f>
        <v>861265.77</v>
      </c>
      <c r="J28" s="177">
        <f>+INDEX([1]DataEx!$1:$1048576,MATCH('2019'!$A28,[1]DataEx!$D:$D,0),MATCH('2019'!J$6,[1]DataEx!$7:$7,0))</f>
        <v>627154.51</v>
      </c>
      <c r="K28" s="177">
        <f>+INDEX([1]DataEx!$1:$1048576,MATCH('2019'!$A28,[1]DataEx!$D:$D,0),MATCH('2019'!K$6,[1]DataEx!$7:$7,0))</f>
        <v>1388870.5</v>
      </c>
      <c r="L28" s="177">
        <f>+INDEX([1]DataEx!$1:$1048576,MATCH('2019'!$A28,[1]DataEx!$D:$D,0),MATCH('2019'!L$6,[1]DataEx!$7:$7,0))</f>
        <v>827810.06</v>
      </c>
      <c r="M28" s="177">
        <f>+INDEX([1]DataEx!$1:$1048576,MATCH('2019'!$A28,[1]DataEx!$D:$D,0),MATCH('2019'!M$6,[1]DataEx!$7:$7,0))</f>
        <v>1651160.65</v>
      </c>
      <c r="N28" s="177">
        <f>+INDEX([1]DataEx!$1:$1048576,MATCH('2019'!$A28,[1]DataEx!$D:$D,0),MATCH('2019'!N$6,[1]DataEx!$7:$7,0))</f>
        <v>1596012.32</v>
      </c>
      <c r="O28" s="177">
        <f>+INDEX([1]DataEx!$1:$1048576,MATCH('2019'!$A28,[1]DataEx!$D:$D,0),MATCH('2019'!O$6,[1]DataEx!$7:$7,0))</f>
        <v>1508235.56</v>
      </c>
      <c r="P28" s="177">
        <f>+INDEX([1]DataEx!$1:$1048576,MATCH('2019'!$A28,[1]DataEx!$D:$D,0),MATCH('2019'!P$6,[1]DataEx!$7:$7,0))</f>
        <v>1944741.98</v>
      </c>
      <c r="Q28" s="177">
        <f>+INDEX([1]DataEx!$1:$1048576,MATCH('2019'!$A28,[1]DataEx!$D:$D,0),MATCH('2019'!Q$6,[1]DataEx!$7:$7,0))</f>
        <v>9471069</v>
      </c>
      <c r="R28" s="246">
        <f>+INDEX([1]DataEx!$1:$1048576,MATCH('2019'!$A28,[1]DataEx!$D:$D,0),MATCH('2019'!R$6,[1]DataEx!$7:$7,0))</f>
        <v>3964637.48</v>
      </c>
      <c r="S28" s="405">
        <f t="shared" si="3"/>
        <v>38367488.369999997</v>
      </c>
      <c r="T28" s="391">
        <f t="shared" si="4"/>
        <v>7.8174959493877219E-3</v>
      </c>
    </row>
    <row r="29" spans="1:25" ht="13.5" thickBot="1">
      <c r="A29" s="152">
        <v>4</v>
      </c>
      <c r="B29" s="488" t="str">
        <f>+VLOOKUP($A29,[1]Master!$D$27:$G$225,4,FALSE)</f>
        <v>Budžetski izdaci</v>
      </c>
      <c r="C29" s="489"/>
      <c r="D29" s="489"/>
      <c r="E29" s="489"/>
      <c r="F29" s="489"/>
      <c r="G29" s="153">
        <f>+G31+G42+G48+SUM(G49:G53)</f>
        <v>139562037.61000001</v>
      </c>
      <c r="H29" s="153">
        <f t="shared" ref="H29:R29" si="5">+H31+H42+H48+SUM(H49:H53)</f>
        <v>130930029.51000001</v>
      </c>
      <c r="I29" s="153">
        <f t="shared" si="5"/>
        <v>172149384.75000003</v>
      </c>
      <c r="J29" s="153">
        <f t="shared" si="5"/>
        <v>154906237.59999996</v>
      </c>
      <c r="K29" s="153">
        <f t="shared" si="5"/>
        <v>146160791.25</v>
      </c>
      <c r="L29" s="153">
        <f t="shared" si="5"/>
        <v>144253014.98999998</v>
      </c>
      <c r="M29" s="153">
        <f t="shared" si="5"/>
        <v>179432127.83999997</v>
      </c>
      <c r="N29" s="153">
        <f t="shared" si="5"/>
        <v>159645623.38</v>
      </c>
      <c r="O29" s="153">
        <f t="shared" si="5"/>
        <v>149415654.53</v>
      </c>
      <c r="P29" s="153">
        <f t="shared" si="5"/>
        <v>179290471.31</v>
      </c>
      <c r="Q29" s="153">
        <f t="shared" si="5"/>
        <v>197195843.14999998</v>
      </c>
      <c r="R29" s="153">
        <f t="shared" si="5"/>
        <v>275818419.55000001</v>
      </c>
      <c r="S29" s="406">
        <f t="shared" si="3"/>
        <v>2028759635.4699996</v>
      </c>
      <c r="T29" s="392">
        <f t="shared" si="4"/>
        <v>0.41336613123128008</v>
      </c>
    </row>
    <row r="30" spans="1:25" ht="13.5" thickBot="1">
      <c r="A30" s="152">
        <v>40</v>
      </c>
      <c r="B30" s="490" t="str">
        <f>+VLOOKUP($A30,[1]Master!$D$27:$G$225,4,FALSE)</f>
        <v>Tekuća budžetska potrošnja</v>
      </c>
      <c r="C30" s="491"/>
      <c r="D30" s="491"/>
      <c r="E30" s="491"/>
      <c r="F30" s="491"/>
      <c r="G30" s="183">
        <f>+G29-G49</f>
        <v>112762324.30000001</v>
      </c>
      <c r="H30" s="183">
        <f t="shared" ref="H30:R30" si="6">+H29-H49</f>
        <v>126363854.78</v>
      </c>
      <c r="I30" s="183">
        <f t="shared" si="6"/>
        <v>156122939.41000003</v>
      </c>
      <c r="J30" s="183">
        <f t="shared" si="6"/>
        <v>142197008.82999995</v>
      </c>
      <c r="K30" s="183">
        <f t="shared" si="6"/>
        <v>134048135.33</v>
      </c>
      <c r="L30" s="183">
        <f t="shared" si="6"/>
        <v>129824559.55999997</v>
      </c>
      <c r="M30" s="183">
        <f t="shared" si="6"/>
        <v>154807267.04999998</v>
      </c>
      <c r="N30" s="183">
        <f t="shared" si="6"/>
        <v>118089889.8</v>
      </c>
      <c r="O30" s="183">
        <f t="shared" si="6"/>
        <v>133020211.09999999</v>
      </c>
      <c r="P30" s="183">
        <f t="shared" si="6"/>
        <v>149816468.75</v>
      </c>
      <c r="Q30" s="183">
        <f t="shared" si="6"/>
        <v>172416179.35999998</v>
      </c>
      <c r="R30" s="183">
        <f t="shared" si="6"/>
        <v>226908075.31</v>
      </c>
      <c r="S30" s="407">
        <f t="shared" si="3"/>
        <v>1756376913.5799997</v>
      </c>
      <c r="T30" s="393">
        <f t="shared" si="4"/>
        <v>0.35786729835163711</v>
      </c>
      <c r="U30" s="244"/>
    </row>
    <row r="31" spans="1:25">
      <c r="A31" s="152">
        <v>41</v>
      </c>
      <c r="B31" s="492" t="str">
        <f>+VLOOKUP($A31,[1]Master!$D$27:$G$225,4,FALSE)</f>
        <v>Tekući izdaci</v>
      </c>
      <c r="C31" s="493"/>
      <c r="D31" s="493"/>
      <c r="E31" s="493"/>
      <c r="F31" s="493"/>
      <c r="G31" s="189">
        <f>+SUM(G32:G41)</f>
        <v>50999819.160000004</v>
      </c>
      <c r="H31" s="189">
        <f t="shared" ref="H31:R31" si="7">+SUM(H32:H41)</f>
        <v>57511093.159999996</v>
      </c>
      <c r="I31" s="189">
        <f t="shared" si="7"/>
        <v>84767973.230000019</v>
      </c>
      <c r="J31" s="189">
        <f t="shared" si="7"/>
        <v>76654176.549999982</v>
      </c>
      <c r="K31" s="189">
        <f t="shared" si="7"/>
        <v>68301084.430000007</v>
      </c>
      <c r="L31" s="189">
        <f t="shared" si="7"/>
        <v>66996432.689999998</v>
      </c>
      <c r="M31" s="189">
        <f t="shared" si="7"/>
        <v>71683333.779999986</v>
      </c>
      <c r="N31" s="189">
        <f t="shared" si="7"/>
        <v>56088176.629999995</v>
      </c>
      <c r="O31" s="189">
        <f t="shared" si="7"/>
        <v>61572090.260000005</v>
      </c>
      <c r="P31" s="189">
        <f t="shared" si="7"/>
        <v>84287889.280000001</v>
      </c>
      <c r="Q31" s="189">
        <f t="shared" si="7"/>
        <v>102940537.31999999</v>
      </c>
      <c r="R31" s="248">
        <f t="shared" si="7"/>
        <v>113642054.34999999</v>
      </c>
      <c r="S31" s="408">
        <f t="shared" si="3"/>
        <v>895444660.84000003</v>
      </c>
      <c r="T31" s="388">
        <f t="shared" si="4"/>
        <v>0.18244965480959272</v>
      </c>
      <c r="U31" s="244"/>
    </row>
    <row r="32" spans="1:25">
      <c r="A32" s="152">
        <v>411</v>
      </c>
      <c r="B32" s="480" t="str">
        <f>+VLOOKUP($A32,[1]Master!$D$27:$G$225,4,FALSE)</f>
        <v>Bruto zarade i doprinosi na teret poslodavca</v>
      </c>
      <c r="C32" s="481"/>
      <c r="D32" s="481"/>
      <c r="E32" s="481"/>
      <c r="F32" s="481"/>
      <c r="G32" s="165">
        <f>+INDEX([1]DataEx!$1:$1048576,MATCH('2019'!$A32,[1]DataEx!$D:$D,0),MATCH('2019'!G$6,[1]DataEx!$7:$7,0))</f>
        <v>38898745.609999999</v>
      </c>
      <c r="H32" s="165">
        <f>+INDEX([1]DataEx!$1:$1048576,MATCH('2019'!$A32,[1]DataEx!$D:$D,0),MATCH('2019'!H$6,[1]DataEx!$7:$7,0))</f>
        <v>38603036.109999999</v>
      </c>
      <c r="I32" s="165">
        <f>+INDEX([1]DataEx!$1:$1048576,MATCH('2019'!$A32,[1]DataEx!$D:$D,0),MATCH('2019'!I$6,[1]DataEx!$7:$7,0))</f>
        <v>39176968.049999997</v>
      </c>
      <c r="J32" s="165">
        <f>+INDEX([1]DataEx!$1:$1048576,MATCH('2019'!$A32,[1]DataEx!$D:$D,0),MATCH('2019'!J$6,[1]DataEx!$7:$7,0))</f>
        <v>38923552.049999997</v>
      </c>
      <c r="K32" s="165">
        <f>+INDEX([1]DataEx!$1:$1048576,MATCH('2019'!$A32,[1]DataEx!$D:$D,0),MATCH('2019'!K$6,[1]DataEx!$7:$7,0))</f>
        <v>39904782.170000002</v>
      </c>
      <c r="L32" s="165">
        <f>+INDEX([1]DataEx!$1:$1048576,MATCH('2019'!$A32,[1]DataEx!$D:$D,0),MATCH('2019'!L$6,[1]DataEx!$7:$7,0))</f>
        <v>41565368.68</v>
      </c>
      <c r="M32" s="165">
        <f>+INDEX([1]DataEx!$1:$1048576,MATCH('2019'!$A32,[1]DataEx!$D:$D,0),MATCH('2019'!M$6,[1]DataEx!$7:$7,0))</f>
        <v>38100886.07</v>
      </c>
      <c r="N32" s="165">
        <f>+INDEX([1]DataEx!$1:$1048576,MATCH('2019'!$A32,[1]DataEx!$D:$D,0),MATCH('2019'!N$6,[1]DataEx!$7:$7,0))</f>
        <v>37237058.799999997</v>
      </c>
      <c r="O32" s="165">
        <f>+INDEX([1]DataEx!$1:$1048576,MATCH('2019'!$A32,[1]DataEx!$D:$D,0),MATCH('2019'!O$6,[1]DataEx!$7:$7,0))</f>
        <v>38571466.869999997</v>
      </c>
      <c r="P32" s="165">
        <f>+INDEX([1]DataEx!$1:$1048576,MATCH('2019'!$A32,[1]DataEx!$D:$D,0),MATCH('2019'!P$6,[1]DataEx!$7:$7,0))</f>
        <v>38895006.189999998</v>
      </c>
      <c r="Q32" s="165">
        <f>+INDEX([1]DataEx!$1:$1048576,MATCH('2019'!$A32,[1]DataEx!$D:$D,0),MATCH('2019'!Q$6,[1]DataEx!$7:$7,0))</f>
        <v>39570495.68</v>
      </c>
      <c r="R32" s="165">
        <f>+INDEX([1]DataEx!$1:$1048576,MATCH('2019'!$A32,[1]DataEx!$D:$D,0),MATCH('2019'!R$6,[1]DataEx!$7:$7,0))</f>
        <v>43410895.729999997</v>
      </c>
      <c r="S32" s="404">
        <f t="shared" si="3"/>
        <v>472858262.01000005</v>
      </c>
      <c r="T32" s="389">
        <f t="shared" si="4"/>
        <v>9.6346352209702738E-2</v>
      </c>
    </row>
    <row r="33" spans="1:23">
      <c r="A33" s="152">
        <v>412</v>
      </c>
      <c r="B33" s="480" t="str">
        <f>+VLOOKUP($A33,[1]Master!$D$27:$G$225,4,FALSE)</f>
        <v>Ostala lična primanja</v>
      </c>
      <c r="C33" s="481"/>
      <c r="D33" s="481"/>
      <c r="E33" s="481"/>
      <c r="F33" s="481"/>
      <c r="G33" s="165">
        <f>+INDEX([1]DataEx!$1:$1048576,MATCH('2019'!$A33,[1]DataEx!$D:$D,0),MATCH('2019'!G$6,[1]DataEx!$7:$7,0))</f>
        <v>432711.77</v>
      </c>
      <c r="H33" s="165">
        <f>+INDEX([1]DataEx!$1:$1048576,MATCH('2019'!$A33,[1]DataEx!$D:$D,0),MATCH('2019'!H$6,[1]DataEx!$7:$7,0))</f>
        <v>1033562.51</v>
      </c>
      <c r="I33" s="165">
        <f>+INDEX([1]DataEx!$1:$1048576,MATCH('2019'!$A33,[1]DataEx!$D:$D,0),MATCH('2019'!I$6,[1]DataEx!$7:$7,0))</f>
        <v>735644.21</v>
      </c>
      <c r="J33" s="165">
        <f>+INDEX([1]DataEx!$1:$1048576,MATCH('2019'!$A33,[1]DataEx!$D:$D,0),MATCH('2019'!J$6,[1]DataEx!$7:$7,0))</f>
        <v>1602423.02</v>
      </c>
      <c r="K33" s="165">
        <f>+INDEX([1]DataEx!$1:$1048576,MATCH('2019'!$A33,[1]DataEx!$D:$D,0),MATCH('2019'!K$6,[1]DataEx!$7:$7,0))</f>
        <v>1041375.65</v>
      </c>
      <c r="L33" s="165">
        <f>+INDEX([1]DataEx!$1:$1048576,MATCH('2019'!$A33,[1]DataEx!$D:$D,0),MATCH('2019'!L$6,[1]DataEx!$7:$7,0))</f>
        <v>646080.03</v>
      </c>
      <c r="M33" s="165">
        <f>+INDEX([1]DataEx!$1:$1048576,MATCH('2019'!$A33,[1]DataEx!$D:$D,0),MATCH('2019'!M$6,[1]DataEx!$7:$7,0))</f>
        <v>1604812.32</v>
      </c>
      <c r="N33" s="165">
        <f>+INDEX([1]DataEx!$1:$1048576,MATCH('2019'!$A33,[1]DataEx!$D:$D,0),MATCH('2019'!N$6,[1]DataEx!$7:$7,0))</f>
        <v>863508.85</v>
      </c>
      <c r="O33" s="165">
        <f>+INDEX([1]DataEx!$1:$1048576,MATCH('2019'!$A33,[1]DataEx!$D:$D,0),MATCH('2019'!O$6,[1]DataEx!$7:$7,0))</f>
        <v>1068822.1299999999</v>
      </c>
      <c r="P33" s="165">
        <f>+INDEX([1]DataEx!$1:$1048576,MATCH('2019'!$A33,[1]DataEx!$D:$D,0),MATCH('2019'!P$6,[1]DataEx!$7:$7,0))</f>
        <v>1118166.44</v>
      </c>
      <c r="Q33" s="165">
        <f>+INDEX([1]DataEx!$1:$1048576,MATCH('2019'!$A33,[1]DataEx!$D:$D,0),MATCH('2019'!Q$6,[1]DataEx!$7:$7,0))</f>
        <v>1056394.58</v>
      </c>
      <c r="R33" s="165">
        <f>+INDEX([1]DataEx!$1:$1048576,MATCH('2019'!$A33,[1]DataEx!$D:$D,0),MATCH('2019'!R$6,[1]DataEx!$7:$7,0))</f>
        <v>3979808.08</v>
      </c>
      <c r="S33" s="404">
        <f t="shared" si="3"/>
        <v>15183309.59</v>
      </c>
      <c r="T33" s="389">
        <f t="shared" si="4"/>
        <v>3.0936468937834919E-3</v>
      </c>
      <c r="U33" s="307"/>
    </row>
    <row r="34" spans="1:23">
      <c r="A34" s="152">
        <v>413</v>
      </c>
      <c r="B34" s="480" t="str">
        <f>+VLOOKUP($A34,[1]Master!$D$27:$G$225,4,FALSE)</f>
        <v>Rashodi za materijal</v>
      </c>
      <c r="C34" s="481"/>
      <c r="D34" s="481"/>
      <c r="E34" s="481"/>
      <c r="F34" s="481"/>
      <c r="G34" s="165">
        <f>+INDEX([1]DataEx!$1:$1048576,MATCH('2019'!$A34,[1]DataEx!$D:$D,0),MATCH('2019'!G$6,[1]DataEx!$7:$7,0))</f>
        <v>848989.3</v>
      </c>
      <c r="H34" s="165">
        <f>+INDEX([1]DataEx!$1:$1048576,MATCH('2019'!$A34,[1]DataEx!$D:$D,0),MATCH('2019'!H$6,[1]DataEx!$7:$7,0))</f>
        <v>2487120.0499999998</v>
      </c>
      <c r="I34" s="165">
        <f>+INDEX([1]DataEx!$1:$1048576,MATCH('2019'!$A34,[1]DataEx!$D:$D,0),MATCH('2019'!I$6,[1]DataEx!$7:$7,0))</f>
        <v>2593095.38</v>
      </c>
      <c r="J34" s="165">
        <f>+INDEX([1]DataEx!$1:$1048576,MATCH('2019'!$A34,[1]DataEx!$D:$D,0),MATCH('2019'!J$6,[1]DataEx!$7:$7,0))</f>
        <v>2483216.04</v>
      </c>
      <c r="K34" s="165">
        <f>+INDEX([1]DataEx!$1:$1048576,MATCH('2019'!$A34,[1]DataEx!$D:$D,0),MATCH('2019'!K$6,[1]DataEx!$7:$7,0))</f>
        <v>2260839.3199999998</v>
      </c>
      <c r="L34" s="165">
        <f>+INDEX([1]DataEx!$1:$1048576,MATCH('2019'!$A34,[1]DataEx!$D:$D,0),MATCH('2019'!L$6,[1]DataEx!$7:$7,0))</f>
        <v>3136860.85</v>
      </c>
      <c r="M34" s="165">
        <f>+INDEX([1]DataEx!$1:$1048576,MATCH('2019'!$A34,[1]DataEx!$D:$D,0),MATCH('2019'!M$6,[1]DataEx!$7:$7,0))</f>
        <v>2237139.04</v>
      </c>
      <c r="N34" s="165">
        <f>+INDEX([1]DataEx!$1:$1048576,MATCH('2019'!$A34,[1]DataEx!$D:$D,0),MATCH('2019'!N$6,[1]DataEx!$7:$7,0))</f>
        <v>2457548.14</v>
      </c>
      <c r="O34" s="165">
        <f>+INDEX([1]DataEx!$1:$1048576,MATCH('2019'!$A34,[1]DataEx!$D:$D,0),MATCH('2019'!O$6,[1]DataEx!$7:$7,0))</f>
        <v>2640428.1199999996</v>
      </c>
      <c r="P34" s="165">
        <f>+INDEX([1]DataEx!$1:$1048576,MATCH('2019'!$A34,[1]DataEx!$D:$D,0),MATCH('2019'!P$6,[1]DataEx!$7:$7,0))</f>
        <v>3204990.77</v>
      </c>
      <c r="Q34" s="165">
        <f>+INDEX([1]DataEx!$1:$1048576,MATCH('2019'!$A34,[1]DataEx!$D:$D,0),MATCH('2019'!Q$6,[1]DataEx!$7:$7,0))</f>
        <v>3630587.64</v>
      </c>
      <c r="R34" s="165">
        <f>+INDEX([1]DataEx!$1:$1048576,MATCH('2019'!$A34,[1]DataEx!$D:$D,0),MATCH('2019'!R$6,[1]DataEx!$7:$7,0))</f>
        <v>5176922.57</v>
      </c>
      <c r="S34" s="404">
        <f t="shared" si="3"/>
        <v>33157737.220000003</v>
      </c>
      <c r="T34" s="389">
        <f t="shared" si="4"/>
        <v>6.7559928319647919E-3</v>
      </c>
      <c r="U34" s="325"/>
      <c r="V34" s="305"/>
    </row>
    <row r="35" spans="1:23" s="379" customFormat="1">
      <c r="A35" s="378">
        <v>414</v>
      </c>
      <c r="B35" s="529" t="str">
        <f>+VLOOKUP($A35,[1]Master!$D$27:$G$225,4,FALSE)</f>
        <v>Rashodi za usluge</v>
      </c>
      <c r="C35" s="530"/>
      <c r="D35" s="530"/>
      <c r="E35" s="530"/>
      <c r="F35" s="530"/>
      <c r="G35" s="165">
        <f>+INDEX([1]DataEx!$1:$1048576,MATCH('2019'!$A35,[1]DataEx!$D:$D,0),MATCH('2019'!G$6,[1]DataEx!$7:$7,0))</f>
        <v>2759036.8200000003</v>
      </c>
      <c r="H35" s="165">
        <f>+INDEX([1]DataEx!$1:$1048576,MATCH('2019'!$A35,[1]DataEx!$D:$D,0),MATCH('2019'!H$6,[1]DataEx!$7:$7,0))</f>
        <v>3614550.9200000004</v>
      </c>
      <c r="I35" s="165">
        <f>+INDEX([1]DataEx!$1:$1048576,MATCH('2019'!$A35,[1]DataEx!$D:$D,0),MATCH('2019'!I$6,[1]DataEx!$7:$7,0))</f>
        <v>3974817.3200000003</v>
      </c>
      <c r="J35" s="165">
        <f>+INDEX([1]DataEx!$1:$1048576,MATCH('2019'!$A35,[1]DataEx!$D:$D,0),MATCH('2019'!J$6,[1]DataEx!$7:$7,0))</f>
        <v>4057149.39</v>
      </c>
      <c r="K35" s="165">
        <f>+INDEX([1]DataEx!$1:$1048576,MATCH('2019'!$A35,[1]DataEx!$D:$D,0),MATCH('2019'!K$6,[1]DataEx!$7:$7,0))</f>
        <v>6284877.2199999997</v>
      </c>
      <c r="L35" s="165">
        <f>+INDEX([1]DataEx!$1:$1048576,MATCH('2019'!$A35,[1]DataEx!$D:$D,0),MATCH('2019'!L$6,[1]DataEx!$7:$7,0))</f>
        <v>6083915.8499999996</v>
      </c>
      <c r="M35" s="165">
        <f>+INDEX([1]DataEx!$1:$1048576,MATCH('2019'!$A35,[1]DataEx!$D:$D,0),MATCH('2019'!M$6,[1]DataEx!$7:$7,0))</f>
        <v>7554033.8399999999</v>
      </c>
      <c r="N35" s="165">
        <f>+INDEX([1]DataEx!$1:$1048576,MATCH('2019'!$A35,[1]DataEx!$D:$D,0),MATCH('2019'!N$6,[1]DataEx!$7:$7,0))</f>
        <v>3114631.31</v>
      </c>
      <c r="O35" s="165">
        <f>+INDEX([1]DataEx!$1:$1048576,MATCH('2019'!$A35,[1]DataEx!$D:$D,0),MATCH('2019'!O$6,[1]DataEx!$7:$7,0))</f>
        <v>5096768.8599999994</v>
      </c>
      <c r="P35" s="165">
        <f>+INDEX([1]DataEx!$1:$1048576,MATCH('2019'!$A35,[1]DataEx!$D:$D,0),MATCH('2019'!P$6,[1]DataEx!$7:$7,0))</f>
        <v>6944307.2599999998</v>
      </c>
      <c r="Q35" s="165">
        <f>+INDEX([1]DataEx!$1:$1048576,MATCH('2019'!$A35,[1]DataEx!$D:$D,0),MATCH('2019'!Q$6,[1]DataEx!$7:$7,0))</f>
        <v>6856858.7299999995</v>
      </c>
      <c r="R35" s="165">
        <f>+INDEX([1]DataEx!$1:$1048576,MATCH('2019'!$A35,[1]DataEx!$D:$D,0),MATCH('2019'!R$6,[1]DataEx!$7:$7,0))</f>
        <v>13115876.970000001</v>
      </c>
      <c r="S35" s="404">
        <f t="shared" si="3"/>
        <v>69456824.489999995</v>
      </c>
      <c r="T35" s="389">
        <f t="shared" si="4"/>
        <v>1.4152045577538254E-2</v>
      </c>
      <c r="U35" s="325"/>
    </row>
    <row r="36" spans="1:23">
      <c r="A36" s="152">
        <v>415</v>
      </c>
      <c r="B36" s="480" t="str">
        <f>+VLOOKUP($A36,[1]Master!$D$27:$G$225,4,FALSE)</f>
        <v>Rashodi za tekuće održavanje</v>
      </c>
      <c r="C36" s="481"/>
      <c r="D36" s="481"/>
      <c r="E36" s="481"/>
      <c r="F36" s="481"/>
      <c r="G36" s="165">
        <f>+INDEX([1]DataEx!$1:$1048576,MATCH('2019'!$A36,[1]DataEx!$D:$D,0),MATCH('2019'!G$6,[1]DataEx!$7:$7,0))</f>
        <v>106399.74</v>
      </c>
      <c r="H36" s="165">
        <f>+INDEX([1]DataEx!$1:$1048576,MATCH('2019'!$A36,[1]DataEx!$D:$D,0),MATCH('2019'!H$6,[1]DataEx!$7:$7,0))</f>
        <v>1530055.86</v>
      </c>
      <c r="I36" s="165">
        <f>+INDEX([1]DataEx!$1:$1048576,MATCH('2019'!$A36,[1]DataEx!$D:$D,0),MATCH('2019'!I$6,[1]DataEx!$7:$7,0))</f>
        <v>1550264.35</v>
      </c>
      <c r="J36" s="165">
        <f>+INDEX([1]DataEx!$1:$1048576,MATCH('2019'!$A36,[1]DataEx!$D:$D,0),MATCH('2019'!J$6,[1]DataEx!$7:$7,0))</f>
        <v>1599647.1</v>
      </c>
      <c r="K36" s="165">
        <f>+INDEX([1]DataEx!$1:$1048576,MATCH('2019'!$A36,[1]DataEx!$D:$D,0),MATCH('2019'!K$6,[1]DataEx!$7:$7,0))</f>
        <v>1715921.5</v>
      </c>
      <c r="L36" s="165">
        <f>+INDEX([1]DataEx!$1:$1048576,MATCH('2019'!$A36,[1]DataEx!$D:$D,0),MATCH('2019'!L$6,[1]DataEx!$7:$7,0))</f>
        <v>1355956.76</v>
      </c>
      <c r="M36" s="165">
        <f>+INDEX([1]DataEx!$1:$1048576,MATCH('2019'!$A36,[1]DataEx!$D:$D,0),MATCH('2019'!M$6,[1]DataEx!$7:$7,0))</f>
        <v>2070351.24</v>
      </c>
      <c r="N36" s="165">
        <f>+INDEX([1]DataEx!$1:$1048576,MATCH('2019'!$A36,[1]DataEx!$D:$D,0),MATCH('2019'!N$6,[1]DataEx!$7:$7,0))</f>
        <v>1118342.44</v>
      </c>
      <c r="O36" s="165">
        <f>+INDEX([1]DataEx!$1:$1048576,MATCH('2019'!$A36,[1]DataEx!$D:$D,0),MATCH('2019'!O$6,[1]DataEx!$7:$7,0))</f>
        <v>1708463.71</v>
      </c>
      <c r="P36" s="165">
        <f>+INDEX([1]DataEx!$1:$1048576,MATCH('2019'!$A36,[1]DataEx!$D:$D,0),MATCH('2019'!P$6,[1]DataEx!$7:$7,0))</f>
        <v>2758670.97</v>
      </c>
      <c r="Q36" s="165">
        <f>+INDEX([1]DataEx!$1:$1048576,MATCH('2019'!$A36,[1]DataEx!$D:$D,0),MATCH('2019'!Q$6,[1]DataEx!$7:$7,0))</f>
        <v>2123777.0099999998</v>
      </c>
      <c r="R36" s="165">
        <f>+INDEX([1]DataEx!$1:$1048576,MATCH('2019'!$A36,[1]DataEx!$D:$D,0),MATCH('2019'!R$6,[1]DataEx!$7:$7,0))</f>
        <v>4881220.03</v>
      </c>
      <c r="S36" s="404">
        <f t="shared" si="3"/>
        <v>22519070.710000001</v>
      </c>
      <c r="T36" s="389">
        <f t="shared" si="4"/>
        <v>4.5883312027547429E-3</v>
      </c>
      <c r="U36" s="325"/>
    </row>
    <row r="37" spans="1:23">
      <c r="A37" s="152">
        <v>416</v>
      </c>
      <c r="B37" s="480" t="str">
        <f>+VLOOKUP($A37,[1]Master!$D$27:$G$225,4,FALSE)</f>
        <v>Kamate</v>
      </c>
      <c r="C37" s="481"/>
      <c r="D37" s="481"/>
      <c r="E37" s="481"/>
      <c r="F37" s="481"/>
      <c r="G37" s="165">
        <f>+INDEX([1]DataEx!$1:$1048576,MATCH('2019'!$A37,[1]DataEx!$D:$D,0),MATCH('2019'!G$6,[1]DataEx!$7:$7,0))</f>
        <v>6154852.9000000004</v>
      </c>
      <c r="H37" s="165">
        <f>+INDEX([1]DataEx!$1:$1048576,MATCH('2019'!$A37,[1]DataEx!$D:$D,0),MATCH('2019'!H$6,[1]DataEx!$7:$7,0))</f>
        <v>999341.54</v>
      </c>
      <c r="I37" s="165">
        <f>+INDEX([1]DataEx!$1:$1048576,MATCH('2019'!$A37,[1]DataEx!$D:$D,0),MATCH('2019'!I$6,[1]DataEx!$7:$7,0))</f>
        <v>28695513.649999999</v>
      </c>
      <c r="J37" s="165">
        <f>+INDEX([1]DataEx!$1:$1048576,MATCH('2019'!$A37,[1]DataEx!$D:$D,0),MATCH('2019'!J$6,[1]DataEx!$7:$7,0))</f>
        <v>18435271.789999999</v>
      </c>
      <c r="K37" s="165">
        <f>+INDEX([1]DataEx!$1:$1048576,MATCH('2019'!$A37,[1]DataEx!$D:$D,0),MATCH('2019'!K$6,[1]DataEx!$7:$7,0))</f>
        <v>10258844.07</v>
      </c>
      <c r="L37" s="165">
        <f>+INDEX([1]DataEx!$1:$1048576,MATCH('2019'!$A37,[1]DataEx!$D:$D,0),MATCH('2019'!L$6,[1]DataEx!$7:$7,0))</f>
        <v>5411766.9400000004</v>
      </c>
      <c r="M37" s="165">
        <f>+INDEX([1]DataEx!$1:$1048576,MATCH('2019'!$A37,[1]DataEx!$D:$D,0),MATCH('2019'!M$6,[1]DataEx!$7:$7,0))</f>
        <v>9047333.1999999993</v>
      </c>
      <c r="N37" s="165">
        <f>+INDEX([1]DataEx!$1:$1048576,MATCH('2019'!$A37,[1]DataEx!$D:$D,0),MATCH('2019'!N$6,[1]DataEx!$7:$7,0))</f>
        <v>1051267.33</v>
      </c>
      <c r="O37" s="165">
        <f>+INDEX([1]DataEx!$1:$1048576,MATCH('2019'!$A37,[1]DataEx!$D:$D,0),MATCH('2019'!O$6,[1]DataEx!$7:$7,0))</f>
        <v>2999385.93</v>
      </c>
      <c r="P37" s="165">
        <f>+INDEX([1]DataEx!$1:$1048576,MATCH('2019'!$A37,[1]DataEx!$D:$D,0),MATCH('2019'!P$6,[1]DataEx!$7:$7,0))</f>
        <v>12529193.49</v>
      </c>
      <c r="Q37" s="165">
        <f>+INDEX([1]DataEx!$1:$1048576,MATCH('2019'!$A37,[1]DataEx!$D:$D,0),MATCH('2019'!Q$6,[1]DataEx!$7:$7,0))</f>
        <v>4455810.1900000004</v>
      </c>
      <c r="R37" s="165">
        <f>+INDEX([1]DataEx!$1:$1048576,MATCH('2019'!$A37,[1]DataEx!$D:$D,0),MATCH('2019'!R$6,[1]DataEx!$7:$7,0))</f>
        <v>5627705.1600000001</v>
      </c>
      <c r="S37" s="404">
        <f>+SUM(G37:R37)</f>
        <v>105666286.19</v>
      </c>
      <c r="T37" s="389">
        <f t="shared" si="4"/>
        <v>2.1529836832453797E-2</v>
      </c>
      <c r="U37" s="325"/>
    </row>
    <row r="38" spans="1:23">
      <c r="A38" s="152">
        <v>417</v>
      </c>
      <c r="B38" s="480" t="str">
        <f>+VLOOKUP($A38,[1]Master!$D$27:$G$225,4,FALSE)</f>
        <v>Renta</v>
      </c>
      <c r="C38" s="481"/>
      <c r="D38" s="481"/>
      <c r="E38" s="481"/>
      <c r="F38" s="481"/>
      <c r="G38" s="165">
        <f>+INDEX([1]DataEx!$1:$1048576,MATCH('2019'!$A38,[1]DataEx!$D:$D,0),MATCH('2019'!G$6,[1]DataEx!$7:$7,0))</f>
        <v>218026.46</v>
      </c>
      <c r="H38" s="165">
        <f>+INDEX([1]DataEx!$1:$1048576,MATCH('2019'!$A38,[1]DataEx!$D:$D,0),MATCH('2019'!H$6,[1]DataEx!$7:$7,0))</f>
        <v>777233.65</v>
      </c>
      <c r="I38" s="165">
        <f>+INDEX([1]DataEx!$1:$1048576,MATCH('2019'!$A38,[1]DataEx!$D:$D,0),MATCH('2019'!I$6,[1]DataEx!$7:$7,0))</f>
        <v>800870.53</v>
      </c>
      <c r="J38" s="165">
        <f>+INDEX([1]DataEx!$1:$1048576,MATCH('2019'!$A38,[1]DataEx!$D:$D,0),MATCH('2019'!J$6,[1]DataEx!$7:$7,0))</f>
        <v>1119902.21</v>
      </c>
      <c r="K38" s="165">
        <f>+INDEX([1]DataEx!$1:$1048576,MATCH('2019'!$A38,[1]DataEx!$D:$D,0),MATCH('2019'!K$6,[1]DataEx!$7:$7,0))</f>
        <v>986505.29</v>
      </c>
      <c r="L38" s="165">
        <f>+INDEX([1]DataEx!$1:$1048576,MATCH('2019'!$A38,[1]DataEx!$D:$D,0),MATCH('2019'!L$6,[1]DataEx!$7:$7,0))</f>
        <v>606326.98</v>
      </c>
      <c r="M38" s="165">
        <f>+INDEX([1]DataEx!$1:$1048576,MATCH('2019'!$A38,[1]DataEx!$D:$D,0),MATCH('2019'!M$6,[1]DataEx!$7:$7,0))</f>
        <v>1397044.86</v>
      </c>
      <c r="N38" s="165">
        <f>+INDEX([1]DataEx!$1:$1048576,MATCH('2019'!$A38,[1]DataEx!$D:$D,0),MATCH('2019'!N$6,[1]DataEx!$7:$7,0))</f>
        <v>824993.89</v>
      </c>
      <c r="O38" s="165">
        <f>+INDEX([1]DataEx!$1:$1048576,MATCH('2019'!$A38,[1]DataEx!$D:$D,0),MATCH('2019'!O$6,[1]DataEx!$7:$7,0))</f>
        <v>653814.94999999995</v>
      </c>
      <c r="P38" s="165">
        <f>+INDEX([1]DataEx!$1:$1048576,MATCH('2019'!$A38,[1]DataEx!$D:$D,0),MATCH('2019'!P$6,[1]DataEx!$7:$7,0))</f>
        <v>804750.67</v>
      </c>
      <c r="Q38" s="165">
        <f>+INDEX([1]DataEx!$1:$1048576,MATCH('2019'!$A38,[1]DataEx!$D:$D,0),MATCH('2019'!Q$6,[1]DataEx!$7:$7,0))</f>
        <v>559052.02</v>
      </c>
      <c r="R38" s="165">
        <f>+INDEX([1]DataEx!$1:$1048576,MATCH('2019'!$A38,[1]DataEx!$D:$D,0),MATCH('2019'!R$6,[1]DataEx!$7:$7,0))</f>
        <v>2287205.65</v>
      </c>
      <c r="S38" s="404">
        <f t="shared" si="3"/>
        <v>11035727.16</v>
      </c>
      <c r="T38" s="389">
        <f t="shared" si="4"/>
        <v>2.2485639805212006E-3</v>
      </c>
      <c r="U38" s="325"/>
    </row>
    <row r="39" spans="1:23">
      <c r="A39" s="152">
        <v>418</v>
      </c>
      <c r="B39" s="480" t="str">
        <f>+VLOOKUP($A39,[1]Master!$D$27:$G$225,4,FALSE)</f>
        <v>Subvencije</v>
      </c>
      <c r="C39" s="481"/>
      <c r="D39" s="481"/>
      <c r="E39" s="481"/>
      <c r="F39" s="481"/>
      <c r="G39" s="165">
        <f>+INDEX([1]DataEx!$1:$1048576,MATCH('2019'!$A39,[1]DataEx!$D:$D,0),MATCH('2019'!G$6,[1]DataEx!$7:$7,0))</f>
        <v>99006.6</v>
      </c>
      <c r="H39" s="165">
        <f>+INDEX([1]DataEx!$1:$1048576,MATCH('2019'!$A39,[1]DataEx!$D:$D,0),MATCH('2019'!H$6,[1]DataEx!$7:$7,0))</f>
        <v>1819632.21</v>
      </c>
      <c r="I39" s="165">
        <f>+INDEX([1]DataEx!$1:$1048576,MATCH('2019'!$A39,[1]DataEx!$D:$D,0),MATCH('2019'!I$6,[1]DataEx!$7:$7,0))</f>
        <v>3556257.45</v>
      </c>
      <c r="J39" s="165">
        <f>+INDEX([1]DataEx!$1:$1048576,MATCH('2019'!$A39,[1]DataEx!$D:$D,0),MATCH('2019'!J$6,[1]DataEx!$7:$7,0))</f>
        <v>1298353.71</v>
      </c>
      <c r="K39" s="165">
        <f>+INDEX([1]DataEx!$1:$1048576,MATCH('2019'!$A39,[1]DataEx!$D:$D,0),MATCH('2019'!K$6,[1]DataEx!$7:$7,0))</f>
        <v>2194236.0299999998</v>
      </c>
      <c r="L39" s="165">
        <f>+INDEX([1]DataEx!$1:$1048576,MATCH('2019'!$A39,[1]DataEx!$D:$D,0),MATCH('2019'!L$6,[1]DataEx!$7:$7,0))</f>
        <v>1487101.06</v>
      </c>
      <c r="M39" s="165">
        <f>+INDEX([1]DataEx!$1:$1048576,MATCH('2019'!$A39,[1]DataEx!$D:$D,0),MATCH('2019'!M$6,[1]DataEx!$7:$7,0))</f>
        <v>3695060.6</v>
      </c>
      <c r="N39" s="165">
        <f>+INDEX([1]DataEx!$1:$1048576,MATCH('2019'!$A39,[1]DataEx!$D:$D,0),MATCH('2019'!N$6,[1]DataEx!$7:$7,0))</f>
        <v>1069449</v>
      </c>
      <c r="O39" s="165">
        <f>+INDEX([1]DataEx!$1:$1048576,MATCH('2019'!$A39,[1]DataEx!$D:$D,0),MATCH('2019'!O$6,[1]DataEx!$7:$7,0))</f>
        <v>3742161.66</v>
      </c>
      <c r="P39" s="165">
        <f>+INDEX([1]DataEx!$1:$1048576,MATCH('2019'!$A39,[1]DataEx!$D:$D,0),MATCH('2019'!P$6,[1]DataEx!$7:$7,0))</f>
        <v>4843530.18</v>
      </c>
      <c r="Q39" s="165">
        <f>+INDEX([1]DataEx!$1:$1048576,MATCH('2019'!$A39,[1]DataEx!$D:$D,0),MATCH('2019'!Q$6,[1]DataEx!$7:$7,0))</f>
        <v>3109078.63</v>
      </c>
      <c r="R39" s="165">
        <f>+INDEX([1]DataEx!$1:$1048576,MATCH('2019'!$A39,[1]DataEx!$D:$D,0),MATCH('2019'!R$6,[1]DataEx!$7:$7,0))</f>
        <v>7625878.5099999998</v>
      </c>
      <c r="S39" s="404">
        <f t="shared" si="3"/>
        <v>34539745.640000001</v>
      </c>
      <c r="T39" s="389">
        <f t="shared" si="4"/>
        <v>7.0375813769636706E-3</v>
      </c>
      <c r="U39" s="325"/>
    </row>
    <row r="40" spans="1:23" s="379" customFormat="1">
      <c r="A40" s="378">
        <v>419</v>
      </c>
      <c r="B40" s="529" t="str">
        <f>+VLOOKUP($A40,[1]Master!$D$27:$G$225,4,FALSE)</f>
        <v>Ostali izdaci</v>
      </c>
      <c r="C40" s="530"/>
      <c r="D40" s="530"/>
      <c r="E40" s="530"/>
      <c r="F40" s="530"/>
      <c r="G40" s="165">
        <f>+INDEX([1]DataEx!$1:$1048576,MATCH('2019'!$A40,[1]DataEx!$D:$D,0),MATCH('2019'!G$6,[1]DataEx!$7:$7,0))</f>
        <v>593661.06999999995</v>
      </c>
      <c r="H40" s="165">
        <f>+INDEX([1]DataEx!$1:$1048576,MATCH('2019'!$A40,[1]DataEx!$D:$D,0),MATCH('2019'!H$6,[1]DataEx!$7:$7,0))</f>
        <v>3184422.4499999997</v>
      </c>
      <c r="I40" s="165">
        <f>+INDEX([1]DataEx!$1:$1048576,MATCH('2019'!$A40,[1]DataEx!$D:$D,0),MATCH('2019'!I$6,[1]DataEx!$7:$7,0))</f>
        <v>1911593.9200000002</v>
      </c>
      <c r="J40" s="165">
        <f>+INDEX([1]DataEx!$1:$1048576,MATCH('2019'!$A40,[1]DataEx!$D:$D,0),MATCH('2019'!J$6,[1]DataEx!$7:$7,0))</f>
        <v>5060376.17</v>
      </c>
      <c r="K40" s="165">
        <f>+INDEX([1]DataEx!$1:$1048576,MATCH('2019'!$A40,[1]DataEx!$D:$D,0),MATCH('2019'!K$6,[1]DataEx!$7:$7,0))</f>
        <v>1791664.6799999997</v>
      </c>
      <c r="L40" s="165">
        <f>+INDEX([1]DataEx!$1:$1048576,MATCH('2019'!$A40,[1]DataEx!$D:$D,0),MATCH('2019'!L$6,[1]DataEx!$7:$7,0))</f>
        <v>3619345.61</v>
      </c>
      <c r="M40" s="165">
        <f>+INDEX([1]DataEx!$1:$1048576,MATCH('2019'!$A40,[1]DataEx!$D:$D,0),MATCH('2019'!M$6,[1]DataEx!$7:$7,0))</f>
        <v>3434481.15</v>
      </c>
      <c r="N40" s="165">
        <f>+INDEX([1]DataEx!$1:$1048576,MATCH('2019'!$A40,[1]DataEx!$D:$D,0),MATCH('2019'!N$6,[1]DataEx!$7:$7,0))</f>
        <v>3512741.98</v>
      </c>
      <c r="O40" s="165">
        <f>+INDEX([1]DataEx!$1:$1048576,MATCH('2019'!$A40,[1]DataEx!$D:$D,0),MATCH('2019'!O$6,[1]DataEx!$7:$7,0))</f>
        <v>2623756.12</v>
      </c>
      <c r="P40" s="165">
        <f>+INDEX([1]DataEx!$1:$1048576,MATCH('2019'!$A40,[1]DataEx!$D:$D,0),MATCH('2019'!P$6,[1]DataEx!$7:$7,0))</f>
        <v>2685510.83</v>
      </c>
      <c r="Q40" s="165">
        <f>+INDEX([1]DataEx!$1:$1048576,MATCH('2019'!$A40,[1]DataEx!$D:$D,0),MATCH('2019'!Q$6,[1]DataEx!$7:$7,0))</f>
        <v>2774876.43</v>
      </c>
      <c r="R40" s="165">
        <f>+INDEX([1]DataEx!$1:$1048576,MATCH('2019'!$A40,[1]DataEx!$D:$D,0),MATCH('2019'!R$6,[1]DataEx!$7:$7,0))</f>
        <v>7691630.9299999988</v>
      </c>
      <c r="S40" s="404">
        <f t="shared" si="3"/>
        <v>38884061.339999996</v>
      </c>
      <c r="T40" s="389">
        <f t="shared" si="4"/>
        <v>7.9227493102956448E-3</v>
      </c>
      <c r="U40" s="325"/>
    </row>
    <row r="41" spans="1:23">
      <c r="A41" s="152">
        <v>440</v>
      </c>
      <c r="B41" s="480" t="str">
        <f>+VLOOKUP($A41,[1]Master!$D$27:$G$225,4,FALSE)</f>
        <v>Kapitalni izdaci u tekućem budžetu</v>
      </c>
      <c r="C41" s="481"/>
      <c r="D41" s="481"/>
      <c r="E41" s="481"/>
      <c r="F41" s="481"/>
      <c r="G41" s="165">
        <f>+INDEX([1]DataEx!$1:$1048576,MATCH('2019'!$A41,[1]DataEx!$D:$D,0),MATCH('2019'!G$6,[1]DataEx!$7:$7,0))</f>
        <v>888388.89</v>
      </c>
      <c r="H41" s="165">
        <f>+INDEX([1]DataEx!$1:$1048576,MATCH('2019'!$A41,[1]DataEx!$D:$D,0),MATCH('2019'!H$6,[1]DataEx!$7:$7,0))</f>
        <v>3462137.86</v>
      </c>
      <c r="I41" s="165">
        <f>+INDEX([1]DataEx!$1:$1048576,MATCH('2019'!$A41,[1]DataEx!$D:$D,0),MATCH('2019'!I$6,[1]DataEx!$7:$7,0))</f>
        <v>1772948.37</v>
      </c>
      <c r="J41" s="165">
        <f>+INDEX([1]DataEx!$1:$1048576,MATCH('2019'!$A41,[1]DataEx!$D:$D,0),MATCH('2019'!J$6,[1]DataEx!$7:$7,0))</f>
        <v>2074285.07</v>
      </c>
      <c r="K41" s="165">
        <f>+INDEX([1]DataEx!$1:$1048576,MATCH('2019'!$A41,[1]DataEx!$D:$D,0),MATCH('2019'!K$6,[1]DataEx!$7:$7,0))</f>
        <v>1862038.5</v>
      </c>
      <c r="L41" s="165">
        <f>+INDEX([1]DataEx!$1:$1048576,MATCH('2019'!$A41,[1]DataEx!$D:$D,0),MATCH('2019'!L$6,[1]DataEx!$7:$7,0))</f>
        <v>3083709.93</v>
      </c>
      <c r="M41" s="165">
        <f>+INDEX([1]DataEx!$1:$1048576,MATCH('2019'!$A41,[1]DataEx!$D:$D,0),MATCH('2019'!M$6,[1]DataEx!$7:$7,0))</f>
        <v>2542191.46</v>
      </c>
      <c r="N41" s="165">
        <f>+INDEX([1]DataEx!$1:$1048576,MATCH('2019'!$A41,[1]DataEx!$D:$D,0),MATCH('2019'!N$6,[1]DataEx!$7:$7,0))</f>
        <v>4838634.8899999997</v>
      </c>
      <c r="O41" s="165">
        <f>+INDEX([1]DataEx!$1:$1048576,MATCH('2019'!$A41,[1]DataEx!$D:$D,0),MATCH('2019'!O$6,[1]DataEx!$7:$7,0))</f>
        <v>2467021.91</v>
      </c>
      <c r="P41" s="165">
        <f>+INDEX([1]DataEx!$1:$1048576,MATCH('2019'!$A41,[1]DataEx!$D:$D,0),MATCH('2019'!P$6,[1]DataEx!$7:$7,0))</f>
        <v>10503762.48</v>
      </c>
      <c r="Q41" s="165">
        <f>+INDEX([1]DataEx!$1:$1048576,MATCH('2019'!$A41,[1]DataEx!$D:$D,0),MATCH('2019'!Q$6,[1]DataEx!$7:$7,0))</f>
        <v>38803606.409999996</v>
      </c>
      <c r="R41" s="165">
        <f>+INDEX([1]DataEx!$1:$1048576,MATCH('2019'!$A41,[1]DataEx!$D:$D,0),MATCH('2019'!R$6,[1]DataEx!$7:$7,0))</f>
        <v>19844910.719999999</v>
      </c>
      <c r="S41" s="404">
        <f t="shared" si="3"/>
        <v>92143636.489999995</v>
      </c>
      <c r="T41" s="389">
        <f t="shared" si="4"/>
        <v>1.8774554593614375E-2</v>
      </c>
      <c r="U41" s="325"/>
    </row>
    <row r="42" spans="1:23">
      <c r="A42" s="152">
        <v>42</v>
      </c>
      <c r="B42" s="496" t="str">
        <f>+VLOOKUP($A42,[1]Master!$D$27:$G$225,4,FALSE)</f>
        <v>Transferi za socijalnu zaštitu</v>
      </c>
      <c r="C42" s="497"/>
      <c r="D42" s="497"/>
      <c r="E42" s="497"/>
      <c r="F42" s="497"/>
      <c r="G42" s="195">
        <f>+SUM(G43:G47)</f>
        <v>42563180.95000001</v>
      </c>
      <c r="H42" s="195">
        <f t="shared" ref="H42:R42" si="8">+SUM(H43:H47)</f>
        <v>46594745.439999998</v>
      </c>
      <c r="I42" s="195">
        <f t="shared" si="8"/>
        <v>45429637.680000007</v>
      </c>
      <c r="J42" s="177">
        <f t="shared" si="8"/>
        <v>45454458.559999995</v>
      </c>
      <c r="K42" s="195">
        <f t="shared" si="8"/>
        <v>45354310.190000005</v>
      </c>
      <c r="L42" s="195">
        <f t="shared" si="8"/>
        <v>45746699.100000001</v>
      </c>
      <c r="M42" s="195">
        <f t="shared" si="8"/>
        <v>46178760.68</v>
      </c>
      <c r="N42" s="195">
        <f t="shared" si="8"/>
        <v>45699559.429999992</v>
      </c>
      <c r="O42" s="195">
        <f t="shared" si="8"/>
        <v>45932235.059999995</v>
      </c>
      <c r="P42" s="195">
        <f t="shared" si="8"/>
        <v>46755646.790000007</v>
      </c>
      <c r="Q42" s="195">
        <f t="shared" si="8"/>
        <v>45188903.659999996</v>
      </c>
      <c r="R42" s="249">
        <f t="shared" si="8"/>
        <v>53479695.530000001</v>
      </c>
      <c r="S42" s="405">
        <f t="shared" si="3"/>
        <v>554377833.07000005</v>
      </c>
      <c r="T42" s="390">
        <f t="shared" si="4"/>
        <v>0.11295622018989793</v>
      </c>
      <c r="W42" s="323"/>
    </row>
    <row r="43" spans="1:23">
      <c r="A43" s="152">
        <v>421</v>
      </c>
      <c r="B43" s="480" t="str">
        <f>+VLOOKUP($A43,[1]Master!$D$27:$G$225,4,FALSE)</f>
        <v>Prava iz oblasti socijalne zaštite</v>
      </c>
      <c r="C43" s="481"/>
      <c r="D43" s="481"/>
      <c r="E43" s="481"/>
      <c r="F43" s="481"/>
      <c r="G43" s="165">
        <f>+INDEX([1]DataEx!$1:$1048576,MATCH('2019'!$A43,[1]DataEx!$D:$D,0),MATCH('2019'!G$6,[1]DataEx!$7:$7,0))</f>
        <v>5984394.8399999999</v>
      </c>
      <c r="H43" s="165">
        <f>+INDEX([1]DataEx!$1:$1048576,MATCH('2019'!$A43,[1]DataEx!$D:$D,0),MATCH('2019'!H$6,[1]DataEx!$7:$7,0))</f>
        <v>6928715.1699999999</v>
      </c>
      <c r="I43" s="165">
        <f>+INDEX([1]DataEx!$1:$1048576,MATCH('2019'!$A43,[1]DataEx!$D:$D,0),MATCH('2019'!I$6,[1]DataEx!$7:$7,0))</f>
        <v>6534675.6500000004</v>
      </c>
      <c r="J43" s="165">
        <f>+INDEX([1]DataEx!$1:$1048576,MATCH('2019'!$A43,[1]DataEx!$D:$D,0),MATCH('2019'!J$6,[1]DataEx!$7:$7,0))</f>
        <v>6641554.0999999996</v>
      </c>
      <c r="K43" s="165">
        <f>+INDEX([1]DataEx!$1:$1048576,MATCH('2019'!$A43,[1]DataEx!$D:$D,0),MATCH('2019'!K$6,[1]DataEx!$7:$7,0))</f>
        <v>6410465.4699999997</v>
      </c>
      <c r="L43" s="165">
        <f>+INDEX([1]DataEx!$1:$1048576,MATCH('2019'!$A43,[1]DataEx!$D:$D,0),MATCH('2019'!L$6,[1]DataEx!$7:$7,0))</f>
        <v>6536921.0899999999</v>
      </c>
      <c r="M43" s="165">
        <f>+INDEX([1]DataEx!$1:$1048576,MATCH('2019'!$A43,[1]DataEx!$D:$D,0),MATCH('2019'!M$6,[1]DataEx!$7:$7,0))</f>
        <v>6798455.0999999996</v>
      </c>
      <c r="N43" s="165">
        <f>+INDEX([1]DataEx!$1:$1048576,MATCH('2019'!$A43,[1]DataEx!$D:$D,0),MATCH('2019'!N$6,[1]DataEx!$7:$7,0))</f>
        <v>6916329.6100000003</v>
      </c>
      <c r="O43" s="165">
        <f>+INDEX([1]DataEx!$1:$1048576,MATCH('2019'!$A43,[1]DataEx!$D:$D,0),MATCH('2019'!O$6,[1]DataEx!$7:$7,0))</f>
        <v>6430517.1200000001</v>
      </c>
      <c r="P43" s="165">
        <f>+INDEX([1]DataEx!$1:$1048576,MATCH('2019'!$A43,[1]DataEx!$D:$D,0),MATCH('2019'!P$6,[1]DataEx!$7:$7,0))</f>
        <v>6933312.3200000003</v>
      </c>
      <c r="Q43" s="165">
        <f>+INDEX([1]DataEx!$1:$1048576,MATCH('2019'!$A43,[1]DataEx!$D:$D,0),MATCH('2019'!Q$6,[1]DataEx!$7:$7,0))</f>
        <v>6920586.0499999998</v>
      </c>
      <c r="R43" s="165">
        <f>+INDEX([1]DataEx!$1:$1048576,MATCH('2019'!$A43,[1]DataEx!$D:$D,0),MATCH('2019'!R$6,[1]DataEx!$7:$7,0))</f>
        <v>6847594.7000000002</v>
      </c>
      <c r="S43" s="404">
        <f t="shared" si="3"/>
        <v>79883521.219999999</v>
      </c>
      <c r="T43" s="389">
        <f t="shared" si="4"/>
        <v>1.6276517700034639E-2</v>
      </c>
    </row>
    <row r="44" spans="1:23">
      <c r="A44" s="152">
        <v>422</v>
      </c>
      <c r="B44" s="480" t="str">
        <f>+VLOOKUP($A44,[1]Master!$D$27:$G$225,4,FALSE)</f>
        <v>Sredstva za tehnološke viškove</v>
      </c>
      <c r="C44" s="481"/>
      <c r="D44" s="481"/>
      <c r="E44" s="481"/>
      <c r="F44" s="481"/>
      <c r="G44" s="165">
        <f>+INDEX([1]DataEx!$1:$1048576,MATCH('2019'!$A44,[1]DataEx!$D:$D,0),MATCH('2019'!G$6,[1]DataEx!$7:$7,0))</f>
        <v>43800</v>
      </c>
      <c r="H44" s="165">
        <f>+INDEX([1]DataEx!$1:$1048576,MATCH('2019'!$A44,[1]DataEx!$D:$D,0),MATCH('2019'!H$6,[1]DataEx!$7:$7,0))</f>
        <v>1198874.72</v>
      </c>
      <c r="I44" s="165">
        <f>+INDEX([1]DataEx!$1:$1048576,MATCH('2019'!$A44,[1]DataEx!$D:$D,0),MATCH('2019'!I$6,[1]DataEx!$7:$7,0))</f>
        <v>1110784.77</v>
      </c>
      <c r="J44" s="165">
        <f>+INDEX([1]DataEx!$1:$1048576,MATCH('2019'!$A44,[1]DataEx!$D:$D,0),MATCH('2019'!J$6,[1]DataEx!$7:$7,0))</f>
        <v>1095242.3400000001</v>
      </c>
      <c r="K44" s="165">
        <f>+INDEX([1]DataEx!$1:$1048576,MATCH('2019'!$A44,[1]DataEx!$D:$D,0),MATCH('2019'!K$6,[1]DataEx!$7:$7,0))</f>
        <v>1341095.6299999999</v>
      </c>
      <c r="L44" s="165">
        <f>+INDEX([1]DataEx!$1:$1048576,MATCH('2019'!$A44,[1]DataEx!$D:$D,0),MATCH('2019'!L$6,[1]DataEx!$7:$7,0))</f>
        <v>1381621.25</v>
      </c>
      <c r="M44" s="165">
        <f>+INDEX([1]DataEx!$1:$1048576,MATCH('2019'!$A44,[1]DataEx!$D:$D,0),MATCH('2019'!M$6,[1]DataEx!$7:$7,0))</f>
        <v>1512829.9</v>
      </c>
      <c r="N44" s="165">
        <f>+INDEX([1]DataEx!$1:$1048576,MATCH('2019'!$A44,[1]DataEx!$D:$D,0),MATCH('2019'!N$6,[1]DataEx!$7:$7,0))</f>
        <v>1577705.79</v>
      </c>
      <c r="O44" s="165">
        <f>+INDEX([1]DataEx!$1:$1048576,MATCH('2019'!$A44,[1]DataEx!$D:$D,0),MATCH('2019'!O$6,[1]DataEx!$7:$7,0))</f>
        <v>1701766.69</v>
      </c>
      <c r="P44" s="165">
        <f>+INDEX([1]DataEx!$1:$1048576,MATCH('2019'!$A44,[1]DataEx!$D:$D,0),MATCH('2019'!P$6,[1]DataEx!$7:$7,0))</f>
        <v>1710317.34</v>
      </c>
      <c r="Q44" s="165">
        <f>+INDEX([1]DataEx!$1:$1048576,MATCH('2019'!$A44,[1]DataEx!$D:$D,0),MATCH('2019'!Q$6,[1]DataEx!$7:$7,0))</f>
        <v>1521408.63</v>
      </c>
      <c r="R44" s="165">
        <f>+INDEX([1]DataEx!$1:$1048576,MATCH('2019'!$A44,[1]DataEx!$D:$D,0),MATCH('2019'!R$6,[1]DataEx!$7:$7,0))</f>
        <v>6205235.9000000004</v>
      </c>
      <c r="S44" s="404">
        <f t="shared" si="3"/>
        <v>20400682.960000001</v>
      </c>
      <c r="T44" s="389">
        <f t="shared" si="4"/>
        <v>4.1567030624095848E-3</v>
      </c>
    </row>
    <row r="45" spans="1:23">
      <c r="A45" s="152">
        <v>423</v>
      </c>
      <c r="B45" s="480" t="str">
        <f>+VLOOKUP($A45,[1]Master!$D$27:$G$225,4,FALSE)</f>
        <v>Prava iz oblasti penzijskog i invalidskog osiguranja</v>
      </c>
      <c r="C45" s="481"/>
      <c r="D45" s="481"/>
      <c r="E45" s="481"/>
      <c r="F45" s="481"/>
      <c r="G45" s="165">
        <f>+INDEX([1]DataEx!$1:$1048576,MATCH('2019'!$A45,[1]DataEx!$D:$D,0),MATCH('2019'!G$6,[1]DataEx!$7:$7,0))</f>
        <v>34463250.560000002</v>
      </c>
      <c r="H45" s="165">
        <f>+INDEX([1]DataEx!$1:$1048576,MATCH('2019'!$A45,[1]DataEx!$D:$D,0),MATCH('2019'!H$6,[1]DataEx!$7:$7,0))</f>
        <v>35530204.509999998</v>
      </c>
      <c r="I45" s="165">
        <f>+INDEX([1]DataEx!$1:$1048576,MATCH('2019'!$A45,[1]DataEx!$D:$D,0),MATCH('2019'!I$6,[1]DataEx!$7:$7,0))</f>
        <v>35281542.840000004</v>
      </c>
      <c r="J45" s="165">
        <f>+INDEX([1]DataEx!$1:$1048576,MATCH('2019'!$A45,[1]DataEx!$D:$D,0),MATCH('2019'!J$6,[1]DataEx!$7:$7,0))</f>
        <v>35247727.210000001</v>
      </c>
      <c r="K45" s="165">
        <f>+INDEX([1]DataEx!$1:$1048576,MATCH('2019'!$A45,[1]DataEx!$D:$D,0),MATCH('2019'!K$6,[1]DataEx!$7:$7,0))</f>
        <v>34782667.030000001</v>
      </c>
      <c r="L45" s="165">
        <f>+INDEX([1]DataEx!$1:$1048576,MATCH('2019'!$A45,[1]DataEx!$D:$D,0),MATCH('2019'!L$6,[1]DataEx!$7:$7,0))</f>
        <v>35185457.75</v>
      </c>
      <c r="M45" s="165">
        <f>+INDEX([1]DataEx!$1:$1048576,MATCH('2019'!$A45,[1]DataEx!$D:$D,0),MATCH('2019'!M$6,[1]DataEx!$7:$7,0))</f>
        <v>35081479.57</v>
      </c>
      <c r="N45" s="165">
        <f>+INDEX([1]DataEx!$1:$1048576,MATCH('2019'!$A45,[1]DataEx!$D:$D,0),MATCH('2019'!N$6,[1]DataEx!$7:$7,0))</f>
        <v>35015667.189999998</v>
      </c>
      <c r="O45" s="165">
        <f>+INDEX([1]DataEx!$1:$1048576,MATCH('2019'!$A45,[1]DataEx!$D:$D,0),MATCH('2019'!O$6,[1]DataEx!$7:$7,0))</f>
        <v>35023295.399999999</v>
      </c>
      <c r="P45" s="165">
        <f>+INDEX([1]DataEx!$1:$1048576,MATCH('2019'!$A45,[1]DataEx!$D:$D,0),MATCH('2019'!P$6,[1]DataEx!$7:$7,0))</f>
        <v>34921729.93</v>
      </c>
      <c r="Q45" s="165">
        <f>+INDEX([1]DataEx!$1:$1048576,MATCH('2019'!$A45,[1]DataEx!$D:$D,0),MATCH('2019'!Q$6,[1]DataEx!$7:$7,0))</f>
        <v>35000424.549999997</v>
      </c>
      <c r="R45" s="165">
        <f>+INDEX([1]DataEx!$1:$1048576,MATCH('2019'!$A45,[1]DataEx!$D:$D,0),MATCH('2019'!R$6,[1]DataEx!$7:$7,0))</f>
        <v>35337455.140000001</v>
      </c>
      <c r="S45" s="404">
        <f t="shared" si="3"/>
        <v>420870901.67999995</v>
      </c>
      <c r="T45" s="389">
        <f t="shared" si="4"/>
        <v>8.5753764681431963E-2</v>
      </c>
    </row>
    <row r="46" spans="1:23">
      <c r="A46" s="152">
        <v>424</v>
      </c>
      <c r="B46" s="480" t="str">
        <f>+VLOOKUP($A46,[1]Master!$D$27:$G$225,4,FALSE)</f>
        <v>Ostala prava iz oblasti zdravstvene zaštite</v>
      </c>
      <c r="C46" s="481"/>
      <c r="D46" s="481"/>
      <c r="E46" s="481"/>
      <c r="F46" s="481"/>
      <c r="G46" s="165">
        <f>+INDEX([1]DataEx!$1:$1048576,MATCH('2019'!$A46,[1]DataEx!$D:$D,0),MATCH('2019'!G$6,[1]DataEx!$7:$7,0))</f>
        <v>1579079.63</v>
      </c>
      <c r="H46" s="165">
        <f>+INDEX([1]DataEx!$1:$1048576,MATCH('2019'!$A46,[1]DataEx!$D:$D,0),MATCH('2019'!H$6,[1]DataEx!$7:$7,0))</f>
        <v>1855950.15</v>
      </c>
      <c r="I46" s="165">
        <f>+INDEX([1]DataEx!$1:$1048576,MATCH('2019'!$A46,[1]DataEx!$D:$D,0),MATCH('2019'!I$6,[1]DataEx!$7:$7,0))</f>
        <v>1427147.65</v>
      </c>
      <c r="J46" s="165">
        <f>+INDEX([1]DataEx!$1:$1048576,MATCH('2019'!$A46,[1]DataEx!$D:$D,0),MATCH('2019'!J$6,[1]DataEx!$7:$7,0))</f>
        <v>1689956.36</v>
      </c>
      <c r="K46" s="165">
        <f>+INDEX([1]DataEx!$1:$1048576,MATCH('2019'!$A46,[1]DataEx!$D:$D,0),MATCH('2019'!K$6,[1]DataEx!$7:$7,0))</f>
        <v>1914804.54</v>
      </c>
      <c r="L46" s="165">
        <f>+INDEX([1]DataEx!$1:$1048576,MATCH('2019'!$A46,[1]DataEx!$D:$D,0),MATCH('2019'!L$6,[1]DataEx!$7:$7,0))</f>
        <v>1732967.4</v>
      </c>
      <c r="M46" s="165">
        <f>+INDEX([1]DataEx!$1:$1048576,MATCH('2019'!$A46,[1]DataEx!$D:$D,0),MATCH('2019'!M$6,[1]DataEx!$7:$7,0))</f>
        <v>1746404.92</v>
      </c>
      <c r="N46" s="165">
        <f>+INDEX([1]DataEx!$1:$1048576,MATCH('2019'!$A46,[1]DataEx!$D:$D,0),MATCH('2019'!N$6,[1]DataEx!$7:$7,0))</f>
        <v>1448048.69</v>
      </c>
      <c r="O46" s="165">
        <f>+INDEX([1]DataEx!$1:$1048576,MATCH('2019'!$A46,[1]DataEx!$D:$D,0),MATCH('2019'!O$6,[1]DataEx!$7:$7,0))</f>
        <v>1671066.3</v>
      </c>
      <c r="P46" s="165">
        <f>+INDEX([1]DataEx!$1:$1048576,MATCH('2019'!$A46,[1]DataEx!$D:$D,0),MATCH('2019'!P$6,[1]DataEx!$7:$7,0))</f>
        <v>2220320.35</v>
      </c>
      <c r="Q46" s="165">
        <f>+INDEX([1]DataEx!$1:$1048576,MATCH('2019'!$A46,[1]DataEx!$D:$D,0),MATCH('2019'!Q$6,[1]DataEx!$7:$7,0))</f>
        <v>992005.1</v>
      </c>
      <c r="R46" s="165">
        <f>+INDEX([1]DataEx!$1:$1048576,MATCH('2019'!$A46,[1]DataEx!$D:$D,0),MATCH('2019'!R$6,[1]DataEx!$7:$7,0))</f>
        <v>3421539.53</v>
      </c>
      <c r="S46" s="404">
        <f t="shared" si="3"/>
        <v>21699290.620000005</v>
      </c>
      <c r="T46" s="389">
        <f t="shared" si="4"/>
        <v>4.4212984412885358E-3</v>
      </c>
      <c r="U46" s="371"/>
    </row>
    <row r="47" spans="1:23" s="379" customFormat="1">
      <c r="A47" s="378">
        <v>425</v>
      </c>
      <c r="B47" s="539" t="str">
        <f>+VLOOKUP($A47,[1]Master!$D$27:$G$225,4,FALSE)</f>
        <v>Ostala prava iz zdravstvenog osiguranja</v>
      </c>
      <c r="C47" s="540"/>
      <c r="D47" s="540"/>
      <c r="E47" s="540"/>
      <c r="F47" s="540"/>
      <c r="G47" s="165">
        <f>+INDEX([1]DataEx!$1:$1048576,MATCH('2019'!$A47,[1]DataEx!$D:$D,0),MATCH('2019'!G$6,[1]DataEx!$7:$7,0))</f>
        <v>492655.92</v>
      </c>
      <c r="H47" s="165">
        <f>+INDEX([1]DataEx!$1:$1048576,MATCH('2019'!$A47,[1]DataEx!$D:$D,0),MATCH('2019'!H$6,[1]DataEx!$7:$7,0))</f>
        <v>1081000.8899999999</v>
      </c>
      <c r="I47" s="165">
        <f>+INDEX([1]DataEx!$1:$1048576,MATCH('2019'!$A47,[1]DataEx!$D:$D,0),MATCH('2019'!I$6,[1]DataEx!$7:$7,0))</f>
        <v>1075486.77</v>
      </c>
      <c r="J47" s="165">
        <f>+INDEX([1]DataEx!$1:$1048576,MATCH('2019'!$A47,[1]DataEx!$D:$D,0),MATCH('2019'!J$6,[1]DataEx!$7:$7,0))</f>
        <v>779978.55</v>
      </c>
      <c r="K47" s="165">
        <f>+INDEX([1]DataEx!$1:$1048576,MATCH('2019'!$A47,[1]DataEx!$D:$D,0),MATCH('2019'!K$6,[1]DataEx!$7:$7,0))</f>
        <v>905277.52</v>
      </c>
      <c r="L47" s="165">
        <f>+INDEX([1]DataEx!$1:$1048576,MATCH('2019'!$A47,[1]DataEx!$D:$D,0),MATCH('2019'!L$6,[1]DataEx!$7:$7,0))</f>
        <v>909731.61</v>
      </c>
      <c r="M47" s="165">
        <f>+INDEX([1]DataEx!$1:$1048576,MATCH('2019'!$A47,[1]DataEx!$D:$D,0),MATCH('2019'!M$6,[1]DataEx!$7:$7,0))</f>
        <v>1039591.19</v>
      </c>
      <c r="N47" s="165">
        <f>+INDEX([1]DataEx!$1:$1048576,MATCH('2019'!$A47,[1]DataEx!$D:$D,0),MATCH('2019'!N$6,[1]DataEx!$7:$7,0))</f>
        <v>741808.15</v>
      </c>
      <c r="O47" s="165">
        <f>+INDEX([1]DataEx!$1:$1048576,MATCH('2019'!$A47,[1]DataEx!$D:$D,0),MATCH('2019'!O$6,[1]DataEx!$7:$7,0))</f>
        <v>1105589.55</v>
      </c>
      <c r="P47" s="165">
        <f>+INDEX([1]DataEx!$1:$1048576,MATCH('2019'!$A47,[1]DataEx!$D:$D,0),MATCH('2019'!P$6,[1]DataEx!$7:$7,0))</f>
        <v>969966.85</v>
      </c>
      <c r="Q47" s="165">
        <f>+INDEX([1]DataEx!$1:$1048576,MATCH('2019'!$A47,[1]DataEx!$D:$D,0),MATCH('2019'!Q$6,[1]DataEx!$7:$7,0))</f>
        <v>754479.33</v>
      </c>
      <c r="R47" s="165">
        <f>+INDEX([1]DataEx!$1:$1048576,MATCH('2019'!$A47,[1]DataEx!$D:$D,0),MATCH('2019'!R$6,[1]DataEx!$7:$7,0))</f>
        <v>1667870.26</v>
      </c>
      <c r="S47" s="404">
        <f t="shared" si="3"/>
        <v>11523436.590000002</v>
      </c>
      <c r="T47" s="389">
        <f t="shared" si="4"/>
        <v>2.3479363047331854E-3</v>
      </c>
    </row>
    <row r="48" spans="1:23">
      <c r="A48" s="152">
        <v>43</v>
      </c>
      <c r="B48" s="494" t="str">
        <f>+VLOOKUP($A48,[1]Master!$D$27:$G$225,4,FALSE)</f>
        <v xml:space="preserve">Transferi institucijama, pojedincima, nevladinom i javnom sektoru </v>
      </c>
      <c r="C48" s="495"/>
      <c r="D48" s="495"/>
      <c r="E48" s="495"/>
      <c r="F48" s="495"/>
      <c r="G48" s="177">
        <f>+INDEX([1]DataEx!$1:$1048576,MATCH('2019'!$A48,[1]DataEx!$D:$D,0),MATCH('2019'!G$6,[1]DataEx!$7:$7,0))</f>
        <v>15740550.810000001</v>
      </c>
      <c r="H48" s="177">
        <f>+INDEX([1]DataEx!$1:$1048576,MATCH('2019'!$A48,[1]DataEx!$D:$D,0),MATCH('2019'!H$6,[1]DataEx!$7:$7,0))</f>
        <v>18630588.73</v>
      </c>
      <c r="I48" s="177">
        <f>+INDEX([1]DataEx!$1:$1048576,MATCH('2019'!$A48,[1]DataEx!$D:$D,0),MATCH('2019'!I$6,[1]DataEx!$7:$7,0))</f>
        <v>16694917.779999999</v>
      </c>
      <c r="J48" s="177">
        <f>+INDEX([1]DataEx!$1:$1048576,MATCH('2019'!$A48,[1]DataEx!$D:$D,0),MATCH('2019'!J$6,[1]DataEx!$7:$7,0))</f>
        <v>16108536.07</v>
      </c>
      <c r="K48" s="177">
        <f>+INDEX([1]DataEx!$1:$1048576,MATCH('2019'!$A48,[1]DataEx!$D:$D,0),MATCH('2019'!K$6,[1]DataEx!$7:$7,0))</f>
        <v>17254969.68</v>
      </c>
      <c r="L48" s="177">
        <f>+INDEX([1]DataEx!$1:$1048576,MATCH('2019'!$A48,[1]DataEx!$D:$D,0),MATCH('2019'!L$6,[1]DataEx!$7:$7,0))</f>
        <v>13582344.5</v>
      </c>
      <c r="M48" s="177">
        <f>+INDEX([1]DataEx!$1:$1048576,MATCH('2019'!$A48,[1]DataEx!$D:$D,0),MATCH('2019'!M$6,[1]DataEx!$7:$7,0))</f>
        <v>25674739.879999999</v>
      </c>
      <c r="N48" s="177">
        <f>+INDEX([1]DataEx!$1:$1048576,MATCH('2019'!$A48,[1]DataEx!$D:$D,0),MATCH('2019'!N$6,[1]DataEx!$7:$7,0))</f>
        <v>14819789.789999999</v>
      </c>
      <c r="O48" s="177">
        <f>+INDEX([1]DataEx!$1:$1048576,MATCH('2019'!$A48,[1]DataEx!$D:$D,0),MATCH('2019'!O$6,[1]DataEx!$7:$7,0))</f>
        <v>22891347.969999999</v>
      </c>
      <c r="P48" s="177">
        <f>+INDEX([1]DataEx!$1:$1048576,MATCH('2019'!$A48,[1]DataEx!$D:$D,0),MATCH('2019'!P$6,[1]DataEx!$7:$7,0))</f>
        <v>17069504.329999998</v>
      </c>
      <c r="Q48" s="177">
        <f>+INDEX([1]DataEx!$1:$1048576,MATCH('2019'!$A48,[1]DataEx!$D:$D,0),MATCH('2019'!Q$6,[1]DataEx!$7:$7,0))</f>
        <v>17615895</v>
      </c>
      <c r="R48" s="246">
        <f>+INDEX([1]DataEx!$1:$1048576,MATCH('2019'!$A48,[1]DataEx!$D:$D,0),MATCH('2019'!R$6,[1]DataEx!$7:$7,0))</f>
        <v>23619301.27</v>
      </c>
      <c r="S48" s="405">
        <f t="shared" si="3"/>
        <v>219702485.80999997</v>
      </c>
      <c r="T48" s="390">
        <f t="shared" si="4"/>
        <v>4.4765069746734852E-2</v>
      </c>
    </row>
    <row r="49" spans="1:22">
      <c r="A49" s="152">
        <v>44</v>
      </c>
      <c r="B49" s="494" t="str">
        <f>+VLOOKUP($A49,[1]Master!$D$27:$G$225,4,FALSE)</f>
        <v>Kapitalni budžet</v>
      </c>
      <c r="C49" s="495"/>
      <c r="D49" s="495"/>
      <c r="E49" s="495"/>
      <c r="F49" s="495"/>
      <c r="G49" s="177">
        <f>+INDEX([1]DataEx!$1:$1048576,MATCH('2019'!$A49,[1]DataEx!$D:$D,0),MATCH('2019'!G$6,[1]DataEx!$7:$7,0))</f>
        <v>26799713.309999999</v>
      </c>
      <c r="H49" s="177">
        <f>+INDEX([1]DataEx!$1:$1048576,MATCH('2019'!$A49,[1]DataEx!$D:$D,0),MATCH('2019'!H$6,[1]DataEx!$7:$7,0))</f>
        <v>4566174.7300000004</v>
      </c>
      <c r="I49" s="177">
        <f>+INDEX([1]DataEx!$1:$1048576,MATCH('2019'!$A49,[1]DataEx!$D:$D,0),MATCH('2019'!I$6,[1]DataEx!$7:$7,0))</f>
        <v>16026445.34</v>
      </c>
      <c r="J49" s="177">
        <f>+INDEX([1]DataEx!$1:$1048576,MATCH('2019'!$A49,[1]DataEx!$D:$D,0),MATCH('2019'!J$6,[1]DataEx!$7:$7,0))</f>
        <v>12709228.77</v>
      </c>
      <c r="K49" s="177">
        <f>+INDEX([1]DataEx!$1:$1048576,MATCH('2019'!$A49,[1]DataEx!$D:$D,0),MATCH('2019'!K$6,[1]DataEx!$7:$7,0))</f>
        <v>12112655.92</v>
      </c>
      <c r="L49" s="177">
        <f>+INDEX([1]DataEx!$1:$1048576,MATCH('2019'!$A49,[1]DataEx!$D:$D,0),MATCH('2019'!L$6,[1]DataEx!$7:$7,0))</f>
        <v>14428455.43</v>
      </c>
      <c r="M49" s="177">
        <f>+INDEX([1]DataEx!$1:$1048576,MATCH('2019'!$A49,[1]DataEx!$D:$D,0),MATCH('2019'!M$6,[1]DataEx!$7:$7,0))</f>
        <v>24624860.789999999</v>
      </c>
      <c r="N49" s="177">
        <f>+INDEX([1]DataEx!$1:$1048576,MATCH('2019'!$A49,[1]DataEx!$D:$D,0),MATCH('2019'!N$6,[1]DataEx!$7:$7,0))</f>
        <v>41555733.579999998</v>
      </c>
      <c r="O49" s="177">
        <f>+INDEX([1]DataEx!$1:$1048576,MATCH('2019'!$A49,[1]DataEx!$D:$D,0),MATCH('2019'!O$6,[1]DataEx!$7:$7,0))</f>
        <v>16395443.43</v>
      </c>
      <c r="P49" s="177">
        <f>+INDEX([1]DataEx!$1:$1048576,MATCH('2019'!$A49,[1]DataEx!$D:$D,0),MATCH('2019'!P$6,[1]DataEx!$7:$7,0))</f>
        <v>29474002.559999999</v>
      </c>
      <c r="Q49" s="177">
        <f>+INDEX([1]DataEx!$1:$1048576,MATCH('2019'!$A49,[1]DataEx!$D:$D,0),MATCH('2019'!Q$6,[1]DataEx!$7:$7,0))</f>
        <v>24779663.789999999</v>
      </c>
      <c r="R49" s="177">
        <f>+INDEX([1]DataEx!$1:$1048576,MATCH('2019'!$A49,[1]DataEx!$D:$D,0),MATCH('2019'!R$6,[1]DataEx!$7:$7,0))</f>
        <v>48910344.240000002</v>
      </c>
      <c r="S49" s="405">
        <f t="shared" si="3"/>
        <v>272382721.88999999</v>
      </c>
      <c r="T49" s="390">
        <f t="shared" si="4"/>
        <v>5.5498832879643023E-2</v>
      </c>
    </row>
    <row r="50" spans="1:22">
      <c r="A50" s="152">
        <v>451</v>
      </c>
      <c r="B50" s="531" t="str">
        <f>+VLOOKUP($A50,[1]Master!$D$27:$G$225,4,FALSE)</f>
        <v>Pozajmice i krediti</v>
      </c>
      <c r="C50" s="532"/>
      <c r="D50" s="532"/>
      <c r="E50" s="532"/>
      <c r="F50" s="532"/>
      <c r="G50" s="165">
        <f>+INDEX([1]DataEx!$1:$1048576,MATCH('2019'!$A50,[1]DataEx!$D:$D,0),MATCH('2019'!G$6,[1]DataEx!$7:$7,0))</f>
        <v>0</v>
      </c>
      <c r="H50" s="165">
        <f>+INDEX([1]DataEx!$1:$1048576,MATCH('2019'!$A50,[1]DataEx!$D:$D,0),MATCH('2019'!H$6,[1]DataEx!$7:$7,0))</f>
        <v>272323.98</v>
      </c>
      <c r="I50" s="165">
        <f>+INDEX([1]DataEx!$1:$1048576,MATCH('2019'!$A50,[1]DataEx!$D:$D,0),MATCH('2019'!I$6,[1]DataEx!$7:$7,0))</f>
        <v>30000</v>
      </c>
      <c r="J50" s="213">
        <f>+INDEX([1]DataEx!$1:$1048576,MATCH('2019'!$A50,[1]DataEx!$D:$D,0),MATCH('2019'!J$6,[1]DataEx!$7:$7,0))</f>
        <v>384534</v>
      </c>
      <c r="K50" s="165">
        <f>+INDEX([1]DataEx!$1:$1048576,MATCH('2019'!$A50,[1]DataEx!$D:$D,0),MATCH('2019'!K$6,[1]DataEx!$7:$7,0))</f>
        <v>260000</v>
      </c>
      <c r="L50" s="165">
        <f>+INDEX([1]DataEx!$1:$1048576,MATCH('2019'!$A50,[1]DataEx!$D:$D,0),MATCH('2019'!L$6,[1]DataEx!$7:$7,0))</f>
        <v>358750</v>
      </c>
      <c r="M50" s="165">
        <f>+INDEX([1]DataEx!$1:$1048576,MATCH('2019'!$A50,[1]DataEx!$D:$D,0),MATCH('2019'!M$6,[1]DataEx!$7:$7,0))</f>
        <v>335000</v>
      </c>
      <c r="N50" s="165">
        <f>+INDEX([1]DataEx!$1:$1048576,MATCH('2019'!$A50,[1]DataEx!$D:$D,0),MATCH('2019'!N$6,[1]DataEx!$7:$7,0))</f>
        <v>145000</v>
      </c>
      <c r="O50" s="165">
        <f>+INDEX([1]DataEx!$1:$1048576,MATCH('2019'!$A50,[1]DataEx!$D:$D,0),MATCH('2019'!O$6,[1]DataEx!$7:$7,0))</f>
        <v>298894</v>
      </c>
      <c r="P50" s="165">
        <f>+INDEX([1]DataEx!$1:$1048576,MATCH('2019'!$A50,[1]DataEx!$D:$D,0),MATCH('2019'!P$6,[1]DataEx!$7:$7,0))</f>
        <v>10000</v>
      </c>
      <c r="Q50" s="165">
        <f>+INDEX([1]DataEx!$1:$1048576,MATCH('2019'!$A50,[1]DataEx!$D:$D,0),MATCH('2019'!Q$6,[1]DataEx!$7:$7,0))</f>
        <v>200000</v>
      </c>
      <c r="R50" s="165">
        <f>+INDEX([1]DataEx!$1:$1048576,MATCH('2019'!$A50,[1]DataEx!$D:$D,0),MATCH('2019'!R$6,[1]DataEx!$7:$7,0))</f>
        <v>882434</v>
      </c>
      <c r="S50" s="404">
        <f t="shared" si="3"/>
        <v>3176935.98</v>
      </c>
      <c r="T50" s="389">
        <f t="shared" si="4"/>
        <v>6.4731065832637172E-4</v>
      </c>
    </row>
    <row r="51" spans="1:22" s="379" customFormat="1">
      <c r="A51" s="378">
        <v>47</v>
      </c>
      <c r="B51" s="533" t="str">
        <f>+VLOOKUP($A51,[1]Master!$D$27:$G$225,4,FALSE)</f>
        <v>Rezerve</v>
      </c>
      <c r="C51" s="534"/>
      <c r="D51" s="534"/>
      <c r="E51" s="534"/>
      <c r="F51" s="534"/>
      <c r="G51" s="165">
        <f>+INDEX([1]DataEx!$1:$1048576,MATCH('2019'!$A51,[1]DataEx!$D:$D,0),MATCH('2019'!G$6,[1]DataEx!$7:$7,0))</f>
        <v>0</v>
      </c>
      <c r="H51" s="165">
        <f>+INDEX([1]DataEx!$1:$1048576,MATCH('2019'!$A51,[1]DataEx!$D:$D,0),MATCH('2019'!H$6,[1]DataEx!$7:$7,0))</f>
        <v>1952871.71</v>
      </c>
      <c r="I51" s="165">
        <f>+INDEX([1]DataEx!$1:$1048576,MATCH('2019'!$A51,[1]DataEx!$D:$D,0),MATCH('2019'!I$6,[1]DataEx!$7:$7,0))</f>
        <v>278787.49</v>
      </c>
      <c r="J51" s="213">
        <f>+INDEX([1]DataEx!$1:$1048576,MATCH('2019'!$A51,[1]DataEx!$D:$D,0),MATCH('2019'!J$6,[1]DataEx!$7:$7,0))</f>
        <v>1806704.1</v>
      </c>
      <c r="K51" s="165">
        <f>+INDEX([1]DataEx!$1:$1048576,MATCH('2019'!$A51,[1]DataEx!$D:$D,0),MATCH('2019'!K$6,[1]DataEx!$7:$7,0))</f>
        <v>1407800</v>
      </c>
      <c r="L51" s="165">
        <f>+INDEX([1]DataEx!$1:$1048576,MATCH('2019'!$A51,[1]DataEx!$D:$D,0),MATCH('2019'!L$6,[1]DataEx!$7:$7,0))</f>
        <v>1291723.94</v>
      </c>
      <c r="M51" s="165">
        <f>+INDEX([1]DataEx!$1:$1048576,MATCH('2019'!$A51,[1]DataEx!$D:$D,0),MATCH('2019'!M$6,[1]DataEx!$7:$7,0))</f>
        <v>6488928.9000000004</v>
      </c>
      <c r="N51" s="165">
        <f>+INDEX([1]DataEx!$1:$1048576,MATCH('2019'!$A51,[1]DataEx!$D:$D,0),MATCH('2019'!N$6,[1]DataEx!$7:$7,0))</f>
        <v>433973.31</v>
      </c>
      <c r="O51" s="165">
        <f>+INDEX([1]DataEx!$1:$1048576,MATCH('2019'!$A51,[1]DataEx!$D:$D,0),MATCH('2019'!O$6,[1]DataEx!$7:$7,0))</f>
        <v>745665.27</v>
      </c>
      <c r="P51" s="165">
        <f>+INDEX([1]DataEx!$1:$1048576,MATCH('2019'!$A51,[1]DataEx!$D:$D,0),MATCH('2019'!P$6,[1]DataEx!$7:$7,0))</f>
        <v>424125.36</v>
      </c>
      <c r="Q51" s="165">
        <f>+INDEX([1]DataEx!$1:$1048576,MATCH('2019'!$A51,[1]DataEx!$D:$D,0),MATCH('2019'!Q$6,[1]DataEx!$7:$7,0))</f>
        <v>5226150</v>
      </c>
      <c r="R51" s="213">
        <f>+INDEX([1]DataEx!$1:$1048576,MATCH('2019'!$A51,[1]DataEx!$D:$D,0),MATCH('2019'!R$6,[1]DataEx!$7:$7,0))</f>
        <v>4239725.51</v>
      </c>
      <c r="S51" s="404">
        <f t="shared" si="3"/>
        <v>24296455.589999996</v>
      </c>
      <c r="T51" s="389">
        <f t="shared" si="4"/>
        <v>4.950478940076203E-3</v>
      </c>
    </row>
    <row r="52" spans="1:22" ht="13.5" thickBot="1">
      <c r="A52" s="152">
        <v>462</v>
      </c>
      <c r="B52" s="500" t="str">
        <f>+VLOOKUP($A52,[1]Master!$D$27:$G$225,4,FALSE)</f>
        <v>Otplata garancija</v>
      </c>
      <c r="C52" s="501"/>
      <c r="D52" s="501"/>
      <c r="E52" s="501"/>
      <c r="F52" s="501"/>
      <c r="G52" s="201">
        <f>+INDEX([1]DataEx!$1:$1048576,MATCH('2019'!$A52,[1]DataEx!$D:$D,0),MATCH('2019'!G$6,[1]DataEx!$7:$7,0))</f>
        <v>2253720.0299999998</v>
      </c>
      <c r="H52" s="201">
        <f>+INDEX([1]DataEx!$1:$1048576,MATCH('2019'!$A52,[1]DataEx!$D:$D,0),MATCH('2019'!H$6,[1]DataEx!$7:$7,0))</f>
        <v>494.04</v>
      </c>
      <c r="I52" s="201">
        <f>+INDEX([1]DataEx!$1:$1048576,MATCH('2019'!$A52,[1]DataEx!$D:$D,0),MATCH('2019'!I$6,[1]DataEx!$7:$7,0))</f>
        <v>7180485.3399999999</v>
      </c>
      <c r="J52" s="201">
        <f>+INDEX([1]DataEx!$1:$1048576,MATCH('2019'!$A52,[1]DataEx!$D:$D,0),MATCH('2019'!J$6,[1]DataEx!$7:$7,0))</f>
        <v>0</v>
      </c>
      <c r="K52" s="201">
        <f>+INDEX([1]DataEx!$1:$1048576,MATCH('2019'!$A52,[1]DataEx!$D:$D,0),MATCH('2019'!K$6,[1]DataEx!$7:$7,0))</f>
        <v>0</v>
      </c>
      <c r="L52" s="201">
        <f>+INDEX([1]DataEx!$1:$1048576,MATCH('2019'!$A52,[1]DataEx!$D:$D,0),MATCH('2019'!L$6,[1]DataEx!$7:$7,0))</f>
        <v>0</v>
      </c>
      <c r="M52" s="201">
        <f>+INDEX([1]DataEx!$1:$1048576,MATCH('2019'!$A52,[1]DataEx!$D:$D,0),MATCH('2019'!M$6,[1]DataEx!$7:$7,0))</f>
        <v>0</v>
      </c>
      <c r="N52" s="201">
        <f>+INDEX([1]DataEx!$1:$1048576,MATCH('2019'!$A52,[1]DataEx!$D:$D,0),MATCH('2019'!N$6,[1]DataEx!$7:$7,0))</f>
        <v>0</v>
      </c>
      <c r="O52" s="201">
        <f>+INDEX([1]DataEx!$1:$1048576,MATCH('2019'!$A52,[1]DataEx!$D:$D,0),MATCH('2019'!O$6,[1]DataEx!$7:$7,0))</f>
        <v>0</v>
      </c>
      <c r="P52" s="201">
        <f>+INDEX([1]DataEx!$1:$1048576,MATCH('2019'!$A52,[1]DataEx!$D:$D,0),MATCH('2019'!P$6,[1]DataEx!$7:$7,0))</f>
        <v>0</v>
      </c>
      <c r="Q52" s="201">
        <f>+INDEX([1]DataEx!$1:$1048576,MATCH('2019'!$A52,[1]DataEx!$D:$D,0),MATCH('2019'!Q$6,[1]DataEx!$7:$7,0))</f>
        <v>0</v>
      </c>
      <c r="R52" s="201">
        <f>+INDEX([1]DataEx!$1:$1048576,MATCH('2019'!$A52,[1]DataEx!$D:$D,0),MATCH('2019'!R$6,[1]DataEx!$7:$7,0))</f>
        <v>29250000</v>
      </c>
      <c r="S52" s="404">
        <f t="shared" si="3"/>
        <v>38684699.409999996</v>
      </c>
      <c r="T52" s="394">
        <f t="shared" si="4"/>
        <v>7.8821286925161473E-3</v>
      </c>
      <c r="U52" s="306"/>
      <c r="V52" s="307"/>
    </row>
    <row r="53" spans="1:22" ht="13.5" thickBot="1">
      <c r="A53" s="146">
        <v>4630</v>
      </c>
      <c r="B53" s="535" t="str">
        <f>+VLOOKUP($A53,[1]Master!$D$27:$G$225,4,TRUE)</f>
        <v>Otplata obaveza iz prethodnih godina</v>
      </c>
      <c r="C53" s="536"/>
      <c r="D53" s="536"/>
      <c r="E53" s="536"/>
      <c r="F53" s="536"/>
      <c r="G53" s="201">
        <f>+INDEX([1]DataEx!$1:$1048576,MATCH('2019'!$A53,[1]DataEx!$D:$D,0),MATCH('2019'!G$6,[1]DataEx!$7:$7,0))</f>
        <v>1205053.3500000001</v>
      </c>
      <c r="H53" s="201">
        <f>+INDEX([1]DataEx!$1:$1048576,MATCH('2019'!$A53,[1]DataEx!$D:$D,0),MATCH('2019'!H$6,[1]DataEx!$7:$7,0))</f>
        <v>1401737.72</v>
      </c>
      <c r="I53" s="201">
        <f>+INDEX([1]DataEx!$1:$1048576,MATCH('2019'!$A53,[1]DataEx!$D:$D,0),MATCH('2019'!I$6,[1]DataEx!$7:$7,0))</f>
        <v>1741137.89</v>
      </c>
      <c r="J53" s="201">
        <f>+INDEX([1]DataEx!$1:$1048576,MATCH('2019'!$A53,[1]DataEx!$D:$D,0),MATCH('2019'!J$6,[1]DataEx!$7:$7,0))</f>
        <v>1788599.55</v>
      </c>
      <c r="K53" s="201">
        <f>+INDEX([1]DataEx!$1:$1048576,MATCH('2019'!$A53,[1]DataEx!$D:$D,0),MATCH('2019'!K$6,[1]DataEx!$7:$7,0))</f>
        <v>1469971.03</v>
      </c>
      <c r="L53" s="201">
        <f>+INDEX([1]DataEx!$1:$1048576,MATCH('2019'!$A53,[1]DataEx!$D:$D,0),MATCH('2019'!L$6,[1]DataEx!$7:$7,0))</f>
        <v>1848609.33</v>
      </c>
      <c r="M53" s="201">
        <f>+INDEX([1]DataEx!$1:$1048576,MATCH('2019'!$A53,[1]DataEx!$D:$D,0),MATCH('2019'!M$6,[1]DataEx!$7:$7,0))</f>
        <v>4446503.8099999996</v>
      </c>
      <c r="N53" s="201">
        <f>+INDEX([1]DataEx!$1:$1048576,MATCH('2019'!$A53,[1]DataEx!$D:$D,0),MATCH('2019'!N$6,[1]DataEx!$7:$7,0))</f>
        <v>903390.64</v>
      </c>
      <c r="O53" s="201">
        <f>+INDEX([1]DataEx!$1:$1048576,MATCH('2019'!$A53,[1]DataEx!$D:$D,0),MATCH('2019'!O$6,[1]DataEx!$7:$7,0))</f>
        <v>1579978.54</v>
      </c>
      <c r="P53" s="201">
        <f>+INDEX([1]DataEx!$1:$1048576,MATCH('2019'!$A53,[1]DataEx!$D:$D,0),MATCH('2019'!P$6,[1]DataEx!$7:$7,0))</f>
        <v>1269302.99</v>
      </c>
      <c r="Q53" s="201">
        <f>+INDEX([1]DataEx!$1:$1048576,MATCH('2019'!$A53,[1]DataEx!$D:$D,0),MATCH('2019'!Q$6,[1]DataEx!$7:$7,0))</f>
        <v>1244693.3799999999</v>
      </c>
      <c r="R53" s="201">
        <f>+INDEX([1]DataEx!$1:$1048576,MATCH('2019'!$A53,[1]DataEx!$D:$D,0),MATCH('2019'!R$6,[1]DataEx!$7:$7,0))</f>
        <v>1794864.65</v>
      </c>
      <c r="S53" s="409">
        <f>+SUM(G53:R53)</f>
        <v>20693842.879999995</v>
      </c>
      <c r="T53" s="394">
        <f>+S53/$T$7</f>
        <v>4.2164353144929596E-3</v>
      </c>
    </row>
    <row r="54" spans="1:22" ht="13.5" thickBot="1">
      <c r="A54" s="70">
        <v>1005</v>
      </c>
      <c r="B54" s="537" t="str">
        <f>+VLOOKUP($A54,[1]Master!$D$27:$G$227,4,FALSE)</f>
        <v>Neto povećanje obaveza</v>
      </c>
      <c r="C54" s="538"/>
      <c r="D54" s="538"/>
      <c r="E54" s="538"/>
      <c r="F54" s="538"/>
      <c r="G54" s="95">
        <f>+INDEX([1]DataEx!$1:$1048576,MATCH('2019'!$A54,[1]DataEx!$D:$D,0),MATCH('2019'!G$6,[1]DataEx!$7:$7,0))</f>
        <v>0</v>
      </c>
      <c r="H54" s="95">
        <f>+INDEX([1]DataEx!$1:$1048576,MATCH('2019'!$A54,[1]DataEx!$D:$D,0),MATCH('2019'!H$6,[1]DataEx!$7:$7,0))</f>
        <v>0</v>
      </c>
      <c r="I54" s="95">
        <f>+INDEX([1]DataEx!$1:$1048576,MATCH('2019'!$A54,[1]DataEx!$D:$D,0),MATCH('2019'!I$6,[1]DataEx!$7:$7,0))</f>
        <v>0</v>
      </c>
      <c r="J54" s="213">
        <f>+INDEX([1]DataEx!$1:$1048576,MATCH('2019'!$A54,[1]DataEx!$D:$D,0),MATCH('2019'!J$6,[1]DataEx!$7:$7,0))</f>
        <v>0</v>
      </c>
      <c r="K54" s="95">
        <f>+INDEX([1]DataEx!$1:$1048576,MATCH('2019'!$A54,[1]DataEx!$D:$D,0),MATCH('2019'!K$6,[1]DataEx!$7:$7,0))</f>
        <v>0</v>
      </c>
      <c r="L54" s="95">
        <f>+INDEX([1]DataEx!$1:$1048576,MATCH('2019'!$A54,[1]DataEx!$D:$D,0),MATCH('2019'!L$6,[1]DataEx!$7:$7,0))</f>
        <v>0</v>
      </c>
      <c r="M54" s="95">
        <f>+INDEX([1]DataEx!$1:$1048576,MATCH('2019'!$A54,[1]DataEx!$D:$D,0),MATCH('2019'!M$6,[1]DataEx!$7:$7,0))</f>
        <v>0</v>
      </c>
      <c r="N54" s="95">
        <f>+INDEX([1]DataEx!$1:$1048576,MATCH('2019'!$A54,[1]DataEx!$D:$D,0),MATCH('2019'!N$6,[1]DataEx!$7:$7,0))</f>
        <v>0</v>
      </c>
      <c r="O54" s="95">
        <f>+INDEX([1]DataEx!$1:$1048576,MATCH('2019'!$A54,[1]DataEx!$D:$D,0),MATCH('2019'!O$6,[1]DataEx!$7:$7,0))</f>
        <v>0</v>
      </c>
      <c r="P54" s="95">
        <f>+INDEX([1]DataEx!$1:$1048576,MATCH('2019'!$A54,[1]DataEx!$D:$D,0),MATCH('2019'!P$6,[1]DataEx!$7:$7,0))</f>
        <v>0</v>
      </c>
      <c r="Q54" s="95">
        <f>+INDEX([1]DataEx!$1:$1048576,MATCH('2019'!$A54,[1]DataEx!$D:$D,0),MATCH('2019'!Q$6,[1]DataEx!$7:$7,0))</f>
        <v>0</v>
      </c>
      <c r="R54" s="95">
        <f>+INDEX([1]DataEx!$1:$1048576,MATCH('2019'!$A54,[1]DataEx!$D:$D,0),MATCH('2019'!R$6,[1]DataEx!$7:$7,0))</f>
        <v>0</v>
      </c>
      <c r="S54" s="410">
        <f>+SUM(G54:R54)</f>
        <v>0</v>
      </c>
      <c r="T54" s="395">
        <f>+S54/$T$7</f>
        <v>0</v>
      </c>
    </row>
    <row r="55" spans="1:22" ht="13.5" thickBot="1">
      <c r="A55" s="146">
        <v>1000</v>
      </c>
      <c r="B55" s="502" t="str">
        <f>+VLOOKUP($A55,[1]Master!$D$27:$G$225,4,FALSE)</f>
        <v>Suficit / deficit</v>
      </c>
      <c r="C55" s="503"/>
      <c r="D55" s="503"/>
      <c r="E55" s="503"/>
      <c r="F55" s="503"/>
      <c r="G55" s="153">
        <f t="shared" ref="G55:R55" si="9">+G10-G29</f>
        <v>-32304836.680000007</v>
      </c>
      <c r="H55" s="153">
        <f t="shared" si="9"/>
        <v>-14386045.980000004</v>
      </c>
      <c r="I55" s="153">
        <f t="shared" si="9"/>
        <v>-24604985.380000025</v>
      </c>
      <c r="J55" s="153">
        <f t="shared" si="9"/>
        <v>10138380.330000043</v>
      </c>
      <c r="K55" s="153">
        <f t="shared" si="9"/>
        <v>-1934318.9800000191</v>
      </c>
      <c r="L55" s="153">
        <f t="shared" si="9"/>
        <v>-859554.13999998569</v>
      </c>
      <c r="M55" s="153">
        <f t="shared" si="9"/>
        <v>-5307683.3999999762</v>
      </c>
      <c r="N55" s="153">
        <f t="shared" si="9"/>
        <v>14435810.870000005</v>
      </c>
      <c r="O55" s="153">
        <f t="shared" si="9"/>
        <v>16525506.420000017</v>
      </c>
      <c r="P55" s="153">
        <f t="shared" si="9"/>
        <v>-22689490.460000008</v>
      </c>
      <c r="Q55" s="153">
        <f t="shared" si="9"/>
        <v>-49916907.269999981</v>
      </c>
      <c r="R55" s="153">
        <f t="shared" si="9"/>
        <v>-32724967.230000019</v>
      </c>
      <c r="S55" s="411">
        <f t="shared" si="3"/>
        <v>-143629091.89999998</v>
      </c>
      <c r="T55" s="396">
        <f t="shared" si="4"/>
        <v>-2.9264877422115362E-2</v>
      </c>
    </row>
    <row r="56" spans="1:22" ht="13.5" thickBot="1">
      <c r="A56" s="146">
        <v>1001</v>
      </c>
      <c r="B56" s="504" t="str">
        <f>+VLOOKUP($A56,[1]Master!$D$27:$G$225,4,FALSE)</f>
        <v>Primarni bilans</v>
      </c>
      <c r="C56" s="505"/>
      <c r="D56" s="505"/>
      <c r="E56" s="505"/>
      <c r="F56" s="505"/>
      <c r="G56" s="207">
        <f>+G55+G37</f>
        <v>-26149983.780000009</v>
      </c>
      <c r="H56" s="207">
        <f t="shared" ref="H56:R56" si="10">+H55+H37</f>
        <v>-13386704.440000005</v>
      </c>
      <c r="I56" s="207">
        <f t="shared" si="10"/>
        <v>4090528.2699999735</v>
      </c>
      <c r="J56" s="207">
        <f t="shared" si="10"/>
        <v>28573652.120000042</v>
      </c>
      <c r="K56" s="207">
        <f t="shared" si="10"/>
        <v>8324525.0899999812</v>
      </c>
      <c r="L56" s="207">
        <f t="shared" si="10"/>
        <v>4552212.8000000147</v>
      </c>
      <c r="M56" s="207">
        <f t="shared" si="10"/>
        <v>3739649.8000000231</v>
      </c>
      <c r="N56" s="207">
        <f t="shared" si="10"/>
        <v>15487078.200000005</v>
      </c>
      <c r="O56" s="207">
        <f t="shared" si="10"/>
        <v>19524892.350000016</v>
      </c>
      <c r="P56" s="207">
        <f t="shared" si="10"/>
        <v>-10160296.970000008</v>
      </c>
      <c r="Q56" s="207">
        <f t="shared" si="10"/>
        <v>-45461097.079999983</v>
      </c>
      <c r="R56" s="207">
        <f t="shared" si="10"/>
        <v>-27097262.070000019</v>
      </c>
      <c r="S56" s="411">
        <f t="shared" si="3"/>
        <v>-37962805.709999964</v>
      </c>
      <c r="T56" s="396">
        <f t="shared" si="4"/>
        <v>-7.7350405896615586E-3</v>
      </c>
    </row>
    <row r="57" spans="1:22">
      <c r="A57" s="146">
        <v>46</v>
      </c>
      <c r="B57" s="549" t="str">
        <f>+VLOOKUP($A57,[1]Master!$D$27:$G$225,4,FALSE)</f>
        <v>Otplata dugova</v>
      </c>
      <c r="C57" s="550"/>
      <c r="D57" s="550"/>
      <c r="E57" s="550"/>
      <c r="F57" s="550"/>
      <c r="G57" s="195">
        <f t="shared" ref="G57:R57" si="11">+SUM(G58:G59)</f>
        <v>19518367.399999999</v>
      </c>
      <c r="H57" s="195">
        <f t="shared" si="11"/>
        <v>67365423.120000005</v>
      </c>
      <c r="I57" s="195">
        <f t="shared" si="11"/>
        <v>17786584.469999999</v>
      </c>
      <c r="J57" s="177">
        <f t="shared" si="11"/>
        <v>18302050.879999999</v>
      </c>
      <c r="K57" s="195">
        <f t="shared" si="11"/>
        <v>183682731.81999999</v>
      </c>
      <c r="L57" s="195">
        <f t="shared" si="11"/>
        <v>11094774.199999999</v>
      </c>
      <c r="M57" s="195">
        <f t="shared" si="11"/>
        <v>80471032.019999996</v>
      </c>
      <c r="N57" s="195">
        <f t="shared" si="11"/>
        <v>57755617.170000002</v>
      </c>
      <c r="O57" s="195">
        <f t="shared" si="11"/>
        <v>17889318.350000001</v>
      </c>
      <c r="P57" s="195">
        <f t="shared" si="11"/>
        <v>11092379.140000001</v>
      </c>
      <c r="Q57" s="195">
        <f t="shared" si="11"/>
        <v>10162494.119999999</v>
      </c>
      <c r="R57" s="195">
        <f t="shared" si="11"/>
        <v>12220480.4</v>
      </c>
      <c r="S57" s="412">
        <f t="shared" si="3"/>
        <v>507341253.08999997</v>
      </c>
      <c r="T57" s="397">
        <f t="shared" si="4"/>
        <v>0.10337236966727113</v>
      </c>
      <c r="V57" s="323"/>
    </row>
    <row r="58" spans="1:22">
      <c r="A58" s="146">
        <v>4611</v>
      </c>
      <c r="B58" s="522" t="str">
        <f>+VLOOKUP($A58,[1]Master!$D$27:$G$225,4,FALSE)</f>
        <v>Otplata hartija od vrijednosti i kredita rezidentima</v>
      </c>
      <c r="C58" s="523"/>
      <c r="D58" s="523"/>
      <c r="E58" s="523"/>
      <c r="F58" s="523"/>
      <c r="G58" s="213">
        <f>+INDEX([1]DataEx!$1:$1048576,MATCH('2019'!$A58,[1]DataEx!$D:$D,0),MATCH('2019'!G$6,[1]DataEx!$7:$7,0))</f>
        <v>18084948.579999998</v>
      </c>
      <c r="H58" s="213">
        <f>+INDEX([1]DataEx!$1:$1048576,MATCH('2019'!$A58,[1]DataEx!$D:$D,0),MATCH('2019'!H$6,[1]DataEx!$7:$7,0))</f>
        <v>64835364.859999999</v>
      </c>
      <c r="I58" s="213">
        <f>+INDEX([1]DataEx!$1:$1048576,MATCH('2019'!$A58,[1]DataEx!$D:$D,0),MATCH('2019'!I$6,[1]DataEx!$7:$7,0))</f>
        <v>1062241.2</v>
      </c>
      <c r="J58" s="213">
        <f>+INDEX([1]DataEx!$1:$1048576,MATCH('2019'!$A58,[1]DataEx!$D:$D,0),MATCH('2019'!J$6,[1]DataEx!$7:$7,0))</f>
        <v>2291816.1800000002</v>
      </c>
      <c r="K58" s="213">
        <f>+INDEX([1]DataEx!$1:$1048576,MATCH('2019'!$A58,[1]DataEx!$D:$D,0),MATCH('2019'!K$6,[1]DataEx!$7:$7,0))</f>
        <v>5836708.6600000001</v>
      </c>
      <c r="L58" s="213">
        <f>+INDEX([1]DataEx!$1:$1048576,MATCH('2019'!$A58,[1]DataEx!$D:$D,0),MATCH('2019'!L$6,[1]DataEx!$7:$7,0))</f>
        <v>1304074.52</v>
      </c>
      <c r="M58" s="213">
        <f>+INDEX([1]DataEx!$1:$1048576,MATCH('2019'!$A58,[1]DataEx!$D:$D,0),MATCH('2019'!M$6,[1]DataEx!$7:$7,0))</f>
        <v>18837613.199999999</v>
      </c>
      <c r="N58" s="213">
        <f>+INDEX([1]DataEx!$1:$1048576,MATCH('2019'!$A58,[1]DataEx!$D:$D,0),MATCH('2019'!N$6,[1]DataEx!$7:$7,0))</f>
        <v>54838105.140000001</v>
      </c>
      <c r="O58" s="213">
        <f>+INDEX([1]DataEx!$1:$1048576,MATCH('2019'!$A58,[1]DataEx!$D:$D,0),MATCH('2019'!O$6,[1]DataEx!$7:$7,0))</f>
        <v>1831381.37</v>
      </c>
      <c r="P58" s="213">
        <f>+INDEX([1]DataEx!$1:$1048576,MATCH('2019'!$A58,[1]DataEx!$D:$D,0),MATCH('2019'!P$6,[1]DataEx!$7:$7,0))</f>
        <v>6571880.8899999997</v>
      </c>
      <c r="Q58" s="213">
        <f>+INDEX([1]DataEx!$1:$1048576,MATCH('2019'!$A58,[1]DataEx!$D:$D,0),MATCH('2019'!Q$6,[1]DataEx!$7:$7,0))</f>
        <v>839474.95</v>
      </c>
      <c r="R58" s="213">
        <f>+INDEX([1]DataEx!$1:$1048576,MATCH('2019'!$A58,[1]DataEx!$D:$D,0),MATCH('2019'!R$6,[1]DataEx!$7:$7,0))</f>
        <v>2081948.73</v>
      </c>
      <c r="S58" s="413">
        <f t="shared" si="3"/>
        <v>178415558.27999997</v>
      </c>
      <c r="T58" s="398">
        <f t="shared" si="4"/>
        <v>3.6352728922757184E-2</v>
      </c>
      <c r="V58" s="371"/>
    </row>
    <row r="59" spans="1:22" ht="13.5" thickBot="1">
      <c r="A59" s="146">
        <v>4612</v>
      </c>
      <c r="B59" s="498" t="str">
        <f>+VLOOKUP($A59,[1]Master!$D$27:$G$225,4,FALSE)</f>
        <v>Otplata hartija od vrijednosti i kredita nerezidentima</v>
      </c>
      <c r="C59" s="499"/>
      <c r="D59" s="499"/>
      <c r="E59" s="499"/>
      <c r="F59" s="499"/>
      <c r="G59" s="213">
        <f>+INDEX([1]DataEx!$1:$1048576,MATCH('2019'!$A59,[1]DataEx!$D:$D,0),MATCH('2019'!G$6,[1]DataEx!$7:$7,0))</f>
        <v>1433418.82</v>
      </c>
      <c r="H59" s="213">
        <f>+INDEX([1]DataEx!$1:$1048576,MATCH('2019'!$A59,[1]DataEx!$D:$D,0),MATCH('2019'!H$6,[1]DataEx!$7:$7,0))</f>
        <v>2530058.2599999998</v>
      </c>
      <c r="I59" s="213">
        <f>+INDEX([1]DataEx!$1:$1048576,MATCH('2019'!$A59,[1]DataEx!$D:$D,0),MATCH('2019'!I$6,[1]DataEx!$7:$7,0))</f>
        <v>16724343.27</v>
      </c>
      <c r="J59" s="213">
        <f>+INDEX([1]DataEx!$1:$1048576,MATCH('2019'!$A59,[1]DataEx!$D:$D,0),MATCH('2019'!J$6,[1]DataEx!$7:$7,0))</f>
        <v>16010234.699999999</v>
      </c>
      <c r="K59" s="213">
        <f>+INDEX([1]DataEx!$1:$1048576,MATCH('2019'!$A59,[1]DataEx!$D:$D,0),MATCH('2019'!K$6,[1]DataEx!$7:$7,0))</f>
        <v>177846023.16</v>
      </c>
      <c r="L59" s="213">
        <f>+INDEX([1]DataEx!$1:$1048576,MATCH('2019'!$A59,[1]DataEx!$D:$D,0),MATCH('2019'!L$6,[1]DataEx!$7:$7,0))</f>
        <v>9790699.6799999997</v>
      </c>
      <c r="M59" s="213">
        <f>+INDEX([1]DataEx!$1:$1048576,MATCH('2019'!$A59,[1]DataEx!$D:$D,0),MATCH('2019'!M$6,[1]DataEx!$7:$7,0))</f>
        <v>61633418.82</v>
      </c>
      <c r="N59" s="213">
        <f>+INDEX([1]DataEx!$1:$1048576,MATCH('2019'!$A59,[1]DataEx!$D:$D,0),MATCH('2019'!N$6,[1]DataEx!$7:$7,0))</f>
        <v>2917512.03</v>
      </c>
      <c r="O59" s="213">
        <f>+INDEX([1]DataEx!$1:$1048576,MATCH('2019'!$A59,[1]DataEx!$D:$D,0),MATCH('2019'!O$6,[1]DataEx!$7:$7,0))</f>
        <v>16057936.98</v>
      </c>
      <c r="P59" s="213">
        <f>+INDEX([1]DataEx!$1:$1048576,MATCH('2019'!$A59,[1]DataEx!$D:$D,0),MATCH('2019'!P$6,[1]DataEx!$7:$7,0))</f>
        <v>4520498.25</v>
      </c>
      <c r="Q59" s="213">
        <f>+INDEX([1]DataEx!$1:$1048576,MATCH('2019'!$A59,[1]DataEx!$D:$D,0),MATCH('2019'!Q$6,[1]DataEx!$7:$7,0))</f>
        <v>9323019.1699999999</v>
      </c>
      <c r="R59" s="213">
        <f>+INDEX([1]DataEx!$1:$1048576,MATCH('2019'!$A59,[1]DataEx!$D:$D,0),MATCH('2019'!R$6,[1]DataEx!$7:$7,0))</f>
        <v>10138531.67</v>
      </c>
      <c r="S59" s="413">
        <f t="shared" si="3"/>
        <v>328925694.81</v>
      </c>
      <c r="T59" s="398">
        <f t="shared" si="4"/>
        <v>6.7019640744513942E-2</v>
      </c>
      <c r="V59" s="333"/>
    </row>
    <row r="60" spans="1:22" ht="13.5" thickBot="1">
      <c r="A60" s="146">
        <v>4418</v>
      </c>
      <c r="B60" s="549" t="str">
        <f>+VLOOKUP($A60,[1]Master!$D$27:$G$225,4,FALSE)</f>
        <v>Izdaci za kupovinu hartija od vrijednosti</v>
      </c>
      <c r="C60" s="550"/>
      <c r="D60" s="550"/>
      <c r="E60" s="550"/>
      <c r="F60" s="550"/>
      <c r="G60" s="195">
        <f>+INDEX([1]DataEx!$1:$1048576,MATCH('2019'!$A60,[1]DataEx!$D:$D,0),MATCH('2019'!G$6,[1]DataEx!$7:$7,0))</f>
        <v>0</v>
      </c>
      <c r="H60" s="195">
        <f>+INDEX([1]DataEx!$1:$1048576,MATCH('2019'!$A60,[1]DataEx!$D:$D,0),MATCH('2019'!H$6,[1]DataEx!$7:$7,0))</f>
        <v>35272.089999999997</v>
      </c>
      <c r="I60" s="195">
        <f>+INDEX([1]DataEx!$1:$1048576,MATCH('2019'!$A60,[1]DataEx!$D:$D,0),MATCH('2019'!I$6,[1]DataEx!$7:$7,0))</f>
        <v>0</v>
      </c>
      <c r="J60" s="195">
        <f>+INDEX([1]DataEx!$1:$1048576,MATCH('2019'!$A60,[1]DataEx!$D:$D,0),MATCH('2019'!J$6,[1]DataEx!$7:$7,0))</f>
        <v>39948396.369999997</v>
      </c>
      <c r="K60" s="195">
        <f>+INDEX([1]DataEx!$1:$1048576,MATCH('2019'!$A60,[1]DataEx!$D:$D,0),MATCH('2019'!K$6,[1]DataEx!$7:$7,0))</f>
        <v>0</v>
      </c>
      <c r="L60" s="195">
        <f>+INDEX([1]DataEx!$1:$1048576,MATCH('2019'!$A60,[1]DataEx!$D:$D,0),MATCH('2019'!L$6,[1]DataEx!$7:$7,0))</f>
        <v>0</v>
      </c>
      <c r="M60" s="195">
        <f>+INDEX([1]DataEx!$1:$1048576,MATCH('2019'!$A60,[1]DataEx!$D:$D,0),MATCH('2019'!M$6,[1]DataEx!$7:$7,0))</f>
        <v>0</v>
      </c>
      <c r="N60" s="195">
        <f>+INDEX([1]DataEx!$1:$1048576,MATCH('2019'!$A60,[1]DataEx!$D:$D,0),MATCH('2019'!N$6,[1]DataEx!$7:$7,0))</f>
        <v>0</v>
      </c>
      <c r="O60" s="195">
        <f>+INDEX([1]DataEx!$1:$1048576,MATCH('2019'!$A60,[1]DataEx!$D:$D,0),MATCH('2019'!O$6,[1]DataEx!$7:$7,0))</f>
        <v>0</v>
      </c>
      <c r="P60" s="195">
        <f>+INDEX([1]DataEx!$1:$1048576,MATCH('2019'!$A60,[1]DataEx!$D:$D,0),MATCH('2019'!P$6,[1]DataEx!$7:$7,0))</f>
        <v>0</v>
      </c>
      <c r="Q60" s="195">
        <f>+INDEX([1]DataEx!$1:$1048576,MATCH('2019'!$A60,[1]DataEx!$D:$D,0),MATCH('2019'!Q$6,[1]DataEx!$7:$7,0))</f>
        <v>14495201.140000001</v>
      </c>
      <c r="R60" s="195">
        <f>+INDEX([1]DataEx!$1:$1048576,MATCH('2019'!$A60,[1]DataEx!$D:$D,0),MATCH('2019'!R$6,[1]DataEx!$7:$7,0))</f>
        <v>2849828.78</v>
      </c>
      <c r="S60" s="412">
        <f>SUM(G60:R60)</f>
        <v>57328698.380000003</v>
      </c>
      <c r="T60" s="397">
        <f>+S60/$T$7</f>
        <v>1.1680901888791541E-2</v>
      </c>
      <c r="V60" s="333"/>
    </row>
    <row r="61" spans="1:22" ht="13.5" thickBot="1">
      <c r="A61" s="146">
        <v>1002</v>
      </c>
      <c r="B61" s="524" t="str">
        <f>+VLOOKUP($A61,[1]Master!$D$27:$G$225,4,FALSE)</f>
        <v>Nedostajuća sredstva</v>
      </c>
      <c r="C61" s="525"/>
      <c r="D61" s="525"/>
      <c r="E61" s="525"/>
      <c r="F61" s="525"/>
      <c r="G61" s="219">
        <f>+G55-G57-G60</f>
        <v>-51823204.080000006</v>
      </c>
      <c r="H61" s="219">
        <f t="shared" ref="H61:R61" si="12">+H55-H57-H60</f>
        <v>-81786741.190000013</v>
      </c>
      <c r="I61" s="219">
        <f t="shared" si="12"/>
        <v>-42391569.850000024</v>
      </c>
      <c r="J61" s="219">
        <f t="shared" si="12"/>
        <v>-48112066.919999957</v>
      </c>
      <c r="K61" s="219">
        <f t="shared" si="12"/>
        <v>-185617050.80000001</v>
      </c>
      <c r="L61" s="219">
        <f t="shared" si="12"/>
        <v>-11954328.339999985</v>
      </c>
      <c r="M61" s="219">
        <f t="shared" si="12"/>
        <v>-85778715.419999972</v>
      </c>
      <c r="N61" s="219">
        <f t="shared" si="12"/>
        <v>-43319806.299999997</v>
      </c>
      <c r="O61" s="219">
        <f t="shared" si="12"/>
        <v>-1363811.9299999848</v>
      </c>
      <c r="P61" s="219">
        <f t="shared" si="12"/>
        <v>-33781869.600000009</v>
      </c>
      <c r="Q61" s="219">
        <f t="shared" si="12"/>
        <v>-74574602.529999971</v>
      </c>
      <c r="R61" s="219">
        <f t="shared" si="12"/>
        <v>-47795276.410000019</v>
      </c>
      <c r="S61" s="414">
        <f t="shared" si="3"/>
        <v>-708299043.36999989</v>
      </c>
      <c r="T61" s="399">
        <f t="shared" si="4"/>
        <v>-0.14431814897817802</v>
      </c>
    </row>
    <row r="62" spans="1:22" ht="13.5" thickBot="1">
      <c r="A62" s="146">
        <v>1003</v>
      </c>
      <c r="B62" s="488" t="str">
        <f>+VLOOKUP($A62,[1]Master!$D$27:$G$225,4,FALSE)</f>
        <v>Finansiranje</v>
      </c>
      <c r="C62" s="489"/>
      <c r="D62" s="489"/>
      <c r="E62" s="489"/>
      <c r="F62" s="489"/>
      <c r="G62" s="153">
        <f>+SUM(G63:G66)</f>
        <v>51823204.080000006</v>
      </c>
      <c r="H62" s="153">
        <f t="shared" ref="H62:R62" si="13">+SUM(H63:H66)</f>
        <v>81786741.190000013</v>
      </c>
      <c r="I62" s="153">
        <f t="shared" si="13"/>
        <v>42391569.850000024</v>
      </c>
      <c r="J62" s="153">
        <f t="shared" si="13"/>
        <v>48112066.919999957</v>
      </c>
      <c r="K62" s="153">
        <f t="shared" si="13"/>
        <v>185617050.80000001</v>
      </c>
      <c r="L62" s="153">
        <f t="shared" si="13"/>
        <v>11954328.339999985</v>
      </c>
      <c r="M62" s="153">
        <f t="shared" si="13"/>
        <v>85778715.419999972</v>
      </c>
      <c r="N62" s="153">
        <f t="shared" si="13"/>
        <v>43319806.299999997</v>
      </c>
      <c r="O62" s="153">
        <f t="shared" si="13"/>
        <v>1363811.9299999848</v>
      </c>
      <c r="P62" s="153">
        <f t="shared" si="13"/>
        <v>33781869.600000024</v>
      </c>
      <c r="Q62" s="153">
        <f t="shared" si="13"/>
        <v>74574602.529999971</v>
      </c>
      <c r="R62" s="153">
        <f t="shared" si="13"/>
        <v>47795276.410000019</v>
      </c>
      <c r="S62" s="415">
        <f t="shared" si="3"/>
        <v>708299043.36999989</v>
      </c>
      <c r="T62" s="400">
        <f t="shared" si="4"/>
        <v>0.14431814897817802</v>
      </c>
    </row>
    <row r="63" spans="1:22">
      <c r="A63" s="146">
        <v>7511</v>
      </c>
      <c r="B63" s="522" t="str">
        <f>+VLOOKUP($A63,[1]Master!$D$27:$G$225,4,FALSE)</f>
        <v>Pozajmice i krediti od domaćih izvora</v>
      </c>
      <c r="C63" s="523"/>
      <c r="D63" s="523"/>
      <c r="E63" s="523"/>
      <c r="F63" s="523"/>
      <c r="G63" s="213">
        <f>+INDEX([1]DataEx!$1:$1048576,MATCH('2019'!$A63,[1]DataEx!$D:$D,0),MATCH('2019'!G$6,[1]DataEx!$7:$7,0))</f>
        <v>18000000</v>
      </c>
      <c r="H63" s="213">
        <f>+INDEX([1]DataEx!$1:$1048576,MATCH('2019'!$A63,[1]DataEx!$D:$D,0),MATCH('2019'!H$6,[1]DataEx!$7:$7,0))</f>
        <v>54000000</v>
      </c>
      <c r="I63" s="213">
        <f>+INDEX([1]DataEx!$1:$1048576,MATCH('2019'!$A63,[1]DataEx!$D:$D,0),MATCH('2019'!I$6,[1]DataEx!$7:$7,0))</f>
        <v>0</v>
      </c>
      <c r="J63" s="213">
        <f>+INDEX([1]DataEx!$1:$1048576,MATCH('2019'!$A63,[1]DataEx!$D:$D,0),MATCH('2019'!J$6,[1]DataEx!$7:$7,0))</f>
        <v>74623000</v>
      </c>
      <c r="K63" s="213">
        <f>+INDEX([1]DataEx!$1:$1048576,MATCH('2019'!$A63,[1]DataEx!$D:$D,0),MATCH('2019'!K$6,[1]DataEx!$7:$7,0))</f>
        <v>67815000</v>
      </c>
      <c r="L63" s="213">
        <f>+INDEX([1]DataEx!$1:$1048576,MATCH('2019'!$A63,[1]DataEx!$D:$D,0),MATCH('2019'!L$6,[1]DataEx!$7:$7,0))</f>
        <v>0</v>
      </c>
      <c r="M63" s="213">
        <f>+INDEX([1]DataEx!$1:$1048576,MATCH('2019'!$A63,[1]DataEx!$D:$D,0),MATCH('2019'!M$6,[1]DataEx!$7:$7,0))</f>
        <v>18000000</v>
      </c>
      <c r="N63" s="213">
        <f>+INDEX([1]DataEx!$1:$1048576,MATCH('2019'!$A63,[1]DataEx!$D:$D,0),MATCH('2019'!N$6,[1]DataEx!$7:$7,0))</f>
        <v>54000000</v>
      </c>
      <c r="O63" s="213">
        <f>+INDEX([1]DataEx!$1:$1048576,MATCH('2019'!$A63,[1]DataEx!$D:$D,0),MATCH('2019'!O$6,[1]DataEx!$7:$7,0))</f>
        <v>0</v>
      </c>
      <c r="P63" s="213">
        <f>+INDEX([1]DataEx!$1:$1048576,MATCH('2019'!$A63,[1]DataEx!$D:$D,0),MATCH('2019'!P$6,[1]DataEx!$7:$7,0))</f>
        <v>0</v>
      </c>
      <c r="Q63" s="213">
        <f>+INDEX([1]DataEx!$1:$1048576,MATCH('2019'!$A63,[1]DataEx!$D:$D,0),MATCH('2019'!Q$6,[1]DataEx!$7:$7,0))</f>
        <v>47000000</v>
      </c>
      <c r="R63" s="213">
        <f>+INDEX([1]DataEx!$1:$1048576,MATCH('2019'!$A63,[1]DataEx!$D:$D,0),MATCH('2019'!R$6,[1]DataEx!$7:$7,0))</f>
        <v>30000000</v>
      </c>
      <c r="S63" s="413">
        <f t="shared" si="3"/>
        <v>363438000</v>
      </c>
      <c r="T63" s="398">
        <f t="shared" si="4"/>
        <v>7.4051631043827296E-2</v>
      </c>
    </row>
    <row r="64" spans="1:22">
      <c r="A64" s="146">
        <v>7512</v>
      </c>
      <c r="B64" s="498" t="str">
        <f>+VLOOKUP($A64,[1]Master!$D$27:$G$225,4,FALSE)</f>
        <v>Pozajmice i krediti od inostranih izvora</v>
      </c>
      <c r="C64" s="499"/>
      <c r="D64" s="499"/>
      <c r="E64" s="499"/>
      <c r="F64" s="499"/>
      <c r="G64" s="213">
        <f>+INDEX([1]DataEx!$1:$1048576,MATCH('2019'!$A64,[1]DataEx!$D:$D,0),MATCH('2019'!G$6,[1]DataEx!$7:$7,0))</f>
        <v>25748930.140000001</v>
      </c>
      <c r="H64" s="213">
        <f>+INDEX([1]DataEx!$1:$1048576,MATCH('2019'!$A64,[1]DataEx!$D:$D,0),MATCH('2019'!H$6,[1]DataEx!$7:$7,0))</f>
        <v>3819449.69</v>
      </c>
      <c r="I64" s="213">
        <f>+INDEX([1]DataEx!$1:$1048576,MATCH('2019'!$A64,[1]DataEx!$D:$D,0),MATCH('2019'!I$6,[1]DataEx!$7:$7,0))</f>
        <v>14059999.119999999</v>
      </c>
      <c r="J64" s="213">
        <f>+INDEX([1]DataEx!$1:$1048576,MATCH('2019'!$A64,[1]DataEx!$D:$D,0),MATCH('2019'!J$6,[1]DataEx!$7:$7,0))</f>
        <v>6496285.4699999997</v>
      </c>
      <c r="K64" s="213">
        <f>+INDEX([1]DataEx!$1:$1048576,MATCH('2019'!$A64,[1]DataEx!$D:$D,0),MATCH('2019'!K$6,[1]DataEx!$7:$7,0))</f>
        <v>7856343.8600000003</v>
      </c>
      <c r="L64" s="213">
        <f>+INDEX([1]DataEx!$1:$1048576,MATCH('2019'!$A64,[1]DataEx!$D:$D,0),MATCH('2019'!L$6,[1]DataEx!$7:$7,0))</f>
        <v>8784836.1999999993</v>
      </c>
      <c r="M64" s="213">
        <f>+INDEX([1]DataEx!$1:$1048576,MATCH('2019'!$A64,[1]DataEx!$D:$D,0),MATCH('2019'!M$6,[1]DataEx!$7:$7,0))</f>
        <v>2698966.86</v>
      </c>
      <c r="N64" s="213">
        <f>+INDEX([1]DataEx!$1:$1048576,MATCH('2019'!$A64,[1]DataEx!$D:$D,0),MATCH('2019'!N$6,[1]DataEx!$7:$7,0))</f>
        <v>32388565.289999999</v>
      </c>
      <c r="O64" s="213">
        <f>+INDEX([1]DataEx!$1:$1048576,MATCH('2019'!$A64,[1]DataEx!$D:$D,0),MATCH('2019'!O$6,[1]DataEx!$7:$7,0))</f>
        <v>9020553.9199999999</v>
      </c>
      <c r="P64" s="213">
        <f>+INDEX([1]DataEx!$1:$1048576,MATCH('2019'!$A64,[1]DataEx!$D:$D,0),MATCH('2019'!P$6,[1]DataEx!$7:$7,0))</f>
        <v>512724701.25</v>
      </c>
      <c r="Q64" s="213">
        <f>+INDEX([1]DataEx!$1:$1048576,MATCH('2019'!$A64,[1]DataEx!$D:$D,0),MATCH('2019'!Q$6,[1]DataEx!$7:$7,0))</f>
        <v>10136902.300000001</v>
      </c>
      <c r="R64" s="213">
        <f>+INDEX([1]DataEx!$1:$1048576,MATCH('2019'!$A64,[1]DataEx!$D:$D,0),MATCH('2019'!R$6,[1]DataEx!$7:$7,0))</f>
        <v>17594759.329999998</v>
      </c>
      <c r="S64" s="413">
        <f t="shared" si="3"/>
        <v>651330293.42999995</v>
      </c>
      <c r="T64" s="398">
        <f t="shared" si="4"/>
        <v>0.13271058771164856</v>
      </c>
    </row>
    <row r="65" spans="1:20">
      <c r="A65" s="146">
        <v>72</v>
      </c>
      <c r="B65" s="498" t="str">
        <f>+VLOOKUP($A65,[1]Master!$D$27:$G$225,4,FALSE)</f>
        <v>Primici od prodaje imovine</v>
      </c>
      <c r="C65" s="499"/>
      <c r="D65" s="499"/>
      <c r="E65" s="499"/>
      <c r="F65" s="499"/>
      <c r="G65" s="213">
        <f>+INDEX([1]DataEx!$1:$1048576,MATCH('2019'!$A65,[1]DataEx!$D:$D,0),MATCH('2019'!G$6,[1]DataEx!$7:$7,0))</f>
        <v>26594.13</v>
      </c>
      <c r="H65" s="213">
        <f>+INDEX([1]DataEx!$1:$1048576,MATCH('2019'!$A65,[1]DataEx!$D:$D,0),MATCH('2019'!H$6,[1]DataEx!$7:$7,0))</f>
        <v>177395.91</v>
      </c>
      <c r="I65" s="213">
        <f>+INDEX([1]DataEx!$1:$1048576,MATCH('2019'!$A65,[1]DataEx!$D:$D,0),MATCH('2019'!I$6,[1]DataEx!$7:$7,0))</f>
        <v>180547.55</v>
      </c>
      <c r="J65" s="213">
        <f>+INDEX([1]DataEx!$1:$1048576,MATCH('2019'!$A65,[1]DataEx!$D:$D,0),MATCH('2019'!J$6,[1]DataEx!$7:$7,0))</f>
        <v>169636.46</v>
      </c>
      <c r="K65" s="213">
        <f>+INDEX([1]DataEx!$1:$1048576,MATCH('2019'!$A65,[1]DataEx!$D:$D,0),MATCH('2019'!K$6,[1]DataEx!$7:$7,0))</f>
        <v>223780.48000000001</v>
      </c>
      <c r="L65" s="213">
        <f>+INDEX([1]DataEx!$1:$1048576,MATCH('2019'!$A65,[1]DataEx!$D:$D,0),MATCH('2019'!L$6,[1]DataEx!$7:$7,0))</f>
        <v>722176.42</v>
      </c>
      <c r="M65" s="213">
        <f>+INDEX([1]DataEx!$1:$1048576,MATCH('2019'!$A65,[1]DataEx!$D:$D,0),MATCH('2019'!M$6,[1]DataEx!$7:$7,0))</f>
        <v>359609.29</v>
      </c>
      <c r="N65" s="213">
        <f>+INDEX([1]DataEx!$1:$1048576,MATCH('2019'!$A65,[1]DataEx!$D:$D,0),MATCH('2019'!N$6,[1]DataEx!$7:$7,0))</f>
        <v>176786.46</v>
      </c>
      <c r="O65" s="213">
        <f>+INDEX([1]DataEx!$1:$1048576,MATCH('2019'!$A65,[1]DataEx!$D:$D,0),MATCH('2019'!O$6,[1]DataEx!$7:$7,0))</f>
        <v>225833.46</v>
      </c>
      <c r="P65" s="213">
        <f>+INDEX([1]DataEx!$1:$1048576,MATCH('2019'!$A65,[1]DataEx!$D:$D,0),MATCH('2019'!P$6,[1]DataEx!$7:$7,0))</f>
        <v>679599.59</v>
      </c>
      <c r="Q65" s="213">
        <f>+INDEX([1]DataEx!$1:$1048576,MATCH('2019'!$A65,[1]DataEx!$D:$D,0),MATCH('2019'!Q$6,[1]DataEx!$7:$7,0))</f>
        <v>287050.87</v>
      </c>
      <c r="R65" s="213">
        <f>+INDEX([1]DataEx!$1:$1048576,MATCH('2019'!$A65,[1]DataEx!$D:$D,0),MATCH('2019'!R$6,[1]DataEx!$7:$7,0))</f>
        <v>1049072.3</v>
      </c>
      <c r="S65" s="413">
        <f t="shared" si="3"/>
        <v>4278082.92</v>
      </c>
      <c r="T65" s="398">
        <f t="shared" si="4"/>
        <v>8.7167279691925258E-4</v>
      </c>
    </row>
    <row r="66" spans="1:20" ht="13.5" thickBot="1">
      <c r="A66" s="146">
        <v>1004</v>
      </c>
      <c r="B66" s="225" t="str">
        <f>+VLOOKUP($A66,[1]Master!$D$27:$G$225,4,FALSE)</f>
        <v>Povećanje / smanjenje depozita</v>
      </c>
      <c r="C66" s="226"/>
      <c r="D66" s="226"/>
      <c r="E66" s="226"/>
      <c r="F66" s="226"/>
      <c r="G66" s="227">
        <f>-G61-SUM(G63:G65)</f>
        <v>8047679.8100000024</v>
      </c>
      <c r="H66" s="227">
        <f t="shared" ref="H66:R66" si="14">-H61-SUM(H63:H65)</f>
        <v>23789895.590000018</v>
      </c>
      <c r="I66" s="227">
        <f t="shared" si="14"/>
        <v>28151023.180000022</v>
      </c>
      <c r="J66" s="227">
        <f t="shared" si="14"/>
        <v>-33176855.010000035</v>
      </c>
      <c r="K66" s="227">
        <f t="shared" si="14"/>
        <v>109721926.46000001</v>
      </c>
      <c r="L66" s="227">
        <f t="shared" si="14"/>
        <v>2447315.7199999858</v>
      </c>
      <c r="M66" s="227">
        <f t="shared" si="14"/>
        <v>64720139.269999973</v>
      </c>
      <c r="N66" s="227">
        <f t="shared" si="14"/>
        <v>-43245545.449999988</v>
      </c>
      <c r="O66" s="227">
        <f t="shared" si="14"/>
        <v>-7882575.450000016</v>
      </c>
      <c r="P66" s="227">
        <f t="shared" si="14"/>
        <v>-479622431.23999995</v>
      </c>
      <c r="Q66" s="227">
        <f t="shared" si="14"/>
        <v>17150649.359999977</v>
      </c>
      <c r="R66" s="227">
        <f t="shared" si="14"/>
        <v>-848555.21999997646</v>
      </c>
      <c r="S66" s="416">
        <f>+SUM(G66:R66)</f>
        <v>-310747332.97999996</v>
      </c>
      <c r="T66" s="401">
        <f t="shared" si="4"/>
        <v>-6.3315742574217071E-2</v>
      </c>
    </row>
    <row r="67" spans="1:20">
      <c r="R67" s="326"/>
    </row>
    <row r="72" spans="1:20">
      <c r="R72" s="303"/>
    </row>
    <row r="100" spans="1:21"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1:21" ht="13.5" thickBot="1">
      <c r="G101" s="68" t="str">
        <f t="shared" ref="G101:R101" si="15">+CONCATENATE(G6,"p")</f>
        <v>2019-01p</v>
      </c>
      <c r="H101" s="68" t="str">
        <f t="shared" si="15"/>
        <v>2019-02p</v>
      </c>
      <c r="I101" s="68" t="str">
        <f t="shared" si="15"/>
        <v>2019-03p</v>
      </c>
      <c r="J101" s="68" t="str">
        <f t="shared" si="15"/>
        <v>2019-04p</v>
      </c>
      <c r="K101" s="68" t="str">
        <f t="shared" si="15"/>
        <v>2019-05p</v>
      </c>
      <c r="L101" s="68" t="str">
        <f t="shared" si="15"/>
        <v>2019-06p</v>
      </c>
      <c r="M101" s="68" t="str">
        <f t="shared" si="15"/>
        <v>2019-07p</v>
      </c>
      <c r="N101" s="68" t="str">
        <f t="shared" si="15"/>
        <v>2019-08p</v>
      </c>
      <c r="O101" s="68" t="str">
        <f t="shared" si="15"/>
        <v>2019-09p</v>
      </c>
      <c r="P101" s="68" t="str">
        <f t="shared" si="15"/>
        <v>2019-10p</v>
      </c>
      <c r="Q101" s="68" t="str">
        <f t="shared" si="15"/>
        <v>2019-11p</v>
      </c>
      <c r="R101" s="68" t="str">
        <f t="shared" si="15"/>
        <v>2019-12p</v>
      </c>
    </row>
    <row r="102" spans="1:21" ht="15.75" customHeight="1" thickBot="1">
      <c r="B102" s="541" t="str">
        <f>+[1]Master!G252</f>
        <v>Plan ostvarenja budžeta</v>
      </c>
      <c r="C102" s="542"/>
      <c r="D102" s="542"/>
      <c r="E102" s="542"/>
      <c r="F102" s="542"/>
      <c r="G102" s="555">
        <v>2019</v>
      </c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7"/>
      <c r="S102" s="107" t="str">
        <f>+S7</f>
        <v>BDP</v>
      </c>
      <c r="T102" s="108">
        <f>+T7</f>
        <v>4907900000</v>
      </c>
    </row>
    <row r="103" spans="1:21" ht="15.75" customHeight="1">
      <c r="B103" s="543"/>
      <c r="C103" s="544"/>
      <c r="D103" s="544"/>
      <c r="E103" s="544"/>
      <c r="F103" s="545"/>
      <c r="G103" s="71" t="str">
        <f t="shared" ref="G103:R103" si="16">+G8</f>
        <v>Januar</v>
      </c>
      <c r="H103" s="71" t="str">
        <f t="shared" si="16"/>
        <v>Februar</v>
      </c>
      <c r="I103" s="71" t="str">
        <f t="shared" si="16"/>
        <v>Mart</v>
      </c>
      <c r="J103" s="71" t="str">
        <f t="shared" si="16"/>
        <v>April</v>
      </c>
      <c r="K103" s="71" t="str">
        <f t="shared" si="16"/>
        <v>Maj</v>
      </c>
      <c r="L103" s="71" t="str">
        <f t="shared" si="16"/>
        <v>Jun</v>
      </c>
      <c r="M103" s="71" t="str">
        <f t="shared" si="16"/>
        <v>Jul</v>
      </c>
      <c r="N103" s="71" t="str">
        <f t="shared" si="16"/>
        <v>Avgust</v>
      </c>
      <c r="O103" s="71" t="str">
        <f t="shared" si="16"/>
        <v>Septembar</v>
      </c>
      <c r="P103" s="71" t="str">
        <f t="shared" si="16"/>
        <v>Oktobar</v>
      </c>
      <c r="Q103" s="71" t="str">
        <f t="shared" si="16"/>
        <v>Novembar</v>
      </c>
      <c r="R103" s="71" t="str">
        <f t="shared" si="16"/>
        <v>Decembar</v>
      </c>
      <c r="S103" s="555" t="str">
        <f>+[1]Master!G246</f>
        <v>Jan - Dec</v>
      </c>
      <c r="T103" s="557">
        <f>+T8</f>
        <v>0</v>
      </c>
    </row>
    <row r="104" spans="1:21" ht="13.5" thickBot="1">
      <c r="B104" s="546"/>
      <c r="C104" s="547"/>
      <c r="D104" s="547"/>
      <c r="E104" s="547"/>
      <c r="F104" s="548"/>
      <c r="G104" s="67" t="s">
        <v>419</v>
      </c>
      <c r="H104" s="67" t="s">
        <v>419</v>
      </c>
      <c r="I104" s="67" t="s">
        <v>419</v>
      </c>
      <c r="J104" s="67" t="s">
        <v>419</v>
      </c>
      <c r="K104" s="67" t="s">
        <v>419</v>
      </c>
      <c r="L104" s="67" t="s">
        <v>419</v>
      </c>
      <c r="M104" s="67" t="s">
        <v>419</v>
      </c>
      <c r="N104" s="67" t="s">
        <v>419</v>
      </c>
      <c r="O104" s="67" t="s">
        <v>419</v>
      </c>
      <c r="P104" s="67" t="s">
        <v>419</v>
      </c>
      <c r="Q104" s="67" t="s">
        <v>419</v>
      </c>
      <c r="R104" s="67" t="s">
        <v>419</v>
      </c>
      <c r="S104" s="65" t="s">
        <v>419</v>
      </c>
      <c r="T104" s="66" t="str">
        <f>+T9</f>
        <v>% BDP</v>
      </c>
    </row>
    <row r="105" spans="1:21" ht="13.5" thickBot="1">
      <c r="A105" s="116" t="str">
        <f t="shared" ref="A105:A147" si="17">+CONCATENATE(A10,"p")</f>
        <v>7p</v>
      </c>
      <c r="B105" s="558" t="str">
        <f>+VLOOKUP(LEFT($A105,LEN(A105)-1)*1,[1]Master!$D$27:$G$225,4,FALSE)</f>
        <v>Prihodi budžeta</v>
      </c>
      <c r="C105" s="559"/>
      <c r="D105" s="559"/>
      <c r="E105" s="559"/>
      <c r="F105" s="559"/>
      <c r="G105" s="93">
        <f t="shared" ref="G105:R105" si="18">+G106+G114+SUM(G119:G123)</f>
        <v>107257935.59</v>
      </c>
      <c r="H105" s="93">
        <f t="shared" si="18"/>
        <v>116544625.95</v>
      </c>
      <c r="I105" s="93">
        <f t="shared" si="18"/>
        <v>147544680.63</v>
      </c>
      <c r="J105" s="93">
        <f t="shared" si="18"/>
        <v>165045416.33000001</v>
      </c>
      <c r="K105" s="93">
        <f t="shared" si="18"/>
        <v>144226839.65000001</v>
      </c>
      <c r="L105" s="93">
        <f t="shared" si="18"/>
        <v>143393601.47999999</v>
      </c>
      <c r="M105" s="93">
        <f t="shared" si="18"/>
        <v>163636678.97122747</v>
      </c>
      <c r="N105" s="93">
        <f t="shared" si="18"/>
        <v>164502209.05473346</v>
      </c>
      <c r="O105" s="93">
        <f t="shared" si="18"/>
        <v>151400956.73161691</v>
      </c>
      <c r="P105" s="93">
        <f t="shared" si="18"/>
        <v>188402533.23753721</v>
      </c>
      <c r="Q105" s="93">
        <f t="shared" si="18"/>
        <v>148714658.46197224</v>
      </c>
      <c r="R105" s="93">
        <f t="shared" si="18"/>
        <v>193362777.67647338</v>
      </c>
      <c r="S105" s="417">
        <f>+SUM(G105:R105)</f>
        <v>1834032913.7635608</v>
      </c>
      <c r="T105" s="430">
        <f>+S105/$T$7</f>
        <v>0.37368995166233232</v>
      </c>
    </row>
    <row r="106" spans="1:21">
      <c r="A106" s="116" t="str">
        <f t="shared" si="17"/>
        <v>711p</v>
      </c>
      <c r="B106" s="560" t="str">
        <f>+VLOOKUP(LEFT($A106,LEN(A106)-1)*1,[1]Master!$D$27:$G$225,4,FALSE)</f>
        <v>Porezi</v>
      </c>
      <c r="C106" s="561"/>
      <c r="D106" s="561"/>
      <c r="E106" s="561"/>
      <c r="F106" s="561"/>
      <c r="G106" s="79">
        <f t="shared" ref="G106:R106" si="19">+SUM(G107:G113)</f>
        <v>72429730.420000002</v>
      </c>
      <c r="H106" s="79">
        <f t="shared" si="19"/>
        <v>68470908.439999998</v>
      </c>
      <c r="I106" s="79">
        <f t="shared" si="19"/>
        <v>98709545.510000005</v>
      </c>
      <c r="J106" s="79">
        <f t="shared" si="19"/>
        <v>106791818.52</v>
      </c>
      <c r="K106" s="79">
        <f t="shared" si="19"/>
        <v>94372185.030000001</v>
      </c>
      <c r="L106" s="79">
        <f t="shared" si="19"/>
        <v>89389439.689999998</v>
      </c>
      <c r="M106" s="79">
        <f t="shared" si="19"/>
        <v>106366803.00672032</v>
      </c>
      <c r="N106" s="79">
        <f t="shared" si="19"/>
        <v>110847613.63774106</v>
      </c>
      <c r="O106" s="79">
        <f t="shared" si="19"/>
        <v>101712748.66474015</v>
      </c>
      <c r="P106" s="79">
        <f t="shared" si="19"/>
        <v>96295636.228585869</v>
      </c>
      <c r="Q106" s="79">
        <f t="shared" si="19"/>
        <v>84393107.743797168</v>
      </c>
      <c r="R106" s="80">
        <f t="shared" si="19"/>
        <v>92890414.095145509</v>
      </c>
      <c r="S106" s="418">
        <f t="shared" ref="S106:S161" si="20">+SUM(G106:R106)</f>
        <v>1122669950.9867301</v>
      </c>
      <c r="T106" s="431">
        <f t="shared" ref="T106:T161" si="21">+S106/$T$7</f>
        <v>0.22874751950665867</v>
      </c>
      <c r="U106" s="259"/>
    </row>
    <row r="107" spans="1:21">
      <c r="A107" s="116" t="str">
        <f t="shared" si="17"/>
        <v>7111p</v>
      </c>
      <c r="B107" s="551" t="str">
        <f>+VLOOKUP(LEFT($A107,LEN(A107)-1)*1,[1]Master!$D$27:$G$225,4,FALSE)</f>
        <v>Porez na dohodak fizičkih lica</v>
      </c>
      <c r="C107" s="552"/>
      <c r="D107" s="552"/>
      <c r="E107" s="552"/>
      <c r="F107" s="552"/>
      <c r="G107" s="87">
        <f>+SUM([1]DataEx!FF220)</f>
        <v>4240913.8099999996</v>
      </c>
      <c r="H107" s="87">
        <f>+SUM([1]DataEx!FG220)</f>
        <v>9361661.1500000004</v>
      </c>
      <c r="I107" s="87">
        <f>+SUM([1]DataEx!FH220)</f>
        <v>9044961.5800000001</v>
      </c>
      <c r="J107" s="87">
        <f>+SUM([1]DataEx!FI220)</f>
        <v>10767101.800000001</v>
      </c>
      <c r="K107" s="87">
        <f>+SUM([1]DataEx!FJ220)</f>
        <v>10210712.41</v>
      </c>
      <c r="L107" s="87">
        <f>+SUM([1]DataEx!FK220)</f>
        <v>10125793.029999999</v>
      </c>
      <c r="M107" s="87">
        <f>+SUM([1]DataEx!FL220)</f>
        <v>10562928.102170853</v>
      </c>
      <c r="N107" s="87">
        <f>+SUM([1]DataEx!FM220)</f>
        <v>10477537.909352116</v>
      </c>
      <c r="O107" s="87">
        <f>+SUM([1]DataEx!FN220)</f>
        <v>8957410.6319850832</v>
      </c>
      <c r="P107" s="87">
        <f>+SUM([1]DataEx!FO220)</f>
        <v>9589847.5886837803</v>
      </c>
      <c r="Q107" s="87">
        <f>+SUM([1]DataEx!FP220)</f>
        <v>9803639.4384757541</v>
      </c>
      <c r="R107" s="87">
        <f>+SUM([1]DataEx!FQ220)</f>
        <v>17095010.594302431</v>
      </c>
      <c r="S107" s="419">
        <f t="shared" si="20"/>
        <v>120237518.04497004</v>
      </c>
      <c r="T107" s="432">
        <f t="shared" si="21"/>
        <v>2.4498770970266311E-2</v>
      </c>
    </row>
    <row r="108" spans="1:21">
      <c r="A108" s="116" t="str">
        <f t="shared" si="17"/>
        <v>7112p</v>
      </c>
      <c r="B108" s="551" t="str">
        <f>+VLOOKUP(LEFT($A108,LEN(A108)-1)*1,[1]Master!$D$27:$G$225,4,FALSE)</f>
        <v>Porez na dobit pravnih lica</v>
      </c>
      <c r="C108" s="552"/>
      <c r="D108" s="552"/>
      <c r="E108" s="552"/>
      <c r="F108" s="552"/>
      <c r="G108" s="87">
        <f>+SUM([1]DataEx!FF221)</f>
        <v>936843.13</v>
      </c>
      <c r="H108" s="87">
        <f>+SUM([1]DataEx!FG221)</f>
        <v>1962550.32</v>
      </c>
      <c r="I108" s="87">
        <f>+SUM([1]DataEx!FH221)</f>
        <v>22465664.23</v>
      </c>
      <c r="J108" s="87">
        <f>+SUM([1]DataEx!FI221)</f>
        <v>20408432.98</v>
      </c>
      <c r="K108" s="87">
        <f>+SUM([1]DataEx!FJ221)</f>
        <v>4781744.7</v>
      </c>
      <c r="L108" s="87">
        <f>+SUM([1]DataEx!FK221)</f>
        <v>3678815</v>
      </c>
      <c r="M108" s="87">
        <f>+SUM([1]DataEx!FL221)</f>
        <v>4457741.7110314406</v>
      </c>
      <c r="N108" s="87">
        <f>+SUM([1]DataEx!FM221)</f>
        <v>2685443.6740218201</v>
      </c>
      <c r="O108" s="87">
        <f>+SUM([1]DataEx!FN221)</f>
        <v>2555024.3067054804</v>
      </c>
      <c r="P108" s="87">
        <f>+SUM([1]DataEx!FO221)</f>
        <v>5099414.7304318398</v>
      </c>
      <c r="Q108" s="87">
        <f>+SUM([1]DataEx!FP221)</f>
        <v>845177.9860074711</v>
      </c>
      <c r="R108" s="87">
        <f>+SUM([1]DataEx!FQ221)</f>
        <v>1318007.3637119438</v>
      </c>
      <c r="S108" s="419">
        <f t="shared" si="20"/>
        <v>71194860.131909981</v>
      </c>
      <c r="T108" s="432">
        <f t="shared" si="21"/>
        <v>1.4506175784329342E-2</v>
      </c>
    </row>
    <row r="109" spans="1:21">
      <c r="A109" s="116" t="str">
        <f t="shared" si="17"/>
        <v>7113p</v>
      </c>
      <c r="B109" s="551" t="str">
        <f>+VLOOKUP(LEFT($A109,LEN(A109)-1)*1,[1]Master!$D$27:$G$225,4,FALSE)</f>
        <v>Porez na promet nepokretnosti</v>
      </c>
      <c r="C109" s="552"/>
      <c r="D109" s="552"/>
      <c r="E109" s="552"/>
      <c r="F109" s="552"/>
      <c r="G109" s="87">
        <f>+SUM([1]DataEx!FF222)</f>
        <v>118243.45</v>
      </c>
      <c r="H109" s="87">
        <f>+SUM([1]DataEx!FG222)</f>
        <v>169568.16</v>
      </c>
      <c r="I109" s="87">
        <f>+SUM([1]DataEx!FH222)</f>
        <v>146352.49</v>
      </c>
      <c r="J109" s="87">
        <f>+SUM([1]DataEx!FI222)</f>
        <v>204359.36</v>
      </c>
      <c r="K109" s="87">
        <f>+SUM([1]DataEx!FJ222)</f>
        <v>147510.5</v>
      </c>
      <c r="L109" s="87">
        <f>+SUM([1]DataEx!FK222)</f>
        <v>158253.64000000001</v>
      </c>
      <c r="M109" s="87">
        <f>+SUM([1]DataEx!FL222)</f>
        <v>92289.827047712693</v>
      </c>
      <c r="N109" s="87">
        <f>+SUM([1]DataEx!FM222)</f>
        <v>199872.32178424072</v>
      </c>
      <c r="O109" s="87">
        <f>+SUM([1]DataEx!FN222)</f>
        <v>127416.86254210871</v>
      </c>
      <c r="P109" s="87">
        <f>+SUM([1]DataEx!FO222)</f>
        <v>134863.8150111227</v>
      </c>
      <c r="Q109" s="87">
        <f>+SUM([1]DataEx!FP222)</f>
        <v>174166.77614709371</v>
      </c>
      <c r="R109" s="87">
        <f>+SUM([1]DataEx!FQ222)</f>
        <v>189919.20786772171</v>
      </c>
      <c r="S109" s="419">
        <f t="shared" si="20"/>
        <v>1862816.4104000002</v>
      </c>
      <c r="T109" s="432">
        <f t="shared" si="21"/>
        <v>3.7955467927219382E-4</v>
      </c>
    </row>
    <row r="110" spans="1:21">
      <c r="A110" s="116" t="str">
        <f t="shared" si="17"/>
        <v>7114p</v>
      </c>
      <c r="B110" s="551" t="str">
        <f>+VLOOKUP(LEFT($A110,LEN(A110)-1)*1,[1]Master!$D$27:$G$225,4,FALSE)</f>
        <v>Porez na dodatu vrijednost</v>
      </c>
      <c r="C110" s="552"/>
      <c r="D110" s="552"/>
      <c r="E110" s="552"/>
      <c r="F110" s="552"/>
      <c r="G110" s="87">
        <f>+SUM([1]DataEx!FF223)</f>
        <v>49847223.18</v>
      </c>
      <c r="H110" s="87">
        <f>+SUM([1]DataEx!FG223)</f>
        <v>38958365.399999999</v>
      </c>
      <c r="I110" s="87">
        <f>+SUM([1]DataEx!FH223)</f>
        <v>50498218.18</v>
      </c>
      <c r="J110" s="87">
        <f>+SUM([1]DataEx!FI223)</f>
        <v>55142838.460000001</v>
      </c>
      <c r="K110" s="87">
        <f>+SUM([1]DataEx!FJ223)</f>
        <v>56428341.859999999</v>
      </c>
      <c r="L110" s="87">
        <f>+SUM([1]DataEx!FK223)</f>
        <v>52810087.229999997</v>
      </c>
      <c r="M110" s="87">
        <f>+SUM([1]DataEx!FL223)</f>
        <v>64608697.993098304</v>
      </c>
      <c r="N110" s="87">
        <f>+SUM([1]DataEx!FM223)</f>
        <v>66890311.931873396</v>
      </c>
      <c r="O110" s="87">
        <f>+SUM([1]DataEx!FN223)</f>
        <v>59747048.514482997</v>
      </c>
      <c r="P110" s="87">
        <f>+SUM([1]DataEx!FO223)</f>
        <v>59046360.535818897</v>
      </c>
      <c r="Q110" s="87">
        <f>+SUM([1]DataEx!FP223)</f>
        <v>50298426.623042099</v>
      </c>
      <c r="R110" s="87">
        <f>+SUM([1]DataEx!FQ223)</f>
        <v>53629737.7635343</v>
      </c>
      <c r="S110" s="419">
        <f t="shared" si="20"/>
        <v>657905657.67184997</v>
      </c>
      <c r="T110" s="432">
        <f t="shared" si="21"/>
        <v>0.1340503387745981</v>
      </c>
    </row>
    <row r="111" spans="1:21">
      <c r="A111" s="116" t="str">
        <f t="shared" si="17"/>
        <v>7115p</v>
      </c>
      <c r="B111" s="551" t="str">
        <f>+VLOOKUP(LEFT($A111,LEN(A111)-1)*1,[1]Master!$D$27:$G$225,4,FALSE)</f>
        <v>Akcize</v>
      </c>
      <c r="C111" s="552"/>
      <c r="D111" s="552"/>
      <c r="E111" s="552"/>
      <c r="F111" s="552"/>
      <c r="G111" s="87">
        <f>+SUM([1]DataEx!FF224)</f>
        <v>15141217.210000001</v>
      </c>
      <c r="H111" s="87">
        <f>+SUM([1]DataEx!FG224)</f>
        <v>13186126.23</v>
      </c>
      <c r="I111" s="87">
        <f>+SUM([1]DataEx!FH224)</f>
        <v>13315087.640000001</v>
      </c>
      <c r="J111" s="87">
        <f>+SUM([1]DataEx!FI224)</f>
        <v>16826313.73</v>
      </c>
      <c r="K111" s="87">
        <f>+SUM([1]DataEx!FJ224)</f>
        <v>19442485.359999999</v>
      </c>
      <c r="L111" s="87">
        <f>+SUM([1]DataEx!FK224)</f>
        <v>19205497.870000001</v>
      </c>
      <c r="M111" s="87">
        <f>+SUM([1]DataEx!FL224)</f>
        <v>23502946.676267412</v>
      </c>
      <c r="N111" s="87">
        <f>+SUM([1]DataEx!FM224)</f>
        <v>27414563.793734949</v>
      </c>
      <c r="O111" s="87">
        <f>+SUM([1]DataEx!FN224)</f>
        <v>27821146.884936411</v>
      </c>
      <c r="P111" s="87">
        <f>+SUM([1]DataEx!FO224)</f>
        <v>19593872.367677551</v>
      </c>
      <c r="Q111" s="87">
        <f>+SUM([1]DataEx!FP224)</f>
        <v>21076713.14050236</v>
      </c>
      <c r="R111" s="87">
        <f>+SUM([1]DataEx!FQ224)</f>
        <v>18275634.395081349</v>
      </c>
      <c r="S111" s="419">
        <f t="shared" si="20"/>
        <v>234801605.29820004</v>
      </c>
      <c r="T111" s="432">
        <f t="shared" si="21"/>
        <v>4.7841562643533904E-2</v>
      </c>
    </row>
    <row r="112" spans="1:21">
      <c r="A112" s="116" t="str">
        <f t="shared" si="17"/>
        <v>7116p</v>
      </c>
      <c r="B112" s="551" t="str">
        <f>+VLOOKUP(LEFT($A112,LEN(A112)-1)*1,[1]Master!$D$27:$G$225,4,FALSE)</f>
        <v>Porez na međunarodnu trgovinu i transakcije</v>
      </c>
      <c r="C112" s="552"/>
      <c r="D112" s="552"/>
      <c r="E112" s="552"/>
      <c r="F112" s="552"/>
      <c r="G112" s="87">
        <f>+SUM([1]DataEx!FF225)</f>
        <v>1424968.68</v>
      </c>
      <c r="H112" s="87">
        <f>+SUM([1]DataEx!FG225)</f>
        <v>1733788.33</v>
      </c>
      <c r="I112" s="87">
        <f>+SUM([1]DataEx!FH225)</f>
        <v>2462209.73</v>
      </c>
      <c r="J112" s="87">
        <f>+SUM([1]DataEx!FI225)</f>
        <v>2531899.16</v>
      </c>
      <c r="K112" s="87">
        <f>+SUM([1]DataEx!FJ225)</f>
        <v>2502520.2799999998</v>
      </c>
      <c r="L112" s="87">
        <f>+SUM([1]DataEx!FK225)</f>
        <v>2485583.9700000002</v>
      </c>
      <c r="M112" s="87">
        <f>+SUM([1]DataEx!FL225)</f>
        <v>2731455.7201732523</v>
      </c>
      <c r="N112" s="87">
        <f>+SUM([1]DataEx!FM225)</f>
        <v>2787010.1046283157</v>
      </c>
      <c r="O112" s="87">
        <f>+SUM([1]DataEx!FN225)</f>
        <v>2149778.7308390578</v>
      </c>
      <c r="P112" s="87">
        <f>+SUM([1]DataEx!FO225)</f>
        <v>2505449.340977564</v>
      </c>
      <c r="Q112" s="87">
        <f>+SUM([1]DataEx!FP225)</f>
        <v>1854095.8458453817</v>
      </c>
      <c r="R112" s="87">
        <f>+SUM([1]DataEx!FQ225)</f>
        <v>1998829.9373364251</v>
      </c>
      <c r="S112" s="419">
        <f t="shared" si="20"/>
        <v>27167589.829800002</v>
      </c>
      <c r="T112" s="432">
        <f t="shared" si="21"/>
        <v>5.5354815358503642E-3</v>
      </c>
    </row>
    <row r="113" spans="1:20">
      <c r="A113" s="116" t="str">
        <f t="shared" si="17"/>
        <v>7118p</v>
      </c>
      <c r="B113" s="551" t="str">
        <f>+VLOOKUP(LEFT($A113,LEN(A113)-1)*1,[1]Master!$D$27:$G$225,4,FALSE)</f>
        <v>Ostali državni porezi</v>
      </c>
      <c r="C113" s="552"/>
      <c r="D113" s="552"/>
      <c r="E113" s="552"/>
      <c r="F113" s="552"/>
      <c r="G113" s="87">
        <f>+SUM([1]DataEx!FF227)</f>
        <v>720320.96</v>
      </c>
      <c r="H113" s="87">
        <f>+SUM([1]DataEx!FG227)</f>
        <v>3098848.85</v>
      </c>
      <c r="I113" s="87">
        <f>+SUM([1]DataEx!FH227)</f>
        <v>777051.66</v>
      </c>
      <c r="J113" s="87">
        <f>+SUM([1]DataEx!FI227)</f>
        <v>910873.03</v>
      </c>
      <c r="K113" s="87">
        <f>+SUM([1]DataEx!FJ227)</f>
        <v>858869.92</v>
      </c>
      <c r="L113" s="87">
        <f>+SUM([1]DataEx!FK227)</f>
        <v>925408.95</v>
      </c>
      <c r="M113" s="87">
        <f>+SUM([1]DataEx!FL227)</f>
        <v>410742.9769313393</v>
      </c>
      <c r="N113" s="87">
        <f>+SUM([1]DataEx!FM227)</f>
        <v>392873.90234621655</v>
      </c>
      <c r="O113" s="87">
        <f>+SUM([1]DataEx!FN227)</f>
        <v>354922.73324901523</v>
      </c>
      <c r="P113" s="87">
        <f>+SUM([1]DataEx!FO227)</f>
        <v>325827.84998510586</v>
      </c>
      <c r="Q113" s="87">
        <f>+SUM([1]DataEx!FP227)</f>
        <v>340887.93377701013</v>
      </c>
      <c r="R113" s="87">
        <f>+SUM([1]DataEx!FQ227)</f>
        <v>383274.83331131347</v>
      </c>
      <c r="S113" s="419">
        <f t="shared" si="20"/>
        <v>9499903.5996000003</v>
      </c>
      <c r="T113" s="432">
        <f t="shared" si="21"/>
        <v>1.9356351188084518E-3</v>
      </c>
    </row>
    <row r="114" spans="1:20">
      <c r="A114" s="116" t="str">
        <f t="shared" si="17"/>
        <v>712p</v>
      </c>
      <c r="B114" s="553" t="str">
        <f>+VLOOKUP(LEFT($A114,LEN(A114)-1)*1,[1]Master!$D$27:$G$225,4,FALSE)</f>
        <v>Doprinosi</v>
      </c>
      <c r="C114" s="554"/>
      <c r="D114" s="554"/>
      <c r="E114" s="554"/>
      <c r="F114" s="554"/>
      <c r="G114" s="81">
        <f>+SUM(G115:G118)</f>
        <v>16498881.48</v>
      </c>
      <c r="H114" s="81">
        <f t="shared" ref="H114:R114" si="22">+SUM(H115:H118)</f>
        <v>41912269.38000001</v>
      </c>
      <c r="I114" s="81">
        <f t="shared" si="22"/>
        <v>41047599.18</v>
      </c>
      <c r="J114" s="81">
        <f t="shared" si="22"/>
        <v>50290988.940000005</v>
      </c>
      <c r="K114" s="81">
        <f t="shared" si="22"/>
        <v>37496285.130000003</v>
      </c>
      <c r="L114" s="81">
        <f t="shared" si="22"/>
        <v>45280786.510000005</v>
      </c>
      <c r="M114" s="81">
        <f t="shared" si="22"/>
        <v>46250891.035691187</v>
      </c>
      <c r="N114" s="81">
        <f t="shared" si="22"/>
        <v>44632014.674295112</v>
      </c>
      <c r="O114" s="81">
        <f t="shared" si="22"/>
        <v>41120271.333377153</v>
      </c>
      <c r="P114" s="81">
        <f t="shared" si="22"/>
        <v>46928850.635902815</v>
      </c>
      <c r="Q114" s="81">
        <f t="shared" si="22"/>
        <v>44128259.697538294</v>
      </c>
      <c r="R114" s="82">
        <f t="shared" si="22"/>
        <v>78626416.07852602</v>
      </c>
      <c r="S114" s="420">
        <f t="shared" si="20"/>
        <v>534213514.07533062</v>
      </c>
      <c r="T114" s="433">
        <f t="shared" si="21"/>
        <v>0.10884767702588288</v>
      </c>
    </row>
    <row r="115" spans="1:20">
      <c r="A115" s="116" t="str">
        <f t="shared" si="17"/>
        <v>7121p</v>
      </c>
      <c r="B115" s="551" t="str">
        <f>+VLOOKUP(LEFT($A115,LEN(A115)-1)*1,[1]Master!$D$27:$G$225,4,FALSE)</f>
        <v>Doprinosi za penzijsko i invalidsko osiguranje</v>
      </c>
      <c r="C115" s="552"/>
      <c r="D115" s="552"/>
      <c r="E115" s="552"/>
      <c r="F115" s="552"/>
      <c r="G115" s="87">
        <f>+SUM([1]DataEx!FF229)</f>
        <v>9695765.5800000001</v>
      </c>
      <c r="H115" s="87">
        <f>+SUM([1]DataEx!FG229)</f>
        <v>24593790.260000002</v>
      </c>
      <c r="I115" s="87">
        <f>+SUM([1]DataEx!FH229)</f>
        <v>23923752.719999999</v>
      </c>
      <c r="J115" s="87">
        <f>+SUM([1]DataEx!FI229)</f>
        <v>29650595.870000001</v>
      </c>
      <c r="K115" s="87">
        <f>+SUM([1]DataEx!FJ229)</f>
        <v>22104934.850000001</v>
      </c>
      <c r="L115" s="87">
        <f>+SUM([1]DataEx!FK229)</f>
        <v>27009559.609999999</v>
      </c>
      <c r="M115" s="87">
        <f>+SUM([1]DataEx!FL229)</f>
        <v>27482444.037160631</v>
      </c>
      <c r="N115" s="87">
        <f>+SUM([1]DataEx!FM229)</f>
        <v>27981870.622507609</v>
      </c>
      <c r="O115" s="87">
        <f>+SUM([1]DataEx!FN229)</f>
        <v>26275213.096976332</v>
      </c>
      <c r="P115" s="87">
        <f>+SUM([1]DataEx!FO229)</f>
        <v>30509092.335605875</v>
      </c>
      <c r="Q115" s="87">
        <f>+SUM([1]DataEx!FP229)</f>
        <v>28690565.779876817</v>
      </c>
      <c r="R115" s="87">
        <f>+SUM([1]DataEx!FQ229)</f>
        <v>49959164.412414543</v>
      </c>
      <c r="S115" s="419">
        <f t="shared" si="20"/>
        <v>327876749.17454183</v>
      </c>
      <c r="T115" s="432">
        <f t="shared" si="21"/>
        <v>6.6805914785252718E-2</v>
      </c>
    </row>
    <row r="116" spans="1:20">
      <c r="A116" s="116" t="str">
        <f t="shared" si="17"/>
        <v>7122p</v>
      </c>
      <c r="B116" s="551" t="str">
        <f>+VLOOKUP(LEFT($A116,LEN(A116)-1)*1,[1]Master!$D$27:$G$225,4,FALSE)</f>
        <v>Doprinosi za zdravstveno osiguranje</v>
      </c>
      <c r="C116" s="552"/>
      <c r="D116" s="552"/>
      <c r="E116" s="552"/>
      <c r="F116" s="552"/>
      <c r="G116" s="87">
        <f>+SUM([1]DataEx!FF230)</f>
        <v>5963049.2000000002</v>
      </c>
      <c r="H116" s="87">
        <f>+SUM([1]DataEx!FG230)</f>
        <v>15122476.890000001</v>
      </c>
      <c r="I116" s="87">
        <f>+SUM([1]DataEx!FH230)</f>
        <v>14777265.789999999</v>
      </c>
      <c r="J116" s="87">
        <f>+SUM([1]DataEx!FI230)</f>
        <v>17925167.550000001</v>
      </c>
      <c r="K116" s="87">
        <f>+SUM([1]DataEx!FJ230)</f>
        <v>13458982.5</v>
      </c>
      <c r="L116" s="87">
        <f>+SUM([1]DataEx!FK230)</f>
        <v>15925774.34</v>
      </c>
      <c r="M116" s="87">
        <f>+SUM([1]DataEx!FL230)</f>
        <v>16394230.760278165</v>
      </c>
      <c r="N116" s="87">
        <f>+SUM([1]DataEx!FM230)</f>
        <v>14239936.351746917</v>
      </c>
      <c r="O116" s="87">
        <f>+SUM([1]DataEx!FN230)</f>
        <v>12682409.588332439</v>
      </c>
      <c r="P116" s="87">
        <f>+SUM([1]DataEx!FO230)</f>
        <v>14130176.222576067</v>
      </c>
      <c r="Q116" s="87">
        <f>+SUM([1]DataEx!FP230)</f>
        <v>13398296.64486525</v>
      </c>
      <c r="R116" s="87">
        <f>+SUM([1]DataEx!FQ230)</f>
        <v>24833575.886677179</v>
      </c>
      <c r="S116" s="419">
        <f t="shared" si="20"/>
        <v>178851341.72447601</v>
      </c>
      <c r="T116" s="432">
        <f t="shared" si="21"/>
        <v>3.6441521164749892E-2</v>
      </c>
    </row>
    <row r="117" spans="1:20">
      <c r="A117" s="116" t="str">
        <f t="shared" si="17"/>
        <v>7123p</v>
      </c>
      <c r="B117" s="551" t="str">
        <f>+VLOOKUP(LEFT($A117,LEN(A117)-1)*1,[1]Master!$D$27:$G$225,4,FALSE)</f>
        <v>Doprinosi za osiguranje od nezaposlenosti</v>
      </c>
      <c r="C117" s="552"/>
      <c r="D117" s="552"/>
      <c r="E117" s="552"/>
      <c r="F117" s="552"/>
      <c r="G117" s="87">
        <f>+SUM([1]DataEx!FF231)</f>
        <v>459881.42</v>
      </c>
      <c r="H117" s="87">
        <f>+SUM([1]DataEx!FG231)</f>
        <v>1160315.8500000001</v>
      </c>
      <c r="I117" s="87">
        <f>+SUM([1]DataEx!FH231)</f>
        <v>1135767.8899999999</v>
      </c>
      <c r="J117" s="87">
        <f>+SUM([1]DataEx!FI231)</f>
        <v>1375720.59</v>
      </c>
      <c r="K117" s="87">
        <f>+SUM([1]DataEx!FJ231)</f>
        <v>1026106.03</v>
      </c>
      <c r="L117" s="87">
        <f>+SUM([1]DataEx!FK231)</f>
        <v>1222753.49</v>
      </c>
      <c r="M117" s="87">
        <f>+SUM([1]DataEx!FL231)</f>
        <v>1142926.9664523243</v>
      </c>
      <c r="N117" s="87">
        <f>+SUM([1]DataEx!FM231)</f>
        <v>1304199.4730337204</v>
      </c>
      <c r="O117" s="87">
        <f>+SUM([1]DataEx!FN231)</f>
        <v>1183707.9939274685</v>
      </c>
      <c r="P117" s="87">
        <f>+SUM([1]DataEx!FO231)</f>
        <v>1329191.3701360417</v>
      </c>
      <c r="Q117" s="87">
        <f>+SUM([1]DataEx!FP231)</f>
        <v>1263549.4031596093</v>
      </c>
      <c r="R117" s="87">
        <f>+SUM([1]DataEx!FQ231)</f>
        <v>2346588.9629115779</v>
      </c>
      <c r="S117" s="419">
        <f t="shared" si="20"/>
        <v>14950709.439620741</v>
      </c>
      <c r="T117" s="432">
        <f t="shared" si="21"/>
        <v>3.0462538844761998E-3</v>
      </c>
    </row>
    <row r="118" spans="1:20">
      <c r="A118" s="116" t="str">
        <f t="shared" si="17"/>
        <v>7124p</v>
      </c>
      <c r="B118" s="551" t="str">
        <f>+VLOOKUP(LEFT($A118,LEN(A118)-1)*1,[1]Master!$D$27:$G$225,4,FALSE)</f>
        <v>Ostali doprinosi</v>
      </c>
      <c r="C118" s="552"/>
      <c r="D118" s="552"/>
      <c r="E118" s="552"/>
      <c r="F118" s="552"/>
      <c r="G118" s="87">
        <f>+SUM([1]DataEx!FF232)</f>
        <v>380185.28</v>
      </c>
      <c r="H118" s="87">
        <f>+SUM([1]DataEx!FG232)</f>
        <v>1035686.38</v>
      </c>
      <c r="I118" s="87">
        <f>+SUM([1]DataEx!FH232)</f>
        <v>1210812.78</v>
      </c>
      <c r="J118" s="87">
        <f>+SUM([1]DataEx!FI232)</f>
        <v>1339504.93</v>
      </c>
      <c r="K118" s="87">
        <f>+SUM([1]DataEx!FJ232)</f>
        <v>906261.75</v>
      </c>
      <c r="L118" s="87">
        <f>+SUM([1]DataEx!FK232)</f>
        <v>1122699.07</v>
      </c>
      <c r="M118" s="87">
        <f>+SUM([1]DataEx!FL232)</f>
        <v>1231289.271800064</v>
      </c>
      <c r="N118" s="87">
        <f>+SUM([1]DataEx!FM232)</f>
        <v>1106008.2270068659</v>
      </c>
      <c r="O118" s="87">
        <f>+SUM([1]DataEx!FN232)</f>
        <v>978940.65414091514</v>
      </c>
      <c r="P118" s="87">
        <f>+SUM([1]DataEx!FO232)</f>
        <v>960390.70758482651</v>
      </c>
      <c r="Q118" s="87">
        <f>+SUM([1]DataEx!FP232)</f>
        <v>775847.86963662016</v>
      </c>
      <c r="R118" s="87">
        <f>+SUM([1]DataEx!FQ232)</f>
        <v>1487086.8165227156</v>
      </c>
      <c r="S118" s="419">
        <f t="shared" si="20"/>
        <v>12534713.736692008</v>
      </c>
      <c r="T118" s="432">
        <f t="shared" si="21"/>
        <v>2.5539871914040642E-3</v>
      </c>
    </row>
    <row r="119" spans="1:20">
      <c r="A119" s="116" t="str">
        <f t="shared" si="17"/>
        <v>713p</v>
      </c>
      <c r="B119" s="562" t="str">
        <f>+VLOOKUP(LEFT($A119,LEN(A119)-1)*1,[1]Master!$D$27:$G$225,4,FALSE)</f>
        <v>Takse</v>
      </c>
      <c r="C119" s="563"/>
      <c r="D119" s="563"/>
      <c r="E119" s="563"/>
      <c r="F119" s="563"/>
      <c r="G119" s="83">
        <f>+SUM([1]DataEx!FF233)</f>
        <v>851162.27</v>
      </c>
      <c r="H119" s="83">
        <f>+SUM([1]DataEx!FG233)</f>
        <v>1041125.3899999999</v>
      </c>
      <c r="I119" s="83">
        <f>+SUM([1]DataEx!FH233)</f>
        <v>1066481.8799999999</v>
      </c>
      <c r="J119" s="83">
        <f>+SUM([1]DataEx!FI233)</f>
        <v>1290371.49</v>
      </c>
      <c r="K119" s="83">
        <f>+SUM([1]DataEx!FJ233)</f>
        <v>1208813.17</v>
      </c>
      <c r="L119" s="83">
        <f>+SUM([1]DataEx!FK233)</f>
        <v>1252534.6599999999</v>
      </c>
      <c r="M119" s="83">
        <f>+SUM([1]DataEx!FL233)</f>
        <v>1795731.4641523927</v>
      </c>
      <c r="N119" s="83">
        <f>+SUM([1]DataEx!FM233)</f>
        <v>1701456.5372229549</v>
      </c>
      <c r="O119" s="83">
        <f>+SUM([1]DataEx!FN233)</f>
        <v>1388736.0694359436</v>
      </c>
      <c r="P119" s="83">
        <f>+SUM([1]DataEx!FO233)</f>
        <v>1341528.8515351652</v>
      </c>
      <c r="Q119" s="83">
        <f>+SUM([1]DataEx!FP233)</f>
        <v>1134405.6022195939</v>
      </c>
      <c r="R119" s="83">
        <f>+SUM([1]DataEx!FQ233)</f>
        <v>1246141.5409339513</v>
      </c>
      <c r="S119" s="420">
        <f t="shared" si="20"/>
        <v>15318488.925500004</v>
      </c>
      <c r="T119" s="433">
        <f t="shared" si="21"/>
        <v>3.1211901068685191E-3</v>
      </c>
    </row>
    <row r="120" spans="1:20">
      <c r="A120" s="116" t="str">
        <f t="shared" si="17"/>
        <v>714p</v>
      </c>
      <c r="B120" s="562" t="str">
        <f>+VLOOKUP(LEFT($A120,LEN(A120)-1)*1,[1]Master!$D$27:$G$225,4,FALSE)</f>
        <v>Naknade</v>
      </c>
      <c r="C120" s="563"/>
      <c r="D120" s="563"/>
      <c r="E120" s="563"/>
      <c r="F120" s="563"/>
      <c r="G120" s="83">
        <f>+SUM([1]DataEx!FF238)</f>
        <v>2315003.25</v>
      </c>
      <c r="H120" s="83">
        <f>+SUM([1]DataEx!FG238)</f>
        <v>1541397.86</v>
      </c>
      <c r="I120" s="83">
        <f>+SUM([1]DataEx!FH238)</f>
        <v>2408517.5</v>
      </c>
      <c r="J120" s="83">
        <f>+SUM([1]DataEx!FI238)</f>
        <v>3310133.38</v>
      </c>
      <c r="K120" s="83">
        <f>+SUM([1]DataEx!FJ238)</f>
        <v>1792591.2</v>
      </c>
      <c r="L120" s="83">
        <f>+SUM([1]DataEx!FK238)</f>
        <v>2081141.31</v>
      </c>
      <c r="M120" s="83">
        <f>+SUM([1]DataEx!FL238)</f>
        <v>3811615.3822946725</v>
      </c>
      <c r="N120" s="83">
        <f>+SUM([1]DataEx!FM238)</f>
        <v>2369139.8885664819</v>
      </c>
      <c r="O120" s="83">
        <f>+SUM([1]DataEx!FN238)</f>
        <v>2509036.584840606</v>
      </c>
      <c r="P120" s="83">
        <f>+SUM([1]DataEx!FO238)</f>
        <v>3286740.3746407013</v>
      </c>
      <c r="Q120" s="83">
        <f>+SUM([1]DataEx!FP238)</f>
        <v>2611990.4957672656</v>
      </c>
      <c r="R120" s="83">
        <f>+SUM([1]DataEx!FQ238)</f>
        <v>3353537.6354902741</v>
      </c>
      <c r="S120" s="420">
        <f t="shared" si="20"/>
        <v>31390844.861600004</v>
      </c>
      <c r="T120" s="433">
        <f t="shared" si="21"/>
        <v>6.3959829787892993E-3</v>
      </c>
    </row>
    <row r="121" spans="1:20">
      <c r="A121" s="116" t="str">
        <f t="shared" si="17"/>
        <v>715p</v>
      </c>
      <c r="B121" s="562" t="str">
        <f>+VLOOKUP(LEFT($A121,LEN(A121)-1)*1,[1]Master!$D$27:$G$225,4,FALSE)</f>
        <v>Ostali prihodi</v>
      </c>
      <c r="C121" s="563"/>
      <c r="D121" s="563"/>
      <c r="E121" s="563"/>
      <c r="F121" s="563"/>
      <c r="G121" s="83">
        <f>+SUM([1]DataEx!FF245)</f>
        <v>1567288.04</v>
      </c>
      <c r="H121" s="83">
        <f>+SUM([1]DataEx!FG245)</f>
        <v>2199531.1</v>
      </c>
      <c r="I121" s="83">
        <f>+SUM([1]DataEx!FH245)</f>
        <v>3194097.81</v>
      </c>
      <c r="J121" s="83">
        <f>+SUM([1]DataEx!FI245)</f>
        <v>2385711.15</v>
      </c>
      <c r="K121" s="83">
        <f>+SUM([1]DataEx!FJ245)</f>
        <v>7159438.3900000006</v>
      </c>
      <c r="L121" s="83">
        <f>+SUM([1]DataEx!FK245)</f>
        <v>3263135.44</v>
      </c>
      <c r="M121" s="83">
        <f>+SUM([1]DataEx!FL245)</f>
        <v>3782335.0282840966</v>
      </c>
      <c r="N121" s="83">
        <f>+SUM([1]DataEx!FM245)</f>
        <v>3340173.0404689522</v>
      </c>
      <c r="O121" s="83">
        <f>+SUM([1]DataEx!FN245)</f>
        <v>2689732.0664405972</v>
      </c>
      <c r="P121" s="83">
        <f>+SUM([1]DataEx!FO245)</f>
        <v>37215962.809770532</v>
      </c>
      <c r="Q121" s="83">
        <f>+SUM([1]DataEx!FP245)</f>
        <v>3512092.3071244648</v>
      </c>
      <c r="R121" s="83">
        <f>+SUM([1]DataEx!FQ245)</f>
        <v>7138953.7303113183</v>
      </c>
      <c r="S121" s="420">
        <f t="shared" si="20"/>
        <v>77448450.912399963</v>
      </c>
      <c r="T121" s="433">
        <f t="shared" si="21"/>
        <v>1.5780364496505626E-2</v>
      </c>
    </row>
    <row r="122" spans="1:20">
      <c r="A122" s="116" t="str">
        <f t="shared" si="17"/>
        <v>73p</v>
      </c>
      <c r="B122" s="562" t="str">
        <f>+VLOOKUP(LEFT($A122,LEN(A122)-1)*1,[1]Master!$D$27:$G$225,4,FALSE)</f>
        <v>Primici od otplate kredita i sredstva prenesena iz prethodne godine</v>
      </c>
      <c r="C122" s="563"/>
      <c r="D122" s="563"/>
      <c r="E122" s="563"/>
      <c r="F122" s="563"/>
      <c r="G122" s="83">
        <f>+SUM([1]DataEx!FF253)</f>
        <v>69158.880000000005</v>
      </c>
      <c r="H122" s="83">
        <f>+SUM([1]DataEx!FG253)</f>
        <v>378338.04</v>
      </c>
      <c r="I122" s="83">
        <f>+SUM([1]DataEx!FH253)</f>
        <v>257172.98</v>
      </c>
      <c r="J122" s="83">
        <f>+SUM([1]DataEx!FI253)</f>
        <v>349238.34</v>
      </c>
      <c r="K122" s="83">
        <f>+SUM([1]DataEx!FJ253)</f>
        <v>808656.23</v>
      </c>
      <c r="L122" s="83">
        <f>+SUM([1]DataEx!FK253)</f>
        <v>1298753.81</v>
      </c>
      <c r="M122" s="83">
        <f>+SUM([1]DataEx!FL253)</f>
        <v>142080.0960214606</v>
      </c>
      <c r="N122" s="83">
        <f>+SUM([1]DataEx!FM253)</f>
        <v>117083.56784272524</v>
      </c>
      <c r="O122" s="83">
        <f>+SUM([1]DataEx!FN253)</f>
        <v>723504.94882674748</v>
      </c>
      <c r="P122" s="83">
        <f>+SUM([1]DataEx!FO253)</f>
        <v>419152.39381785714</v>
      </c>
      <c r="Q122" s="83">
        <f>+SUM([1]DataEx!FP253)</f>
        <v>3373987.8037220733</v>
      </c>
      <c r="R122" s="83">
        <f>+SUM([1]DataEx!FQ253)</f>
        <v>574536.91176913551</v>
      </c>
      <c r="S122" s="420">
        <f t="shared" si="20"/>
        <v>8511664.0019999985</v>
      </c>
      <c r="T122" s="433">
        <f t="shared" si="21"/>
        <v>1.7342782049349006E-3</v>
      </c>
    </row>
    <row r="123" spans="1:20" ht="13.5" thickBot="1">
      <c r="A123" s="116" t="str">
        <f t="shared" si="17"/>
        <v>74p</v>
      </c>
      <c r="B123" s="564" t="str">
        <f>+VLOOKUP(LEFT($A123,LEN(A123)-1)*1,[1]Master!$D$27:$G$225,4,FALSE)</f>
        <v>Donacije i transferi</v>
      </c>
      <c r="C123" s="565"/>
      <c r="D123" s="565"/>
      <c r="E123" s="565"/>
      <c r="F123" s="565"/>
      <c r="G123" s="83">
        <f>+SUM([1]DataEx!FF256)</f>
        <v>13526711.25</v>
      </c>
      <c r="H123" s="83">
        <f>+SUM([1]DataEx!FG256)</f>
        <v>1001055.74</v>
      </c>
      <c r="I123" s="83">
        <f>+SUM([1]DataEx!FH256)</f>
        <v>861265.77</v>
      </c>
      <c r="J123" s="83">
        <f>+SUM([1]DataEx!FI256)</f>
        <v>627154.51</v>
      </c>
      <c r="K123" s="83">
        <f>+SUM([1]DataEx!FJ256)</f>
        <v>1388870.5</v>
      </c>
      <c r="L123" s="83">
        <f>+SUM([1]DataEx!FK256)</f>
        <v>827810.06</v>
      </c>
      <c r="M123" s="83">
        <f>+SUM([1]DataEx!FL256)</f>
        <v>1487222.9580633398</v>
      </c>
      <c r="N123" s="83">
        <f>+SUM([1]DataEx!FM256)</f>
        <v>1494727.7085961688</v>
      </c>
      <c r="O123" s="83">
        <f>+SUM([1]DataEx!FN256)</f>
        <v>1256927.0639557138</v>
      </c>
      <c r="P123" s="83">
        <f>+SUM([1]DataEx!FO256)</f>
        <v>2914661.9432842401</v>
      </c>
      <c r="Q123" s="83">
        <f>+SUM([1]DataEx!FP256)</f>
        <v>9560814.8118033875</v>
      </c>
      <c r="R123" s="83">
        <f>+SUM([1]DataEx!FQ256)</f>
        <v>9532777.6842971519</v>
      </c>
      <c r="S123" s="421">
        <f t="shared" si="20"/>
        <v>44480000</v>
      </c>
      <c r="T123" s="434">
        <f t="shared" si="21"/>
        <v>9.0629393426923943E-3</v>
      </c>
    </row>
    <row r="124" spans="1:20" ht="13.5" thickBot="1">
      <c r="A124" s="116" t="str">
        <f t="shared" si="17"/>
        <v>4p</v>
      </c>
      <c r="B124" s="566" t="str">
        <f>+VLOOKUP(LEFT($A124,LEN(A124)-1)*1,[1]Master!$D$27:$G$225,4,FALSE)</f>
        <v>Budžetski izdaci</v>
      </c>
      <c r="C124" s="567"/>
      <c r="D124" s="567"/>
      <c r="E124" s="567"/>
      <c r="F124" s="567"/>
      <c r="G124" s="93">
        <f>+G126+G137+G143+SUM(G144:G148)</f>
        <v>169675887.19749999</v>
      </c>
      <c r="H124" s="93">
        <f t="shared" ref="H124:R124" si="23">+H126+H137+H143+SUM(H144:H148)</f>
        <v>163118817.50749999</v>
      </c>
      <c r="I124" s="93">
        <f t="shared" si="23"/>
        <v>195750967.64750001</v>
      </c>
      <c r="J124" s="93">
        <f t="shared" si="23"/>
        <v>172597951.91749999</v>
      </c>
      <c r="K124" s="93">
        <f t="shared" si="23"/>
        <v>167763443.14750004</v>
      </c>
      <c r="L124" s="93">
        <f t="shared" si="23"/>
        <v>158638536.14750001</v>
      </c>
      <c r="M124" s="93">
        <f t="shared" si="23"/>
        <v>173593221.77416667</v>
      </c>
      <c r="N124" s="93">
        <f t="shared" si="23"/>
        <v>157395422.72416666</v>
      </c>
      <c r="O124" s="93">
        <f t="shared" si="23"/>
        <v>161208966.37416667</v>
      </c>
      <c r="P124" s="93">
        <f t="shared" si="23"/>
        <v>158508019.66083336</v>
      </c>
      <c r="Q124" s="93">
        <f t="shared" si="23"/>
        <v>152277719.94083336</v>
      </c>
      <c r="R124" s="93">
        <f t="shared" si="23"/>
        <v>146102024.36083338</v>
      </c>
      <c r="S124" s="422">
        <f>+SUM(G124:R124)</f>
        <v>1976630978.4000001</v>
      </c>
      <c r="T124" s="435">
        <f t="shared" si="21"/>
        <v>0.40274475404959353</v>
      </c>
    </row>
    <row r="125" spans="1:20" ht="13.5" thickBot="1">
      <c r="A125" s="116" t="str">
        <f t="shared" si="17"/>
        <v>40p</v>
      </c>
      <c r="B125" s="584" t="str">
        <f>+VLOOKUP(LEFT($A125,LEN(A125)-1)*1,[1]Master!$D$27:$G$225,4,FALSE)</f>
        <v>Tekuća budžetska potrošnja</v>
      </c>
      <c r="C125" s="585"/>
      <c r="D125" s="585"/>
      <c r="E125" s="585"/>
      <c r="F125" s="585"/>
      <c r="G125" s="78">
        <f t="shared" ref="G125:R125" si="24">+G124-G144</f>
        <v>142932137.20749998</v>
      </c>
      <c r="H125" s="78">
        <f t="shared" si="24"/>
        <v>136375067.51749998</v>
      </c>
      <c r="I125" s="78">
        <f t="shared" si="24"/>
        <v>169007217.65750003</v>
      </c>
      <c r="J125" s="78">
        <f t="shared" si="24"/>
        <v>145854201.92750001</v>
      </c>
      <c r="K125" s="78">
        <f t="shared" si="24"/>
        <v>141019693.15750003</v>
      </c>
      <c r="L125" s="78">
        <f t="shared" si="24"/>
        <v>131894786.15750001</v>
      </c>
      <c r="M125" s="78">
        <f t="shared" si="24"/>
        <v>146849471.78416669</v>
      </c>
      <c r="N125" s="78">
        <f t="shared" si="24"/>
        <v>130651672.73416667</v>
      </c>
      <c r="O125" s="78">
        <f t="shared" si="24"/>
        <v>134465216.38416666</v>
      </c>
      <c r="P125" s="78">
        <f t="shared" si="24"/>
        <v>131764269.67083336</v>
      </c>
      <c r="Q125" s="78">
        <f t="shared" si="24"/>
        <v>138033969.95083335</v>
      </c>
      <c r="R125" s="78">
        <f t="shared" si="24"/>
        <v>131858274.25083338</v>
      </c>
      <c r="S125" s="423">
        <f t="shared" si="20"/>
        <v>1680705978.4000001</v>
      </c>
      <c r="T125" s="436">
        <f t="shared" si="21"/>
        <v>0.3424491082540394</v>
      </c>
    </row>
    <row r="126" spans="1:20">
      <c r="A126" s="116" t="str">
        <f t="shared" si="17"/>
        <v>41p</v>
      </c>
      <c r="B126" s="568" t="str">
        <f>+VLOOKUP(LEFT($A126,LEN(A126)-1)*1,[1]Master!$D$27:$G$225,4,FALSE)</f>
        <v>Tekući izdaci</v>
      </c>
      <c r="C126" s="569"/>
      <c r="D126" s="569"/>
      <c r="E126" s="569"/>
      <c r="F126" s="569"/>
      <c r="G126" s="85">
        <f t="shared" ref="G126:R126" si="25">+SUM(G127:G136)</f>
        <v>71012418.442500025</v>
      </c>
      <c r="H126" s="85">
        <f t="shared" si="25"/>
        <v>64850080.682500012</v>
      </c>
      <c r="I126" s="85">
        <f t="shared" si="25"/>
        <v>94352135.732500002</v>
      </c>
      <c r="J126" s="85">
        <f t="shared" si="25"/>
        <v>80290960.742500007</v>
      </c>
      <c r="K126" s="85">
        <f t="shared" si="25"/>
        <v>75302081.212500021</v>
      </c>
      <c r="L126" s="85">
        <f t="shared" si="25"/>
        <v>66157575.742500022</v>
      </c>
      <c r="M126" s="85">
        <f t="shared" si="25"/>
        <v>71113855.702500001</v>
      </c>
      <c r="N126" s="85">
        <f t="shared" si="25"/>
        <v>62800153.3125</v>
      </c>
      <c r="O126" s="85">
        <f t="shared" si="25"/>
        <v>66815564.902500011</v>
      </c>
      <c r="P126" s="85">
        <f t="shared" si="25"/>
        <v>62629581.782500006</v>
      </c>
      <c r="Q126" s="85">
        <f t="shared" si="25"/>
        <v>68882826.062500015</v>
      </c>
      <c r="R126" s="86">
        <f t="shared" si="25"/>
        <v>62463700.292500041</v>
      </c>
      <c r="S126" s="418">
        <f t="shared" si="20"/>
        <v>846670934.61000013</v>
      </c>
      <c r="T126" s="431">
        <f t="shared" si="21"/>
        <v>0.17251185529656271</v>
      </c>
    </row>
    <row r="127" spans="1:20">
      <c r="A127" s="116" t="str">
        <f t="shared" si="17"/>
        <v>411p</v>
      </c>
      <c r="B127" s="551" t="str">
        <f>+VLOOKUP(LEFT($A127,LEN(A127)-1)*1,[1]Master!$D$27:$G$225,4,FALSE)</f>
        <v>Bruto zarade i doprinosi na teret poslodavca</v>
      </c>
      <c r="C127" s="552"/>
      <c r="D127" s="552"/>
      <c r="E127" s="552"/>
      <c r="F127" s="552"/>
      <c r="G127" s="87">
        <f>+SUM([1]DataEx!FF265)</f>
        <v>39362332.101666681</v>
      </c>
      <c r="H127" s="87">
        <f>+SUM([1]DataEx!FG265)</f>
        <v>39125646.701666676</v>
      </c>
      <c r="I127" s="87">
        <f>+SUM([1]DataEx!FH265)</f>
        <v>39113380.221666679</v>
      </c>
      <c r="J127" s="87">
        <f>+SUM([1]DataEx!FI265)</f>
        <v>39105431.161666669</v>
      </c>
      <c r="K127" s="87">
        <f>+SUM([1]DataEx!FJ265)</f>
        <v>39107573.981666677</v>
      </c>
      <c r="L127" s="87">
        <f>+SUM([1]DataEx!FK265)</f>
        <v>41935580.18166668</v>
      </c>
      <c r="M127" s="87">
        <f>+SUM([1]DataEx!FL265)</f>
        <v>39107470.111666672</v>
      </c>
      <c r="N127" s="87">
        <f>+SUM([1]DataEx!FM265)</f>
        <v>39093383.891666673</v>
      </c>
      <c r="O127" s="87">
        <f>+SUM([1]DataEx!FN265)</f>
        <v>39030288.911666676</v>
      </c>
      <c r="P127" s="87">
        <f>+SUM([1]DataEx!FO265)</f>
        <v>39107584.94166667</v>
      </c>
      <c r="Q127" s="87">
        <f>+SUM([1]DataEx!FP265)</f>
        <v>39107395.941666678</v>
      </c>
      <c r="R127" s="87">
        <f>+SUM([1]DataEx!FQ265)</f>
        <v>38858179.001666702</v>
      </c>
      <c r="S127" s="419">
        <f t="shared" si="20"/>
        <v>472054247.1500001</v>
      </c>
      <c r="T127" s="432">
        <f t="shared" si="21"/>
        <v>9.6182531663236842E-2</v>
      </c>
    </row>
    <row r="128" spans="1:20">
      <c r="A128" s="116" t="str">
        <f t="shared" si="17"/>
        <v>412p</v>
      </c>
      <c r="B128" s="551" t="str">
        <f>+VLOOKUP(LEFT($A128,LEN(A128)-1)*1,[1]Master!$D$27:$G$225,4,FALSE)</f>
        <v>Ostala lična primanja</v>
      </c>
      <c r="C128" s="552"/>
      <c r="D128" s="552"/>
      <c r="E128" s="552"/>
      <c r="F128" s="552"/>
      <c r="G128" s="87">
        <f>+SUM([1]DataEx!FF271)</f>
        <v>1281057.9508333332</v>
      </c>
      <c r="H128" s="87">
        <f>+SUM([1]DataEx!FG271)</f>
        <v>1323983.3608333331</v>
      </c>
      <c r="I128" s="87">
        <f>+SUM([1]DataEx!FH271)</f>
        <v>1260740.2808333333</v>
      </c>
      <c r="J128" s="87">
        <f>+SUM([1]DataEx!FI271)</f>
        <v>1247473.6108333331</v>
      </c>
      <c r="K128" s="87">
        <f>+SUM([1]DataEx!FJ271)</f>
        <v>1248015.2908333333</v>
      </c>
      <c r="L128" s="87">
        <f>+SUM([1]DataEx!FK271)</f>
        <v>1249948.9408333332</v>
      </c>
      <c r="M128" s="87">
        <f>+SUM([1]DataEx!FL271)</f>
        <v>1249158.6208333333</v>
      </c>
      <c r="N128" s="87">
        <f>+SUM([1]DataEx!FM271)</f>
        <v>1249158.6208333333</v>
      </c>
      <c r="O128" s="87">
        <f>+SUM([1]DataEx!FN271)</f>
        <v>1249658.6108333331</v>
      </c>
      <c r="P128" s="87">
        <f>+SUM([1]DataEx!FO271)</f>
        <v>1239658.6108333331</v>
      </c>
      <c r="Q128" s="87">
        <f>+SUM([1]DataEx!FP271)</f>
        <v>1238097.2408333332</v>
      </c>
      <c r="R128" s="87">
        <f>+SUM([1]DataEx!FQ271)</f>
        <v>1240174.31083333</v>
      </c>
      <c r="S128" s="419">
        <f t="shared" si="20"/>
        <v>15077125.449999996</v>
      </c>
      <c r="T128" s="432">
        <f t="shared" si="21"/>
        <v>3.0720115426149668E-3</v>
      </c>
    </row>
    <row r="129" spans="1:20">
      <c r="A129" s="116" t="str">
        <f t="shared" si="17"/>
        <v>413p</v>
      </c>
      <c r="B129" s="551" t="str">
        <f>+VLOOKUP(LEFT($A129,LEN(A129)-1)*1,[1]Master!$D$27:$G$225,4,FALSE)</f>
        <v>Rashodi za materijal</v>
      </c>
      <c r="C129" s="552"/>
      <c r="D129" s="552"/>
      <c r="E129" s="552"/>
      <c r="F129" s="552"/>
      <c r="G129" s="87">
        <f>+SUM([1]DataEx!FF279)</f>
        <v>3067786.435833334</v>
      </c>
      <c r="H129" s="87">
        <f>+SUM([1]DataEx!FG279)</f>
        <v>3019826.0658333339</v>
      </c>
      <c r="I129" s="87">
        <f>+SUM([1]DataEx!FH279)</f>
        <v>3058309.8858333337</v>
      </c>
      <c r="J129" s="87">
        <f>+SUM([1]DataEx!FI279)</f>
        <v>3046755.8058333341</v>
      </c>
      <c r="K129" s="87">
        <f>+SUM([1]DataEx!FJ279)</f>
        <v>3057105.8058333341</v>
      </c>
      <c r="L129" s="87">
        <f>+SUM([1]DataEx!FK279)</f>
        <v>3056755.8058333341</v>
      </c>
      <c r="M129" s="87">
        <f>+SUM([1]DataEx!FL279)</f>
        <v>3059180.8058333341</v>
      </c>
      <c r="N129" s="87">
        <f>+SUM([1]DataEx!FM279)</f>
        <v>3059180.8058333341</v>
      </c>
      <c r="O129" s="87">
        <f>+SUM([1]DataEx!FN279)</f>
        <v>3059040.8058333341</v>
      </c>
      <c r="P129" s="87">
        <f>+SUM([1]DataEx!FO279)</f>
        <v>3063161.8058333341</v>
      </c>
      <c r="Q129" s="87">
        <f>+SUM([1]DataEx!FP279)</f>
        <v>3060771.8058333341</v>
      </c>
      <c r="R129" s="87">
        <f>+SUM([1]DataEx!FQ279)</f>
        <v>3044951.8258333337</v>
      </c>
      <c r="S129" s="419">
        <f t="shared" si="20"/>
        <v>36652827.660000004</v>
      </c>
      <c r="T129" s="432">
        <f t="shared" si="21"/>
        <v>7.4681284582000457E-3</v>
      </c>
    </row>
    <row r="130" spans="1:20">
      <c r="A130" s="116" t="str">
        <f t="shared" si="17"/>
        <v>414p</v>
      </c>
      <c r="B130" s="551" t="str">
        <f>+VLOOKUP(LEFT($A130,LEN(A130)-1)*1,[1]Master!$D$27:$G$225,4,FALSE)</f>
        <v>Rashodi za usluge</v>
      </c>
      <c r="C130" s="552"/>
      <c r="D130" s="552"/>
      <c r="E130" s="552"/>
      <c r="F130" s="552"/>
      <c r="G130" s="87">
        <f>+SUM([1]DataEx!FF286)</f>
        <v>6120514.5875000004</v>
      </c>
      <c r="H130" s="87">
        <f>+SUM([1]DataEx!FG286)</f>
        <v>5971668.0075000003</v>
      </c>
      <c r="I130" s="87">
        <f>+SUM([1]DataEx!FH286)</f>
        <v>5177760.0175000001</v>
      </c>
      <c r="J130" s="87">
        <f>+SUM([1]DataEx!FI286)</f>
        <v>5087042.1275000004</v>
      </c>
      <c r="K130" s="87">
        <f>+SUM([1]DataEx!FJ286)</f>
        <v>5141875.5275000008</v>
      </c>
      <c r="L130" s="87">
        <f>+SUM([1]DataEx!FK286)</f>
        <v>5197534.4975000005</v>
      </c>
      <c r="M130" s="87">
        <f>+SUM([1]DataEx!FL286)</f>
        <v>5059087.2374999989</v>
      </c>
      <c r="N130" s="87">
        <f>+SUM([1]DataEx!FM286)</f>
        <v>5071091.2374999989</v>
      </c>
      <c r="O130" s="87">
        <f>+SUM([1]DataEx!FN286)</f>
        <v>5175886.7374999989</v>
      </c>
      <c r="P130" s="87">
        <f>+SUM([1]DataEx!FO286)</f>
        <v>5062253.3274999987</v>
      </c>
      <c r="Q130" s="87">
        <f>+SUM([1]DataEx!FP286)</f>
        <v>5061881.6574999988</v>
      </c>
      <c r="R130" s="87">
        <f>+SUM([1]DataEx!FQ286)</f>
        <v>5000451.0074999994</v>
      </c>
      <c r="S130" s="419">
        <f t="shared" si="20"/>
        <v>63127045.969999991</v>
      </c>
      <c r="T130" s="432">
        <f t="shared" si="21"/>
        <v>1.2862333374763136E-2</v>
      </c>
    </row>
    <row r="131" spans="1:20">
      <c r="A131" s="116" t="str">
        <f t="shared" si="17"/>
        <v>415p</v>
      </c>
      <c r="B131" s="551" t="str">
        <f>+VLOOKUP(LEFT($A131,LEN(A131)-1)*1,[1]Master!$D$27:$G$225,4,FALSE)</f>
        <v>Rashodi za tekuće održavanje</v>
      </c>
      <c r="C131" s="552"/>
      <c r="D131" s="552"/>
      <c r="E131" s="552"/>
      <c r="F131" s="552"/>
      <c r="G131" s="87">
        <f>+SUM([1]DataEx!FF296)</f>
        <v>1931829.4616666667</v>
      </c>
      <c r="H131" s="87">
        <f>+SUM([1]DataEx!FG296)</f>
        <v>1929704.3816666668</v>
      </c>
      <c r="I131" s="87">
        <f>+SUM([1]DataEx!FH296)</f>
        <v>1921162.7116666667</v>
      </c>
      <c r="J131" s="87">
        <f>+SUM([1]DataEx!FI296)</f>
        <v>1920662.7116666667</v>
      </c>
      <c r="K131" s="87">
        <f>+SUM([1]DataEx!FJ296)</f>
        <v>1927678.7016666669</v>
      </c>
      <c r="L131" s="87">
        <f>+SUM([1]DataEx!FK296)</f>
        <v>1927612.7316666667</v>
      </c>
      <c r="M131" s="87">
        <f>+SUM([1]DataEx!FL296)</f>
        <v>1934953.7116666667</v>
      </c>
      <c r="N131" s="87">
        <f>+SUM([1]DataEx!FM296)</f>
        <v>1934887.7116666667</v>
      </c>
      <c r="O131" s="87">
        <f>+SUM([1]DataEx!FN296)</f>
        <v>1926953.7016666669</v>
      </c>
      <c r="P131" s="87">
        <f>+SUM([1]DataEx!FO296)</f>
        <v>1926887.7016666669</v>
      </c>
      <c r="Q131" s="87">
        <f>+SUM([1]DataEx!FP296)</f>
        <v>1926953.7016666669</v>
      </c>
      <c r="R131" s="87">
        <f>+SUM([1]DataEx!FQ296)</f>
        <v>1908616.3716666668</v>
      </c>
      <c r="S131" s="419">
        <f t="shared" si="20"/>
        <v>23117903.600000001</v>
      </c>
      <c r="T131" s="432">
        <f t="shared" si="21"/>
        <v>4.7103452800586814E-3</v>
      </c>
    </row>
    <row r="132" spans="1:20">
      <c r="A132" s="116" t="str">
        <f t="shared" si="17"/>
        <v>416p</v>
      </c>
      <c r="B132" s="551" t="str">
        <f>+VLOOKUP(LEFT($A132,LEN(A132)-1)*1,[1]Master!$D$27:$G$225,4,FALSE)</f>
        <v>Kamate</v>
      </c>
      <c r="C132" s="552"/>
      <c r="D132" s="552"/>
      <c r="E132" s="552"/>
      <c r="F132" s="552"/>
      <c r="G132" s="87">
        <f>+SUM([1]DataEx!FF300)</f>
        <v>7980725.0000000009</v>
      </c>
      <c r="H132" s="87">
        <f>+SUM([1]DataEx!FG300)</f>
        <v>986719.96000000054</v>
      </c>
      <c r="I132" s="87">
        <f>+SUM([1]DataEx!FH300)</f>
        <v>28101499.100000001</v>
      </c>
      <c r="J132" s="87">
        <f>+SUM([1]DataEx!FI300)</f>
        <v>18499732.100000001</v>
      </c>
      <c r="K132" s="87">
        <f>+SUM([1]DataEx!FJ300)</f>
        <v>14045836.270000001</v>
      </c>
      <c r="L132" s="87">
        <f>+SUM([1]DataEx!FK300)</f>
        <v>1973802.6600000008</v>
      </c>
      <c r="M132" s="87">
        <f>+SUM([1]DataEx!FL300)</f>
        <v>8764475.7899999991</v>
      </c>
      <c r="N132" s="87">
        <f>+SUM([1]DataEx!FM300)</f>
        <v>1297206.1400000008</v>
      </c>
      <c r="O132" s="87">
        <f>+SUM([1]DataEx!FN300)</f>
        <v>3140325.8000000007</v>
      </c>
      <c r="P132" s="87">
        <f>+SUM([1]DataEx!FO300)</f>
        <v>1321292.0800000008</v>
      </c>
      <c r="Q132" s="87">
        <f>+SUM([1]DataEx!FP300)</f>
        <v>7803737.330000001</v>
      </c>
      <c r="R132" s="87">
        <f>+SUM([1]DataEx!FQ300)</f>
        <v>1837347.7700000007</v>
      </c>
      <c r="S132" s="419">
        <f t="shared" si="20"/>
        <v>95752699.999999985</v>
      </c>
      <c r="T132" s="432">
        <f t="shared" si="21"/>
        <v>1.9509912589906066E-2</v>
      </c>
    </row>
    <row r="133" spans="1:20">
      <c r="A133" s="116" t="str">
        <f t="shared" si="17"/>
        <v>417p</v>
      </c>
      <c r="B133" s="551" t="str">
        <f>+VLOOKUP(LEFT($A133,LEN(A133)-1)*1,[1]Master!$D$27:$G$225,4,FALSE)</f>
        <v>Renta</v>
      </c>
      <c r="C133" s="552"/>
      <c r="D133" s="552"/>
      <c r="E133" s="552"/>
      <c r="F133" s="552"/>
      <c r="G133" s="87">
        <f>+SUM([1]DataEx!FF303)</f>
        <v>832820.39</v>
      </c>
      <c r="H133" s="87">
        <f>+SUM([1]DataEx!FG303)</f>
        <v>780840.39</v>
      </c>
      <c r="I133" s="87">
        <f>+SUM([1]DataEx!FH303)</f>
        <v>793807.47</v>
      </c>
      <c r="J133" s="87">
        <f>+SUM([1]DataEx!FI303)</f>
        <v>776070.39</v>
      </c>
      <c r="K133" s="87">
        <f>+SUM([1]DataEx!FJ303)</f>
        <v>793070.39</v>
      </c>
      <c r="L133" s="87">
        <f>+SUM([1]DataEx!FK303)</f>
        <v>826070.39</v>
      </c>
      <c r="M133" s="87">
        <f>+SUM([1]DataEx!FL303)</f>
        <v>846570.39</v>
      </c>
      <c r="N133" s="87">
        <f>+SUM([1]DataEx!FM303)</f>
        <v>846570.39</v>
      </c>
      <c r="O133" s="87">
        <f>+SUM([1]DataEx!FN303)</f>
        <v>826570.39</v>
      </c>
      <c r="P133" s="87">
        <f>+SUM([1]DataEx!FO303)</f>
        <v>826570.39</v>
      </c>
      <c r="Q133" s="87">
        <f>+SUM([1]DataEx!FP303)</f>
        <v>826570.39</v>
      </c>
      <c r="R133" s="87">
        <f>+SUM([1]DataEx!FQ303)</f>
        <v>845570.39</v>
      </c>
      <c r="S133" s="419">
        <f t="shared" si="20"/>
        <v>9821101.7599999998</v>
      </c>
      <c r="T133" s="432">
        <f t="shared" si="21"/>
        <v>2.0010802502088468E-3</v>
      </c>
    </row>
    <row r="134" spans="1:20">
      <c r="A134" s="116" t="str">
        <f t="shared" si="17"/>
        <v>418p</v>
      </c>
      <c r="B134" s="551" t="str">
        <f>+VLOOKUP(LEFT($A134,LEN(A134)-1)*1,[1]Master!$D$27:$G$225,4,FALSE)</f>
        <v>Subvencije</v>
      </c>
      <c r="C134" s="552"/>
      <c r="D134" s="552"/>
      <c r="E134" s="552"/>
      <c r="F134" s="552"/>
      <c r="G134" s="87">
        <f>+SUM([1]DataEx!FF307)</f>
        <v>2149037.4966666666</v>
      </c>
      <c r="H134" s="87">
        <f>+SUM([1]DataEx!FG307)</f>
        <v>2320829.9566666665</v>
      </c>
      <c r="I134" s="87">
        <f>+SUM([1]DataEx!FH307)</f>
        <v>4834564.4966666671</v>
      </c>
      <c r="J134" s="87">
        <f>+SUM([1]DataEx!FI307)</f>
        <v>2443787.4966666666</v>
      </c>
      <c r="K134" s="87">
        <f>+SUM([1]DataEx!FJ307)</f>
        <v>2190037.4966666666</v>
      </c>
      <c r="L134" s="87">
        <f>+SUM([1]DataEx!FK307)</f>
        <v>1990037.4966666666</v>
      </c>
      <c r="M134" s="87">
        <f>+SUM([1]DataEx!FL307)</f>
        <v>1956704.1566666667</v>
      </c>
      <c r="N134" s="87">
        <f>+SUM([1]DataEx!FM307)</f>
        <v>2253357.6966666663</v>
      </c>
      <c r="O134" s="87">
        <f>+SUM([1]DataEx!FN307)</f>
        <v>4447481.1566666672</v>
      </c>
      <c r="P134" s="87">
        <f>+SUM([1]DataEx!FO307)</f>
        <v>2156704.1566666663</v>
      </c>
      <c r="Q134" s="87">
        <f>+SUM([1]DataEx!FP307)</f>
        <v>2056704.1966666668</v>
      </c>
      <c r="R134" s="87">
        <f>+SUM([1]DataEx!FQ307)</f>
        <v>2015354.1966666668</v>
      </c>
      <c r="S134" s="419">
        <f t="shared" si="20"/>
        <v>30814599.999999993</v>
      </c>
      <c r="T134" s="432">
        <f t="shared" si="21"/>
        <v>6.2785712830334753E-3</v>
      </c>
    </row>
    <row r="135" spans="1:20">
      <c r="A135" s="116" t="str">
        <f t="shared" si="17"/>
        <v>419p</v>
      </c>
      <c r="B135" s="551" t="str">
        <f>+VLOOKUP(LEFT($A135,LEN(A135)-1)*1,[1]Master!$D$27:$G$225,4,FALSE)</f>
        <v>Ostali izdaci</v>
      </c>
      <c r="C135" s="552"/>
      <c r="D135" s="552"/>
      <c r="E135" s="552"/>
      <c r="F135" s="552"/>
      <c r="G135" s="87">
        <f>+SUM([1]DataEx!FF311)</f>
        <v>3473855.870833334</v>
      </c>
      <c r="H135" s="87">
        <f>+SUM([1]DataEx!FG311)</f>
        <v>4119817.790833334</v>
      </c>
      <c r="I135" s="87">
        <f>+SUM([1]DataEx!FH311)</f>
        <v>5047234.1108333347</v>
      </c>
      <c r="J135" s="87">
        <f>+SUM([1]DataEx!FI311)</f>
        <v>3132271.9408333339</v>
      </c>
      <c r="K135" s="87">
        <f>+SUM([1]DataEx!FJ311)</f>
        <v>3070265.2508333339</v>
      </c>
      <c r="L135" s="87">
        <f>+SUM([1]DataEx!FK311)</f>
        <v>3309652.560833334</v>
      </c>
      <c r="M135" s="87">
        <f>+SUM([1]DataEx!FL311)</f>
        <v>4122049.5508333351</v>
      </c>
      <c r="N135" s="87">
        <f>+SUM([1]DataEx!FM311)</f>
        <v>3027649.6708333334</v>
      </c>
      <c r="O135" s="87">
        <f>+SUM([1]DataEx!FN311)</f>
        <v>2986649.6408333336</v>
      </c>
      <c r="P135" s="87">
        <f>+SUM([1]DataEx!FO311)</f>
        <v>2977759.6208333336</v>
      </c>
      <c r="Q135" s="87">
        <f>+SUM([1]DataEx!FP311)</f>
        <v>3014504.6508333334</v>
      </c>
      <c r="R135" s="87">
        <f>+SUM([1]DataEx!FQ311)</f>
        <v>2914612.7408333337</v>
      </c>
      <c r="S135" s="419">
        <f t="shared" si="20"/>
        <v>41196323.400000006</v>
      </c>
      <c r="T135" s="432">
        <f t="shared" si="21"/>
        <v>8.3938799486542124E-3</v>
      </c>
    </row>
    <row r="136" spans="1:20">
      <c r="A136" s="116" t="str">
        <f t="shared" si="17"/>
        <v>440p</v>
      </c>
      <c r="B136" s="551" t="str">
        <f>+VLOOKUP(LEFT($A136,LEN(A136)-1)*1,[1]Master!$D$27:$G$225,4,FALSE)</f>
        <v>Kapitalni izdaci u tekućem budžetu</v>
      </c>
      <c r="C136" s="552"/>
      <c r="D136" s="552"/>
      <c r="E136" s="552"/>
      <c r="F136" s="552"/>
      <c r="G136" s="87">
        <f>+SUM([1]DataEx!FF369)</f>
        <v>4812459.1475000009</v>
      </c>
      <c r="H136" s="87">
        <f>+SUM([1]DataEx!FG369)</f>
        <v>5271044.0675000008</v>
      </c>
      <c r="I136" s="87">
        <f>+SUM([1]DataEx!FH369)</f>
        <v>5043677.4375000009</v>
      </c>
      <c r="J136" s="87">
        <f>+SUM([1]DataEx!FI369)</f>
        <v>5031733.3975000009</v>
      </c>
      <c r="K136" s="87">
        <f>+SUM([1]DataEx!FJ369)</f>
        <v>4720622.4975000015</v>
      </c>
      <c r="L136" s="87">
        <f>+SUM([1]DataEx!FK369)</f>
        <v>4690580.477500001</v>
      </c>
      <c r="M136" s="87">
        <f>+SUM([1]DataEx!FL369)</f>
        <v>5014205.3275000015</v>
      </c>
      <c r="N136" s="87">
        <f>+SUM([1]DataEx!FM369)</f>
        <v>4967667.1475000018</v>
      </c>
      <c r="O136" s="87">
        <f>+SUM([1]DataEx!FN369)</f>
        <v>4972709.1475000018</v>
      </c>
      <c r="P136" s="87">
        <f>+SUM([1]DataEx!FO369)</f>
        <v>4947709.1475000018</v>
      </c>
      <c r="Q136" s="87">
        <f>+SUM([1]DataEx!FP369)</f>
        <v>4786209.1475000018</v>
      </c>
      <c r="R136" s="87">
        <f>+SUM([1]DataEx!FQ369)</f>
        <v>4798442.6775000012</v>
      </c>
      <c r="S136" s="419">
        <f t="shared" si="20"/>
        <v>59057059.620000012</v>
      </c>
      <c r="T136" s="432">
        <f t="shared" si="21"/>
        <v>1.203306090588643E-2</v>
      </c>
    </row>
    <row r="137" spans="1:20">
      <c r="A137" s="116" t="str">
        <f t="shared" si="17"/>
        <v>42p</v>
      </c>
      <c r="B137" s="570" t="str">
        <f>+VLOOKUP(LEFT($A137,LEN(A137)-1)*1,[1]Master!$D$27:$G$225,4,FALSE)</f>
        <v>Transferi za socijalnu zaštitu</v>
      </c>
      <c r="C137" s="571"/>
      <c r="D137" s="571"/>
      <c r="E137" s="571"/>
      <c r="F137" s="571"/>
      <c r="G137" s="84">
        <f t="shared" ref="G137:R137" si="26">+SUM(G138:G142)</f>
        <v>46204849.909999982</v>
      </c>
      <c r="H137" s="84">
        <f t="shared" si="26"/>
        <v>46206149.810000002</v>
      </c>
      <c r="I137" s="84">
        <f t="shared" si="26"/>
        <v>46206149.810000002</v>
      </c>
      <c r="J137" s="84">
        <f t="shared" si="26"/>
        <v>46206149.810000002</v>
      </c>
      <c r="K137" s="84">
        <f t="shared" si="26"/>
        <v>46206149.810000002</v>
      </c>
      <c r="L137" s="84">
        <f t="shared" si="26"/>
        <v>46206149.810000002</v>
      </c>
      <c r="M137" s="84">
        <f t="shared" si="26"/>
        <v>46206149.810000002</v>
      </c>
      <c r="N137" s="84">
        <f t="shared" si="26"/>
        <v>46206149.810000002</v>
      </c>
      <c r="O137" s="84">
        <f t="shared" si="26"/>
        <v>46206149.810000002</v>
      </c>
      <c r="P137" s="84">
        <f t="shared" si="26"/>
        <v>47329512.010000005</v>
      </c>
      <c r="Q137" s="84">
        <f t="shared" si="26"/>
        <v>47329512.010000005</v>
      </c>
      <c r="R137" s="84">
        <f t="shared" si="26"/>
        <v>47329512.010000005</v>
      </c>
      <c r="S137" s="420">
        <f t="shared" si="20"/>
        <v>557842584.41999996</v>
      </c>
      <c r="T137" s="433">
        <f t="shared" si="21"/>
        <v>0.11366217413150226</v>
      </c>
    </row>
    <row r="138" spans="1:20">
      <c r="A138" s="116" t="str">
        <f t="shared" si="17"/>
        <v>421p</v>
      </c>
      <c r="B138" s="551" t="str">
        <f>+VLOOKUP(LEFT($A138,LEN(A138)-1)*1,[1]Master!$D$27:$G$225,4,FALSE)</f>
        <v>Prava iz oblasti socijalne zaštite</v>
      </c>
      <c r="C138" s="552"/>
      <c r="D138" s="552"/>
      <c r="E138" s="552"/>
      <c r="F138" s="552"/>
      <c r="G138" s="87">
        <f>SUM([1]DataEx!FF322)</f>
        <v>6747975.0000000028</v>
      </c>
      <c r="H138" s="87">
        <f>SUM([1]DataEx!FG322)</f>
        <v>6749275.0000000028</v>
      </c>
      <c r="I138" s="87">
        <f>SUM([1]DataEx!FH322)</f>
        <v>6749275.0000000028</v>
      </c>
      <c r="J138" s="87">
        <f>SUM([1]DataEx!FI322)</f>
        <v>6749275.0000000028</v>
      </c>
      <c r="K138" s="87">
        <f>SUM([1]DataEx!FJ322)</f>
        <v>6749275.0000000028</v>
      </c>
      <c r="L138" s="87">
        <f>SUM([1]DataEx!FK322)</f>
        <v>6749275.0000000028</v>
      </c>
      <c r="M138" s="87">
        <f>SUM([1]DataEx!FL322)</f>
        <v>6749275.0000000028</v>
      </c>
      <c r="N138" s="87">
        <f>SUM([1]DataEx!FM322)</f>
        <v>6749275.0000000028</v>
      </c>
      <c r="O138" s="87">
        <f>SUM([1]DataEx!FN322)</f>
        <v>6749275.0000000028</v>
      </c>
      <c r="P138" s="87">
        <f>SUM([1]DataEx!FO322)</f>
        <v>6749275.0000000028</v>
      </c>
      <c r="Q138" s="87">
        <f>SUM([1]DataEx!FP322)</f>
        <v>6749275.0000000028</v>
      </c>
      <c r="R138" s="87">
        <f>SUM([1]DataEx!FQ322)</f>
        <v>6749275.0000000028</v>
      </c>
      <c r="S138" s="419">
        <f t="shared" si="20"/>
        <v>80990000.000000015</v>
      </c>
      <c r="T138" s="432">
        <f t="shared" si="21"/>
        <v>1.6501966217730601E-2</v>
      </c>
    </row>
    <row r="139" spans="1:20">
      <c r="A139" s="116" t="str">
        <f t="shared" si="17"/>
        <v>422p</v>
      </c>
      <c r="B139" s="551" t="str">
        <f>+VLOOKUP(LEFT($A139,LEN(A139)-1)*1,[1]Master!$D$27:$G$225,4,FALSE)</f>
        <v>Sredstva za tehnološke viškove</v>
      </c>
      <c r="C139" s="552"/>
      <c r="D139" s="552"/>
      <c r="E139" s="552"/>
      <c r="F139" s="552"/>
      <c r="G139" s="87">
        <f>SUM([1]DataEx!FF330)</f>
        <v>1236031.8000000014</v>
      </c>
      <c r="H139" s="87">
        <f>SUM([1]DataEx!FG330)</f>
        <v>1236031.8699999999</v>
      </c>
      <c r="I139" s="87">
        <f>SUM([1]DataEx!FH330)</f>
        <v>1236031.8699999999</v>
      </c>
      <c r="J139" s="87">
        <f>SUM([1]DataEx!FI330)</f>
        <v>1236031.8699999999</v>
      </c>
      <c r="K139" s="87">
        <f>SUM([1]DataEx!FJ330)</f>
        <v>1236031.8699999999</v>
      </c>
      <c r="L139" s="87">
        <f>SUM([1]DataEx!FK330)</f>
        <v>1236031.8699999999</v>
      </c>
      <c r="M139" s="87">
        <f>SUM([1]DataEx!FL330)</f>
        <v>1236031.8699999999</v>
      </c>
      <c r="N139" s="87">
        <f>SUM([1]DataEx!FM330)</f>
        <v>1236031.8699999999</v>
      </c>
      <c r="O139" s="87">
        <f>SUM([1]DataEx!FN330)</f>
        <v>1236031.8699999999</v>
      </c>
      <c r="P139" s="87">
        <f>SUM([1]DataEx!FO330)</f>
        <v>2359394.0699999998</v>
      </c>
      <c r="Q139" s="87">
        <f>SUM([1]DataEx!FP330)</f>
        <v>2359394.0699999998</v>
      </c>
      <c r="R139" s="87">
        <f>SUM([1]DataEx!FQ330)</f>
        <v>2359394.0699999998</v>
      </c>
      <c r="S139" s="419">
        <f t="shared" si="20"/>
        <v>18202468.969999999</v>
      </c>
      <c r="T139" s="432">
        <f t="shared" si="21"/>
        <v>3.708810075592412E-3</v>
      </c>
    </row>
    <row r="140" spans="1:20">
      <c r="A140" s="116" t="str">
        <f t="shared" si="17"/>
        <v>423p</v>
      </c>
      <c r="B140" s="551" t="str">
        <f>+VLOOKUP(LEFT($A140,LEN(A140)-1)*1,[1]Master!$D$27:$G$225,4,FALSE)</f>
        <v>Prava iz oblasti penzijskog i invalidskog osiguranja</v>
      </c>
      <c r="C140" s="552"/>
      <c r="D140" s="552"/>
      <c r="E140" s="552"/>
      <c r="F140" s="552"/>
      <c r="G140" s="87">
        <f>SUM([1]DataEx!FF336)</f>
        <v>35752084.619999975</v>
      </c>
      <c r="H140" s="87">
        <f>SUM([1]DataEx!FG336)</f>
        <v>35752084.530000001</v>
      </c>
      <c r="I140" s="87">
        <f>SUM([1]DataEx!FH336)</f>
        <v>35752084.530000001</v>
      </c>
      <c r="J140" s="87">
        <f>SUM([1]DataEx!FI336)</f>
        <v>35752084.530000001</v>
      </c>
      <c r="K140" s="87">
        <f>SUM([1]DataEx!FJ336)</f>
        <v>35752084.530000001</v>
      </c>
      <c r="L140" s="87">
        <f>SUM([1]DataEx!FK336)</f>
        <v>35752084.530000001</v>
      </c>
      <c r="M140" s="87">
        <f>SUM([1]DataEx!FL336)</f>
        <v>35752084.530000001</v>
      </c>
      <c r="N140" s="87">
        <f>SUM([1]DataEx!FM336)</f>
        <v>35752084.530000001</v>
      </c>
      <c r="O140" s="87">
        <f>SUM([1]DataEx!FN336)</f>
        <v>35752084.530000001</v>
      </c>
      <c r="P140" s="87">
        <f>SUM([1]DataEx!FO336)</f>
        <v>35752084.530000001</v>
      </c>
      <c r="Q140" s="87">
        <f>SUM([1]DataEx!FP336)</f>
        <v>35752084.530000001</v>
      </c>
      <c r="R140" s="87">
        <f>SUM([1]DataEx!FQ336)</f>
        <v>35752084.530000001</v>
      </c>
      <c r="S140" s="419">
        <f t="shared" si="20"/>
        <v>429025014.44999993</v>
      </c>
      <c r="T140" s="432">
        <f t="shared" si="21"/>
        <v>8.7415190702744547E-2</v>
      </c>
    </row>
    <row r="141" spans="1:20">
      <c r="A141" s="116" t="str">
        <f t="shared" si="17"/>
        <v>424p</v>
      </c>
      <c r="B141" s="551" t="str">
        <f>+VLOOKUP(LEFT($A141,LEN(A141)-1)*1,[1]Master!$D$27:$G$225,4,FALSE)</f>
        <v>Ostala prava iz oblasti zdravstvene zaštite</v>
      </c>
      <c r="C141" s="552"/>
      <c r="D141" s="552"/>
      <c r="E141" s="552"/>
      <c r="F141" s="552"/>
      <c r="G141" s="87">
        <f>SUM([1]DataEx!FF344)</f>
        <v>1583341.7399999984</v>
      </c>
      <c r="H141" s="87">
        <f>SUM([1]DataEx!FG344)</f>
        <v>1583341.6600000001</v>
      </c>
      <c r="I141" s="87">
        <f>SUM([1]DataEx!FH344)</f>
        <v>1583341.6600000001</v>
      </c>
      <c r="J141" s="87">
        <f>SUM([1]DataEx!FI344)</f>
        <v>1583341.6600000001</v>
      </c>
      <c r="K141" s="87">
        <f>SUM([1]DataEx!FJ344)</f>
        <v>1583341.6600000001</v>
      </c>
      <c r="L141" s="87">
        <f>SUM([1]DataEx!FK344)</f>
        <v>1583341.6600000001</v>
      </c>
      <c r="M141" s="87">
        <f>SUM([1]DataEx!FL344)</f>
        <v>1583341.6600000001</v>
      </c>
      <c r="N141" s="87">
        <f>SUM([1]DataEx!FM344)</f>
        <v>1583341.6600000001</v>
      </c>
      <c r="O141" s="87">
        <f>SUM([1]DataEx!FN344)</f>
        <v>1583341.6600000001</v>
      </c>
      <c r="P141" s="87">
        <f>SUM([1]DataEx!FO344)</f>
        <v>1583341.6600000001</v>
      </c>
      <c r="Q141" s="87">
        <f>SUM([1]DataEx!FP344)</f>
        <v>1583341.6600000001</v>
      </c>
      <c r="R141" s="87">
        <f>SUM([1]DataEx!FQ344)</f>
        <v>1583341.6600000001</v>
      </c>
      <c r="S141" s="419">
        <f t="shared" si="20"/>
        <v>19000100</v>
      </c>
      <c r="T141" s="432">
        <f t="shared" si="21"/>
        <v>3.8713298966971616E-3</v>
      </c>
    </row>
    <row r="142" spans="1:20">
      <c r="A142" s="116" t="str">
        <f t="shared" si="17"/>
        <v>425p</v>
      </c>
      <c r="B142" s="551" t="str">
        <f>+VLOOKUP(LEFT($A142,LEN(A142)-1)*1,[1]Master!$D$27:$G$225,4,FALSE)</f>
        <v>Ostala prava iz zdravstvenog osiguranja</v>
      </c>
      <c r="C142" s="552"/>
      <c r="D142" s="552"/>
      <c r="E142" s="552"/>
      <c r="F142" s="552"/>
      <c r="G142" s="87">
        <f>SUM([1]DataEx!FF346)</f>
        <v>885416.75</v>
      </c>
      <c r="H142" s="87">
        <f>SUM([1]DataEx!FG346)</f>
        <v>885416.75</v>
      </c>
      <c r="I142" s="87">
        <f>SUM([1]DataEx!FH346)</f>
        <v>885416.75</v>
      </c>
      <c r="J142" s="87">
        <f>SUM([1]DataEx!FI346)</f>
        <v>885416.75</v>
      </c>
      <c r="K142" s="87">
        <f>SUM([1]DataEx!FJ346)</f>
        <v>885416.75</v>
      </c>
      <c r="L142" s="87">
        <f>SUM([1]DataEx!FK346)</f>
        <v>885416.75</v>
      </c>
      <c r="M142" s="87">
        <f>SUM([1]DataEx!FL346)</f>
        <v>885416.75</v>
      </c>
      <c r="N142" s="87">
        <f>SUM([1]DataEx!FM346)</f>
        <v>885416.75</v>
      </c>
      <c r="O142" s="87">
        <f>SUM([1]DataEx!FN346)</f>
        <v>885416.75</v>
      </c>
      <c r="P142" s="87">
        <f>SUM([1]DataEx!FO346)</f>
        <v>885416.75</v>
      </c>
      <c r="Q142" s="87">
        <f>SUM([1]DataEx!FP346)</f>
        <v>885416.75</v>
      </c>
      <c r="R142" s="87">
        <f>SUM([1]DataEx!FQ346)</f>
        <v>885416.75</v>
      </c>
      <c r="S142" s="419">
        <f t="shared" si="20"/>
        <v>10625001</v>
      </c>
      <c r="T142" s="432">
        <f t="shared" si="21"/>
        <v>2.1648772387375457E-3</v>
      </c>
    </row>
    <row r="143" spans="1:20">
      <c r="A143" s="116" t="str">
        <f t="shared" si="17"/>
        <v>43p</v>
      </c>
      <c r="B143" s="576" t="str">
        <f>+VLOOKUP(LEFT($A143,LEN(A143)-1)*1,[1]Master!$D$27:$G$225,4,FALSE)</f>
        <v xml:space="preserve">Transferi institucijama, pojedincima, nevladinom i javnom sektoru </v>
      </c>
      <c r="C143" s="577"/>
      <c r="D143" s="577"/>
      <c r="E143" s="577"/>
      <c r="F143" s="577"/>
      <c r="G143" s="83">
        <f>SUM([1]DataEx!FF350)</f>
        <v>20338750.958333332</v>
      </c>
      <c r="H143" s="83">
        <f>SUM([1]DataEx!FG350)</f>
        <v>22018439.158333331</v>
      </c>
      <c r="I143" s="83">
        <f>SUM([1]DataEx!FH350)</f>
        <v>17975691.918333333</v>
      </c>
      <c r="J143" s="83">
        <f>SUM([1]DataEx!FI350)</f>
        <v>15972358.598333333</v>
      </c>
      <c r="K143" s="83">
        <f>SUM([1]DataEx!FJ350)</f>
        <v>15993608.598333333</v>
      </c>
      <c r="L143" s="83">
        <f>SUM([1]DataEx!FK350)</f>
        <v>16020602.668333333</v>
      </c>
      <c r="M143" s="83">
        <f>SUM([1]DataEx!FL350)</f>
        <v>22848909.595000003</v>
      </c>
      <c r="N143" s="83">
        <f>SUM([1]DataEx!FM350)</f>
        <v>17972208.524999999</v>
      </c>
      <c r="O143" s="83">
        <f>SUM([1]DataEx!FN350)</f>
        <v>17992208.524999999</v>
      </c>
      <c r="P143" s="83">
        <f>SUM([1]DataEx!FO350)</f>
        <v>17923875.184999999</v>
      </c>
      <c r="Q143" s="83">
        <f>SUM([1]DataEx!FP350)</f>
        <v>17866375.204999998</v>
      </c>
      <c r="R143" s="83">
        <f>SUM([1]DataEx!FQ350)</f>
        <v>18024758.024999999</v>
      </c>
      <c r="S143" s="420">
        <f>+SUM(G143:R143)</f>
        <v>220947786.96000001</v>
      </c>
      <c r="T143" s="433">
        <f t="shared" si="21"/>
        <v>4.5018803757207772E-2</v>
      </c>
    </row>
    <row r="144" spans="1:20">
      <c r="A144" s="116" t="str">
        <f t="shared" si="17"/>
        <v>44p</v>
      </c>
      <c r="B144" s="576" t="str">
        <f>+VLOOKUP(LEFT($A144,LEN(A144)-1)*1,[1]Master!$D$27:$G$225,4,FALSE)</f>
        <v>Kapitalni budžet</v>
      </c>
      <c r="C144" s="577"/>
      <c r="D144" s="577"/>
      <c r="E144" s="577"/>
      <c r="F144" s="577"/>
      <c r="G144" s="83">
        <f>SUM([1]DataEx!FF368)</f>
        <v>26743749.989999995</v>
      </c>
      <c r="H144" s="83">
        <f>SUM([1]DataEx!FG368)</f>
        <v>26743749.989999995</v>
      </c>
      <c r="I144" s="83">
        <f>SUM([1]DataEx!FH368)</f>
        <v>26743749.989999995</v>
      </c>
      <c r="J144" s="83">
        <f>SUM([1]DataEx!FI368)</f>
        <v>26743749.989999995</v>
      </c>
      <c r="K144" s="83">
        <f>SUM([1]DataEx!FJ368)</f>
        <v>26743749.989999995</v>
      </c>
      <c r="L144" s="83">
        <f>SUM([1]DataEx!FK368)</f>
        <v>26743749.989999995</v>
      </c>
      <c r="M144" s="83">
        <f>SUM([1]DataEx!FL368)</f>
        <v>26743749.989999995</v>
      </c>
      <c r="N144" s="83">
        <f>SUM([1]DataEx!FM368)</f>
        <v>26743749.989999995</v>
      </c>
      <c r="O144" s="83">
        <f>SUM([1]DataEx!FN368)</f>
        <v>26743749.989999995</v>
      </c>
      <c r="P144" s="83">
        <f>SUM([1]DataEx!FO368)</f>
        <v>26743749.989999995</v>
      </c>
      <c r="Q144" s="83">
        <f>SUM([1]DataEx!FP368)</f>
        <v>14243749.989999998</v>
      </c>
      <c r="R144" s="83">
        <f>SUM([1]DataEx!FQ368)</f>
        <v>14243750.109999999</v>
      </c>
      <c r="S144" s="420">
        <f t="shared" si="20"/>
        <v>295925000</v>
      </c>
      <c r="T144" s="433">
        <f t="shared" si="21"/>
        <v>6.0295645795554104E-2</v>
      </c>
    </row>
    <row r="145" spans="1:20">
      <c r="A145" s="116" t="str">
        <f t="shared" si="17"/>
        <v>451p</v>
      </c>
      <c r="B145" s="572" t="str">
        <f>+VLOOKUP(LEFT($A145,LEN(A145)-1)*1,[1]Master!$D$27:$G$225,4,FALSE)</f>
        <v>Pozajmice i krediti</v>
      </c>
      <c r="C145" s="573"/>
      <c r="D145" s="573"/>
      <c r="E145" s="573"/>
      <c r="F145" s="573"/>
      <c r="G145" s="87">
        <f>SUM([1]DataEx!FF379)</f>
        <v>190000.08333333334</v>
      </c>
      <c r="H145" s="87">
        <f>SUM([1]DataEx!FG379)</f>
        <v>190000.08333333334</v>
      </c>
      <c r="I145" s="87">
        <f>SUM([1]DataEx!FH379)</f>
        <v>190000.08333333334</v>
      </c>
      <c r="J145" s="87">
        <f>SUM([1]DataEx!FI379)</f>
        <v>190000.08333333334</v>
      </c>
      <c r="K145" s="87">
        <f>SUM([1]DataEx!FJ379)</f>
        <v>190000.08333333334</v>
      </c>
      <c r="L145" s="87">
        <f>SUM([1]DataEx!FK379)</f>
        <v>190000.08333333334</v>
      </c>
      <c r="M145" s="87">
        <f>SUM([1]DataEx!FL379)</f>
        <v>190000.08333333334</v>
      </c>
      <c r="N145" s="87">
        <f>SUM([1]DataEx!FM379)</f>
        <v>190000.08333333334</v>
      </c>
      <c r="O145" s="87">
        <f>SUM([1]DataEx!FN379)</f>
        <v>190000.08333333334</v>
      </c>
      <c r="P145" s="87">
        <f>SUM([1]DataEx!FO379)</f>
        <v>190000.08333333334</v>
      </c>
      <c r="Q145" s="87">
        <f>SUM([1]DataEx!FP379)</f>
        <v>190000.08333333334</v>
      </c>
      <c r="R145" s="87">
        <f>SUM([1]DataEx!FQ379)</f>
        <v>190000.08333333334</v>
      </c>
      <c r="S145" s="419">
        <f t="shared" si="20"/>
        <v>2280000.9999999995</v>
      </c>
      <c r="T145" s="432">
        <f t="shared" si="21"/>
        <v>4.6455734631919955E-4</v>
      </c>
    </row>
    <row r="146" spans="1:20">
      <c r="A146" s="116" t="str">
        <f t="shared" si="17"/>
        <v>47p</v>
      </c>
      <c r="B146" s="572" t="str">
        <f>+VLOOKUP(LEFT($A146,LEN(A146)-1)*1,[1]Master!$D$27:$G$225,4,FALSE)</f>
        <v>Rezerve</v>
      </c>
      <c r="C146" s="573"/>
      <c r="D146" s="573"/>
      <c r="E146" s="573"/>
      <c r="F146" s="573"/>
      <c r="G146" s="87">
        <f>SUM([1]DataEx!FF394)</f>
        <v>1650583.3333333333</v>
      </c>
      <c r="H146" s="87">
        <f>SUM([1]DataEx!FG394)</f>
        <v>1843583.3333333333</v>
      </c>
      <c r="I146" s="87">
        <f>SUM([1]DataEx!FH394)</f>
        <v>1650583.3333333333</v>
      </c>
      <c r="J146" s="87">
        <f>SUM([1]DataEx!FI394)</f>
        <v>1650583.3333333333</v>
      </c>
      <c r="K146" s="87">
        <f>SUM([1]DataEx!FJ394)</f>
        <v>1650583.3333333333</v>
      </c>
      <c r="L146" s="87">
        <f>SUM([1]DataEx!FK394)</f>
        <v>1650583.3333333333</v>
      </c>
      <c r="M146" s="87">
        <f>SUM([1]DataEx!FL394)</f>
        <v>4650583.3333333302</v>
      </c>
      <c r="N146" s="87">
        <f>SUM([1]DataEx!FM394)</f>
        <v>1650583.3333333333</v>
      </c>
      <c r="O146" s="87">
        <f>SUM([1]DataEx!FN394)</f>
        <v>1650583.3333333333</v>
      </c>
      <c r="P146" s="87">
        <f>SUM([1]DataEx!FO394)</f>
        <v>2317250</v>
      </c>
      <c r="Q146" s="87">
        <f>SUM([1]DataEx!FP394)</f>
        <v>2317250</v>
      </c>
      <c r="R146" s="87">
        <f>SUM([1]DataEx!FQ394)</f>
        <v>2317250</v>
      </c>
      <c r="S146" s="419">
        <f t="shared" si="20"/>
        <v>24999999.999999996</v>
      </c>
      <c r="T146" s="432">
        <f t="shared" si="21"/>
        <v>5.0938283176103823E-3</v>
      </c>
    </row>
    <row r="147" spans="1:20">
      <c r="A147" s="116" t="str">
        <f t="shared" si="17"/>
        <v>462p</v>
      </c>
      <c r="B147" s="572" t="str">
        <f>+VLOOKUP(LEFT($A147,LEN(A147)-1)*1,[1]Master!$D$27:$G$225,4,FALSE)</f>
        <v>Otplata garancija</v>
      </c>
      <c r="C147" s="573"/>
      <c r="D147" s="573"/>
      <c r="E147" s="573"/>
      <c r="F147" s="573"/>
      <c r="G147" s="87">
        <f>SUM([1]DataEx!FF390)</f>
        <v>2253720.0299999998</v>
      </c>
      <c r="H147" s="87">
        <f>SUM([1]DataEx!FG390)</f>
        <v>0</v>
      </c>
      <c r="I147" s="87">
        <f>SUM([1]DataEx!FH390)</f>
        <v>7180952.3800000008</v>
      </c>
      <c r="J147" s="87">
        <f>SUM([1]DataEx!FI390)</f>
        <v>0</v>
      </c>
      <c r="K147" s="87">
        <f>SUM([1]DataEx!FJ390)</f>
        <v>0</v>
      </c>
      <c r="L147" s="87">
        <f>SUM([1]DataEx!FK390)</f>
        <v>0</v>
      </c>
      <c r="M147" s="87">
        <f>SUM([1]DataEx!FL390)</f>
        <v>0</v>
      </c>
      <c r="N147" s="87">
        <f>SUM([1]DataEx!FM390)</f>
        <v>0</v>
      </c>
      <c r="O147" s="87">
        <f>SUM([1]DataEx!FN390)</f>
        <v>0</v>
      </c>
      <c r="P147" s="87">
        <f>SUM([1]DataEx!FO390)</f>
        <v>0</v>
      </c>
      <c r="Q147" s="87">
        <f>SUM([1]DataEx!FP390)</f>
        <v>0</v>
      </c>
      <c r="R147" s="87">
        <f>SUM([1]DataEx!FQ390)</f>
        <v>0</v>
      </c>
      <c r="S147" s="419">
        <f t="shared" si="20"/>
        <v>9434672.4100000001</v>
      </c>
      <c r="T147" s="432">
        <f t="shared" si="21"/>
        <v>1.922344059577416E-3</v>
      </c>
    </row>
    <row r="148" spans="1:20">
      <c r="A148" s="117" t="str">
        <f>+CONCATENATE(A53,"p")</f>
        <v>4630p</v>
      </c>
      <c r="B148" s="572" t="str">
        <f>+VLOOKUP(LEFT($A148,LEN(A148)-1)*1,[1]Master!$D$27:$G$225,4,FALSE)</f>
        <v>Otplata obaveza iz prethodnih godina</v>
      </c>
      <c r="C148" s="573"/>
      <c r="D148" s="573"/>
      <c r="E148" s="573"/>
      <c r="F148" s="573"/>
      <c r="G148" s="96">
        <f>SUM([1]DataEx!FF393)</f>
        <v>1281814.4500000002</v>
      </c>
      <c r="H148" s="96">
        <f>SUM([1]DataEx!FG393)</f>
        <v>1266814.4500000002</v>
      </c>
      <c r="I148" s="96">
        <f>SUM([1]DataEx!FH393)</f>
        <v>1451704.4</v>
      </c>
      <c r="J148" s="96">
        <f>SUM([1]DataEx!FI393)</f>
        <v>1544149.3599999999</v>
      </c>
      <c r="K148" s="96">
        <f>SUM([1]DataEx!FJ393)</f>
        <v>1677270.12</v>
      </c>
      <c r="L148" s="96">
        <f>SUM([1]DataEx!FK393)</f>
        <v>1669874.52</v>
      </c>
      <c r="M148" s="96">
        <f>SUM([1]DataEx!FL393)</f>
        <v>1839973.2600000002</v>
      </c>
      <c r="N148" s="96">
        <f>SUM([1]DataEx!FM393)</f>
        <v>1832577.67</v>
      </c>
      <c r="O148" s="96">
        <f>SUM([1]DataEx!FN393)</f>
        <v>1610709.73</v>
      </c>
      <c r="P148" s="96">
        <f>SUM([1]DataEx!FO393)</f>
        <v>1374050.6099999999</v>
      </c>
      <c r="Q148" s="96">
        <f>SUM([1]DataEx!FP393)</f>
        <v>1448006.5899999999</v>
      </c>
      <c r="R148" s="96">
        <f>SUM([1]DataEx!FQ393)</f>
        <v>1533053.84</v>
      </c>
      <c r="S148" s="424">
        <f>+SUM(G148:R148)</f>
        <v>18529999</v>
      </c>
      <c r="T148" s="437">
        <f>+S148/$T$7</f>
        <v>3.7755453452596832E-3</v>
      </c>
    </row>
    <row r="149" spans="1:20" ht="13.5" thickBot="1">
      <c r="A149" s="116"/>
      <c r="B149" s="586" t="s">
        <v>688</v>
      </c>
      <c r="C149" s="587"/>
      <c r="D149" s="587"/>
      <c r="E149" s="587"/>
      <c r="F149" s="587"/>
      <c r="G149" s="87">
        <f>SUM([1]DataEx!FF382)</f>
        <v>0</v>
      </c>
      <c r="H149" s="87">
        <f>SUM([1]DataEx!FG382)</f>
        <v>0</v>
      </c>
      <c r="I149" s="87">
        <f>SUM([1]DataEx!FH382)</f>
        <v>0</v>
      </c>
      <c r="J149" s="87">
        <f>SUM([1]DataEx!FI382)</f>
        <v>0</v>
      </c>
      <c r="K149" s="87">
        <f>SUM([1]DataEx!FJ382)</f>
        <v>0</v>
      </c>
      <c r="L149" s="87">
        <f>SUM([1]DataEx!FK382)</f>
        <v>0</v>
      </c>
      <c r="M149" s="87">
        <f>SUM([1]DataEx!FL382)</f>
        <v>0</v>
      </c>
      <c r="N149" s="87">
        <f>SUM([1]DataEx!FM382)</f>
        <v>0</v>
      </c>
      <c r="O149" s="87">
        <f>SUM([1]DataEx!FN382)</f>
        <v>0</v>
      </c>
      <c r="P149" s="87">
        <f>SUM([1]DataEx!FO382)</f>
        <v>0</v>
      </c>
      <c r="Q149" s="87">
        <f>SUM([1]DataEx!FP382)</f>
        <v>0</v>
      </c>
      <c r="R149" s="87">
        <f>SUM([1]DataEx!FQ382)</f>
        <v>0</v>
      </c>
      <c r="S149" s="410">
        <f>SUM(G149:R149)</f>
        <v>0</v>
      </c>
      <c r="T149" s="395">
        <f t="shared" si="21"/>
        <v>0</v>
      </c>
    </row>
    <row r="150" spans="1:20" ht="13.5" thickBot="1">
      <c r="A150" s="117" t="str">
        <f>+CONCATENATE(A55,"p")</f>
        <v>1000p</v>
      </c>
      <c r="B150" s="574" t="str">
        <f>+VLOOKUP(LEFT($A150,LEN(A150)-1)*1,[1]Master!$D$27:$G$225,4,FALSE)</f>
        <v>Suficit / deficit</v>
      </c>
      <c r="C150" s="575"/>
      <c r="D150" s="575"/>
      <c r="E150" s="575"/>
      <c r="F150" s="575"/>
      <c r="G150" s="93">
        <f t="shared" ref="G150:R150" si="27">+G105-G124</f>
        <v>-62417951.607499987</v>
      </c>
      <c r="H150" s="93">
        <f t="shared" si="27"/>
        <v>-46574191.55749999</v>
      </c>
      <c r="I150" s="93">
        <f t="shared" si="27"/>
        <v>-48206287.017500013</v>
      </c>
      <c r="J150" s="93">
        <f t="shared" si="27"/>
        <v>-7552535.5874999762</v>
      </c>
      <c r="K150" s="93">
        <f t="shared" si="27"/>
        <v>-23536603.497500032</v>
      </c>
      <c r="L150" s="93">
        <f t="shared" si="27"/>
        <v>-15244934.667500019</v>
      </c>
      <c r="M150" s="93">
        <f t="shared" si="27"/>
        <v>-9956542.8029392064</v>
      </c>
      <c r="N150" s="93">
        <f t="shared" si="27"/>
        <v>7106786.3305667937</v>
      </c>
      <c r="O150" s="93">
        <f t="shared" si="27"/>
        <v>-9808009.6425497532</v>
      </c>
      <c r="P150" s="93">
        <f t="shared" si="27"/>
        <v>29894513.576703846</v>
      </c>
      <c r="Q150" s="93">
        <f t="shared" si="27"/>
        <v>-3563061.4788611233</v>
      </c>
      <c r="R150" s="93">
        <f t="shared" si="27"/>
        <v>47260753.315640002</v>
      </c>
      <c r="S150" s="425">
        <f t="shared" si="20"/>
        <v>-142598064.63643947</v>
      </c>
      <c r="T150" s="438">
        <f t="shared" si="21"/>
        <v>-2.9054802387261245E-2</v>
      </c>
    </row>
    <row r="151" spans="1:20" ht="13.5" thickBot="1">
      <c r="A151" s="117" t="str">
        <f>+CONCATENATE(A56,"p")</f>
        <v>1001p</v>
      </c>
      <c r="B151" s="580" t="str">
        <f>+VLOOKUP(LEFT($A151,LEN(A151)-1)*1,[1]Master!$D$27:$G$225,4,FALSE)</f>
        <v>Primarni bilans</v>
      </c>
      <c r="C151" s="581"/>
      <c r="D151" s="581"/>
      <c r="E151" s="581"/>
      <c r="F151" s="581"/>
      <c r="G151" s="94">
        <f t="shared" ref="G151:R151" si="28">+G150+G132</f>
        <v>-54437226.607499987</v>
      </c>
      <c r="H151" s="94">
        <f t="shared" si="28"/>
        <v>-45587471.597499989</v>
      </c>
      <c r="I151" s="94">
        <f t="shared" si="28"/>
        <v>-20104787.917500012</v>
      </c>
      <c r="J151" s="94">
        <f t="shared" si="28"/>
        <v>10947196.512500025</v>
      </c>
      <c r="K151" s="94">
        <f t="shared" si="28"/>
        <v>-9490767.2275000308</v>
      </c>
      <c r="L151" s="94">
        <f t="shared" si="28"/>
        <v>-13271132.007500019</v>
      </c>
      <c r="M151" s="94">
        <f t="shared" si="28"/>
        <v>-1192067.0129392073</v>
      </c>
      <c r="N151" s="94">
        <f t="shared" si="28"/>
        <v>8403992.4705667943</v>
      </c>
      <c r="O151" s="94">
        <f t="shared" si="28"/>
        <v>-6667683.8425497524</v>
      </c>
      <c r="P151" s="94">
        <f t="shared" si="28"/>
        <v>31215805.656703848</v>
      </c>
      <c r="Q151" s="94">
        <f t="shared" si="28"/>
        <v>4240675.8511388777</v>
      </c>
      <c r="R151" s="94">
        <f t="shared" si="28"/>
        <v>49098101.085640006</v>
      </c>
      <c r="S151" s="425">
        <f t="shared" si="20"/>
        <v>-46845364.63643948</v>
      </c>
      <c r="T151" s="438">
        <f t="shared" si="21"/>
        <v>-9.5448897973551775E-3</v>
      </c>
    </row>
    <row r="152" spans="1:20">
      <c r="A152" s="117" t="str">
        <f>+CONCATENATE(A57,"p")</f>
        <v>46p</v>
      </c>
      <c r="B152" s="570" t="str">
        <f>+VLOOKUP(LEFT($A152,LEN(A152)-1)*1,[1]Master!$D$27:$G$225,4,FALSE)</f>
        <v>Otplata dugova</v>
      </c>
      <c r="C152" s="571"/>
      <c r="D152" s="571"/>
      <c r="E152" s="571"/>
      <c r="F152" s="571"/>
      <c r="G152" s="84">
        <f t="shared" ref="G152:R152" si="29">+SUM(G153:G154)</f>
        <v>1718363.6600000001</v>
      </c>
      <c r="H152" s="84">
        <f t="shared" si="29"/>
        <v>3362692.9499999997</v>
      </c>
      <c r="I152" s="84">
        <f t="shared" si="29"/>
        <v>17620925.690000001</v>
      </c>
      <c r="J152" s="84">
        <f t="shared" si="29"/>
        <v>21217195.289999999</v>
      </c>
      <c r="K152" s="84">
        <f t="shared" si="29"/>
        <v>181489557.88</v>
      </c>
      <c r="L152" s="84">
        <f t="shared" si="29"/>
        <v>16844785.800000001</v>
      </c>
      <c r="M152" s="84">
        <f t="shared" si="29"/>
        <v>61721044.270000003</v>
      </c>
      <c r="N152" s="84">
        <f t="shared" si="29"/>
        <v>13754741.09</v>
      </c>
      <c r="O152" s="84">
        <f t="shared" si="29"/>
        <v>17831317.309999999</v>
      </c>
      <c r="P152" s="84">
        <f t="shared" si="29"/>
        <v>6151156.2299999995</v>
      </c>
      <c r="Q152" s="84">
        <f t="shared" si="29"/>
        <v>10176505.869999999</v>
      </c>
      <c r="R152" s="84">
        <f t="shared" si="29"/>
        <v>21711713.960000001</v>
      </c>
      <c r="S152" s="426">
        <f t="shared" si="20"/>
        <v>373600000</v>
      </c>
      <c r="T152" s="439">
        <f t="shared" si="21"/>
        <v>7.6122170378369561E-2</v>
      </c>
    </row>
    <row r="153" spans="1:20">
      <c r="A153" s="117" t="str">
        <f>+CONCATENATE(A58,"p")</f>
        <v>4611p</v>
      </c>
      <c r="B153" s="578" t="str">
        <f>+VLOOKUP(LEFT($A153,LEN(A153)-1)*1,[1]Master!$D$27:$G$225,4,FALSE)</f>
        <v>Otplata hartija od vrijednosti i kredita rezidentima</v>
      </c>
      <c r="C153" s="579"/>
      <c r="D153" s="579"/>
      <c r="E153" s="579"/>
      <c r="F153" s="579"/>
      <c r="G153" s="96">
        <f>SUM([1]DataEx!FF388)</f>
        <v>84944.84</v>
      </c>
      <c r="H153" s="96">
        <f>SUM([1]DataEx!FG388)</f>
        <v>835385.84</v>
      </c>
      <c r="I153" s="96">
        <f>SUM([1]DataEx!FH388)</f>
        <v>1812259.88</v>
      </c>
      <c r="J153" s="96">
        <f>SUM([1]DataEx!FI388)</f>
        <v>4541832.53</v>
      </c>
      <c r="K153" s="96">
        <f>SUM([1]DataEx!FJ388)</f>
        <v>2836722.65</v>
      </c>
      <c r="L153" s="96">
        <f>SUM([1]DataEx!FK388)</f>
        <v>7054086.1200000001</v>
      </c>
      <c r="M153" s="96">
        <f>SUM([1]DataEx!FL388)</f>
        <v>87625.45</v>
      </c>
      <c r="N153" s="96">
        <f>SUM([1]DataEx!FM388)</f>
        <v>10838080.380000001</v>
      </c>
      <c r="O153" s="96">
        <f>SUM([1]DataEx!FN388)</f>
        <v>1831359.63</v>
      </c>
      <c r="P153" s="96">
        <f>SUM([1]DataEx!FO388)</f>
        <v>1571862.21</v>
      </c>
      <c r="Q153" s="96">
        <f>SUM([1]DataEx!FP388)</f>
        <v>839459.36</v>
      </c>
      <c r="R153" s="96">
        <f>SUM([1]DataEx!FQ388)</f>
        <v>11766381.15</v>
      </c>
      <c r="S153" s="424">
        <f t="shared" si="20"/>
        <v>44100000.039999999</v>
      </c>
      <c r="T153" s="437">
        <f t="shared" si="21"/>
        <v>8.9855131604148417E-3</v>
      </c>
    </row>
    <row r="154" spans="1:20" ht="13.5" thickBot="1">
      <c r="A154" s="117" t="str">
        <f>+CONCATENATE(A59,"p")</f>
        <v>4612p</v>
      </c>
      <c r="B154" s="572" t="str">
        <f>+VLOOKUP(LEFT($A154,LEN(A154)-1)*1,[1]Master!$D$27:$G$225,4,FALSE)</f>
        <v>Otplata hartija od vrijednosti i kredita nerezidentima</v>
      </c>
      <c r="C154" s="573"/>
      <c r="D154" s="573"/>
      <c r="E154" s="573"/>
      <c r="F154" s="573"/>
      <c r="G154" s="96">
        <f>SUM([1]DataEx!FF389)</f>
        <v>1633418.82</v>
      </c>
      <c r="H154" s="96">
        <f>SUM([1]DataEx!FG389)</f>
        <v>2527307.11</v>
      </c>
      <c r="I154" s="96">
        <f>SUM([1]DataEx!FH389)</f>
        <v>15808665.810000001</v>
      </c>
      <c r="J154" s="96">
        <f>SUM([1]DataEx!FI389)</f>
        <v>16675362.76</v>
      </c>
      <c r="K154" s="96">
        <f>SUM([1]DataEx!FJ389)</f>
        <v>178652835.22999999</v>
      </c>
      <c r="L154" s="96">
        <f>SUM([1]DataEx!FK389)</f>
        <v>9790699.6799999997</v>
      </c>
      <c r="M154" s="96">
        <f>SUM([1]DataEx!FL389)</f>
        <v>61633418.82</v>
      </c>
      <c r="N154" s="96">
        <f>SUM([1]DataEx!FM389)</f>
        <v>2916660.71</v>
      </c>
      <c r="O154" s="96">
        <f>SUM([1]DataEx!FN389)</f>
        <v>15999957.68</v>
      </c>
      <c r="P154" s="96">
        <f>SUM([1]DataEx!FO389)</f>
        <v>4579294.0199999996</v>
      </c>
      <c r="Q154" s="96">
        <f>SUM([1]DataEx!FP389)</f>
        <v>9337046.5099999998</v>
      </c>
      <c r="R154" s="96">
        <f>SUM([1]DataEx!FQ389)</f>
        <v>9945332.8100000005</v>
      </c>
      <c r="S154" s="424">
        <f t="shared" si="20"/>
        <v>329499999.95999998</v>
      </c>
      <c r="T154" s="437">
        <f t="shared" si="21"/>
        <v>6.7136657217954726E-2</v>
      </c>
    </row>
    <row r="155" spans="1:20" ht="13.5" thickBot="1">
      <c r="A155" s="117"/>
      <c r="B155" s="486" t="s">
        <v>773</v>
      </c>
      <c r="C155" s="487"/>
      <c r="D155" s="487"/>
      <c r="E155" s="487"/>
      <c r="F155" s="487"/>
      <c r="G155" s="94">
        <f>+[1]DataEx!FF377</f>
        <v>26666.67</v>
      </c>
      <c r="H155" s="94">
        <f>+[1]DataEx!FG377</f>
        <v>26666.67</v>
      </c>
      <c r="I155" s="94">
        <f>+[1]DataEx!FH377</f>
        <v>26666.67</v>
      </c>
      <c r="J155" s="94">
        <f>+[1]DataEx!FI377</f>
        <v>39926666.670000002</v>
      </c>
      <c r="K155" s="94">
        <f>+[1]DataEx!FJ377</f>
        <v>26666.67</v>
      </c>
      <c r="L155" s="94">
        <f>+[1]DataEx!FK377</f>
        <v>26666.67</v>
      </c>
      <c r="M155" s="94">
        <f>+[1]DataEx!FL377</f>
        <v>26666.67</v>
      </c>
      <c r="N155" s="94">
        <f>+[1]DataEx!FM377</f>
        <v>26666.67</v>
      </c>
      <c r="O155" s="94">
        <f>+[1]DataEx!FN377</f>
        <v>26666.67</v>
      </c>
      <c r="P155" s="94">
        <f>+[1]DataEx!FO377</f>
        <v>26666.67</v>
      </c>
      <c r="Q155" s="94">
        <f>+[1]DataEx!FP377</f>
        <v>26666.67</v>
      </c>
      <c r="R155" s="94">
        <f>+[1]DataEx!FQ377</f>
        <v>26666.63</v>
      </c>
      <c r="S155" s="425">
        <f t="shared" si="20"/>
        <v>40220000.000000015</v>
      </c>
      <c r="T155" s="438">
        <f t="shared" si="21"/>
        <v>8.1949509973715876E-3</v>
      </c>
    </row>
    <row r="156" spans="1:20" ht="13.5" thickBot="1">
      <c r="A156" s="117" t="str">
        <f t="shared" ref="A156:A161" si="30">+CONCATENATE(A61,"p")</f>
        <v>1002p</v>
      </c>
      <c r="B156" s="582" t="str">
        <f>+VLOOKUP(LEFT($A156,LEN(A156)-1)*1,[1]Master!$D$27:$G$225,4,FALSE)</f>
        <v>Nedostajuća sredstva</v>
      </c>
      <c r="C156" s="583"/>
      <c r="D156" s="583"/>
      <c r="E156" s="583"/>
      <c r="F156" s="583"/>
      <c r="G156" s="77">
        <f t="shared" ref="G156:R156" si="31">+G150-G152-G155</f>
        <v>-64162981.937499985</v>
      </c>
      <c r="H156" s="77">
        <f t="shared" si="31"/>
        <v>-49963551.177499995</v>
      </c>
      <c r="I156" s="77">
        <f t="shared" si="31"/>
        <v>-65853879.377500013</v>
      </c>
      <c r="J156" s="77">
        <f t="shared" si="31"/>
        <v>-68696397.547499985</v>
      </c>
      <c r="K156" s="77">
        <f t="shared" si="31"/>
        <v>-205052828.04750001</v>
      </c>
      <c r="L156" s="77">
        <f t="shared" si="31"/>
        <v>-32116387.137500022</v>
      </c>
      <c r="M156" s="77">
        <f t="shared" si="31"/>
        <v>-71704253.742939219</v>
      </c>
      <c r="N156" s="77">
        <f t="shared" si="31"/>
        <v>-6674621.4294332061</v>
      </c>
      <c r="O156" s="77">
        <f t="shared" si="31"/>
        <v>-27665993.622549754</v>
      </c>
      <c r="P156" s="77">
        <f t="shared" si="31"/>
        <v>23716690.676703844</v>
      </c>
      <c r="Q156" s="77">
        <f t="shared" si="31"/>
        <v>-13766234.018861122</v>
      </c>
      <c r="R156" s="77">
        <f t="shared" si="31"/>
        <v>25522372.725640003</v>
      </c>
      <c r="S156" s="427">
        <f t="shared" si="20"/>
        <v>-556418064.63643956</v>
      </c>
      <c r="T156" s="440">
        <f t="shared" si="21"/>
        <v>-0.11337192376300241</v>
      </c>
    </row>
    <row r="157" spans="1:20" ht="13.5" thickBot="1">
      <c r="A157" s="117" t="str">
        <f t="shared" si="30"/>
        <v>1003p</v>
      </c>
      <c r="B157" s="566" t="str">
        <f>+VLOOKUP(LEFT($A157,LEN(A157)-1)*1,[1]Master!$D$27:$G$225,4,FALSE)</f>
        <v>Finansiranje</v>
      </c>
      <c r="C157" s="567"/>
      <c r="D157" s="567"/>
      <c r="E157" s="567"/>
      <c r="F157" s="567"/>
      <c r="G157" s="93">
        <f t="shared" ref="G157:R157" si="32">+SUM(G158:G161)</f>
        <v>64162981.937499985</v>
      </c>
      <c r="H157" s="93">
        <f t="shared" si="32"/>
        <v>49963551.177499995</v>
      </c>
      <c r="I157" s="93">
        <f t="shared" si="32"/>
        <v>65853879.377500013</v>
      </c>
      <c r="J157" s="93">
        <f t="shared" si="32"/>
        <v>68696397.547499985</v>
      </c>
      <c r="K157" s="93">
        <f t="shared" si="32"/>
        <v>205052828.04750001</v>
      </c>
      <c r="L157" s="93">
        <f t="shared" si="32"/>
        <v>32116387.137500022</v>
      </c>
      <c r="M157" s="93">
        <f t="shared" si="32"/>
        <v>71704253.742939219</v>
      </c>
      <c r="N157" s="93">
        <f t="shared" si="32"/>
        <v>6674621.4294332061</v>
      </c>
      <c r="O157" s="93">
        <f t="shared" si="32"/>
        <v>27665993.622549754</v>
      </c>
      <c r="P157" s="93">
        <f t="shared" si="32"/>
        <v>-23716690.67670384</v>
      </c>
      <c r="Q157" s="93">
        <f t="shared" si="32"/>
        <v>13766234.018861122</v>
      </c>
      <c r="R157" s="93">
        <f t="shared" si="32"/>
        <v>-25522372.725640006</v>
      </c>
      <c r="S157" s="428">
        <f t="shared" si="20"/>
        <v>556418064.63643956</v>
      </c>
      <c r="T157" s="441">
        <f t="shared" si="21"/>
        <v>0.11337192376300241</v>
      </c>
    </row>
    <row r="158" spans="1:20">
      <c r="A158" s="117" t="str">
        <f t="shared" si="30"/>
        <v>7511p</v>
      </c>
      <c r="B158" s="578" t="str">
        <f>+VLOOKUP(LEFT($A158,LEN(A158)-1)*1,[1]Master!$D$27:$G$225,4,FALSE)</f>
        <v>Pozajmice i krediti od domaćih izvora</v>
      </c>
      <c r="C158" s="579"/>
      <c r="D158" s="579"/>
      <c r="E158" s="579"/>
      <c r="F158" s="579"/>
      <c r="G158" s="96">
        <f>+[1]DataEx!FF261</f>
        <v>0</v>
      </c>
      <c r="H158" s="96">
        <f>+[1]DataEx!FG261</f>
        <v>0</v>
      </c>
      <c r="I158" s="96">
        <f>+[1]DataEx!FH261</f>
        <v>95000000</v>
      </c>
      <c r="J158" s="96">
        <f>+[1]DataEx!FI261</f>
        <v>0</v>
      </c>
      <c r="K158" s="96">
        <f>+[1]DataEx!FJ261</f>
        <v>95000000</v>
      </c>
      <c r="L158" s="96">
        <f>+[1]DataEx!FK261</f>
        <v>0</v>
      </c>
      <c r="M158" s="96">
        <f>+[1]DataEx!FL261</f>
        <v>0</v>
      </c>
      <c r="N158" s="96">
        <f>+[1]DataEx!FM261</f>
        <v>0</v>
      </c>
      <c r="O158" s="96">
        <f>+[1]DataEx!FN261</f>
        <v>0</v>
      </c>
      <c r="P158" s="96">
        <f>+[1]DataEx!FO261</f>
        <v>0</v>
      </c>
      <c r="Q158" s="96">
        <f>+[1]DataEx!FP261</f>
        <v>0</v>
      </c>
      <c r="R158" s="96">
        <f>+[1]DataEx!FQ261</f>
        <v>0</v>
      </c>
      <c r="S158" s="424">
        <f t="shared" si="20"/>
        <v>190000000</v>
      </c>
      <c r="T158" s="437">
        <f t="shared" si="21"/>
        <v>3.8713095213838915E-2</v>
      </c>
    </row>
    <row r="159" spans="1:20">
      <c r="A159" s="117" t="str">
        <f t="shared" si="30"/>
        <v>7512p</v>
      </c>
      <c r="B159" s="572" t="str">
        <f>+VLOOKUP(LEFT($A159,LEN(A159)-1)*1,[1]Master!$D$27:$G$225,4,FALSE)</f>
        <v>Pozajmice i krediti od inostranih izvora</v>
      </c>
      <c r="C159" s="573"/>
      <c r="D159" s="573"/>
      <c r="E159" s="573"/>
      <c r="F159" s="573"/>
      <c r="G159" s="96">
        <f>+[1]DataEx!FF262</f>
        <v>24022843.850000001</v>
      </c>
      <c r="H159" s="96">
        <f>+[1]DataEx!FG262</f>
        <v>0</v>
      </c>
      <c r="I159" s="96">
        <f>+[1]DataEx!FH262</f>
        <v>12399337.390000001</v>
      </c>
      <c r="J159" s="96">
        <f>+[1]DataEx!FI262</f>
        <v>15000000</v>
      </c>
      <c r="K159" s="96">
        <f>+[1]DataEx!FJ262</f>
        <v>17000000</v>
      </c>
      <c r="L159" s="96">
        <f>+[1]DataEx!FK262</f>
        <v>17000000</v>
      </c>
      <c r="M159" s="96">
        <f>+[1]DataEx!FL262</f>
        <v>17000000</v>
      </c>
      <c r="N159" s="96">
        <f>+[1]DataEx!FM262</f>
        <v>15000000</v>
      </c>
      <c r="O159" s="96">
        <f>+[1]DataEx!FN262</f>
        <v>17000000</v>
      </c>
      <c r="P159" s="96">
        <f>+[1]DataEx!FO262</f>
        <v>17000000</v>
      </c>
      <c r="Q159" s="96">
        <f>+[1]DataEx!FP262</f>
        <v>15000000</v>
      </c>
      <c r="R159" s="96">
        <f>+[1]DataEx!FQ262</f>
        <v>13983087.501553783</v>
      </c>
      <c r="S159" s="424">
        <f t="shared" si="20"/>
        <v>180405268.74155378</v>
      </c>
      <c r="T159" s="437">
        <f t="shared" si="21"/>
        <v>3.6758138662473516E-2</v>
      </c>
    </row>
    <row r="160" spans="1:20">
      <c r="A160" s="117" t="str">
        <f t="shared" si="30"/>
        <v>72p</v>
      </c>
      <c r="B160" s="572" t="str">
        <f>+VLOOKUP(LEFT($A160,LEN(A160)-1)*1,[1]Master!$D$27:$G$225,4,FALSE)</f>
        <v>Primici od prodaje imovine</v>
      </c>
      <c r="C160" s="573"/>
      <c r="D160" s="573"/>
      <c r="E160" s="573"/>
      <c r="F160" s="573"/>
      <c r="G160" s="96">
        <f>+[1]DataEx!FF250</f>
        <v>500000</v>
      </c>
      <c r="H160" s="96">
        <f>+[1]DataEx!FG250</f>
        <v>500000</v>
      </c>
      <c r="I160" s="96">
        <f>+[1]DataEx!FH250</f>
        <v>500000</v>
      </c>
      <c r="J160" s="96">
        <f>+[1]DataEx!FI250</f>
        <v>500000</v>
      </c>
      <c r="K160" s="96">
        <f>+[1]DataEx!FJ250</f>
        <v>500000</v>
      </c>
      <c r="L160" s="96">
        <f>+[1]DataEx!FK250</f>
        <v>500000</v>
      </c>
      <c r="M160" s="96">
        <f>+[1]DataEx!FL250</f>
        <v>500000</v>
      </c>
      <c r="N160" s="96">
        <f>+[1]DataEx!FM250</f>
        <v>500000</v>
      </c>
      <c r="O160" s="96">
        <f>+[1]DataEx!FN250</f>
        <v>500000</v>
      </c>
      <c r="P160" s="96">
        <f>+[1]DataEx!FO250</f>
        <v>500000</v>
      </c>
      <c r="Q160" s="96">
        <f>+[1]DataEx!FP250</f>
        <v>500000</v>
      </c>
      <c r="R160" s="96">
        <f>+[1]DataEx!FQ250</f>
        <v>500000</v>
      </c>
      <c r="S160" s="424">
        <f t="shared" si="20"/>
        <v>6000000</v>
      </c>
      <c r="T160" s="437">
        <f t="shared" si="21"/>
        <v>1.222518796226492E-3</v>
      </c>
    </row>
    <row r="161" spans="1:20" ht="13.5" thickBot="1">
      <c r="A161" s="117" t="str">
        <f t="shared" si="30"/>
        <v>1004p</v>
      </c>
      <c r="B161" s="98" t="str">
        <f>+VLOOKUP(LEFT($A161,LEN(A161)-1)*1,[1]Master!$D$27:$G$225,4,FALSE)</f>
        <v>Povećanje / smanjenje depozita</v>
      </c>
      <c r="C161" s="99"/>
      <c r="D161" s="99"/>
      <c r="E161" s="99"/>
      <c r="F161" s="99"/>
      <c r="G161" s="97">
        <f t="shared" ref="G161:R161" si="33">-G156-SUM(G158:G160)</f>
        <v>39640138.087499984</v>
      </c>
      <c r="H161" s="97">
        <f t="shared" si="33"/>
        <v>49463551.177499995</v>
      </c>
      <c r="I161" s="97">
        <f t="shared" si="33"/>
        <v>-42045458.012499988</v>
      </c>
      <c r="J161" s="97">
        <f t="shared" si="33"/>
        <v>53196397.547499985</v>
      </c>
      <c r="K161" s="97">
        <f t="shared" si="33"/>
        <v>92552828.047500014</v>
      </c>
      <c r="L161" s="97">
        <f t="shared" si="33"/>
        <v>14616387.137500022</v>
      </c>
      <c r="M161" s="97">
        <f t="shared" si="33"/>
        <v>54204253.742939219</v>
      </c>
      <c r="N161" s="97">
        <f t="shared" si="33"/>
        <v>-8825378.5705667939</v>
      </c>
      <c r="O161" s="97">
        <f t="shared" si="33"/>
        <v>10165993.622549754</v>
      </c>
      <c r="P161" s="97">
        <f t="shared" si="33"/>
        <v>-41216690.67670384</v>
      </c>
      <c r="Q161" s="97">
        <f t="shared" si="33"/>
        <v>-1733765.9811388776</v>
      </c>
      <c r="R161" s="97">
        <f t="shared" si="33"/>
        <v>-40005460.227193788</v>
      </c>
      <c r="S161" s="429">
        <f t="shared" si="20"/>
        <v>180012795.89488566</v>
      </c>
      <c r="T161" s="442">
        <f t="shared" si="21"/>
        <v>3.6678171090463466E-2</v>
      </c>
    </row>
  </sheetData>
  <mergeCells count="118">
    <mergeCell ref="B157:F157"/>
    <mergeCell ref="B158:F158"/>
    <mergeCell ref="B159:F159"/>
    <mergeCell ref="B160:F160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B24" sqref="B24:F24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744</v>
      </c>
      <c r="H6" s="236" t="s">
        <v>745</v>
      </c>
      <c r="I6" s="236" t="s">
        <v>746</v>
      </c>
      <c r="J6" s="236" t="s">
        <v>747</v>
      </c>
      <c r="K6" s="236" t="s">
        <v>748</v>
      </c>
      <c r="L6" s="236" t="s">
        <v>749</v>
      </c>
      <c r="M6" s="236" t="s">
        <v>750</v>
      </c>
      <c r="N6" s="236" t="s">
        <v>751</v>
      </c>
      <c r="O6" s="236" t="s">
        <v>752</v>
      </c>
      <c r="P6" s="236" t="s">
        <v>753</v>
      </c>
      <c r="Q6" s="236" t="s">
        <v>754</v>
      </c>
      <c r="R6" s="236" t="s">
        <v>755</v>
      </c>
      <c r="S6" s="235"/>
      <c r="T6" s="235"/>
    </row>
    <row r="7" spans="1:20" ht="15" customHeight="1" thickBot="1">
      <c r="A7" s="146"/>
      <c r="B7" s="528" t="str">
        <f>+[1]Master!G251</f>
        <v>Ostvarenje budžeta</v>
      </c>
      <c r="C7" s="509"/>
      <c r="D7" s="509"/>
      <c r="E7" s="509"/>
      <c r="F7" s="509"/>
      <c r="G7" s="517">
        <v>2018</v>
      </c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21"/>
      <c r="S7" s="237" t="str">
        <f>+[1]Master!G248</f>
        <v>BDP</v>
      </c>
      <c r="T7" s="238">
        <v>4663130000</v>
      </c>
    </row>
    <row r="8" spans="1:20" ht="16.5" customHeight="1">
      <c r="A8" s="146"/>
      <c r="B8" s="510"/>
      <c r="C8" s="511"/>
      <c r="D8" s="511"/>
      <c r="E8" s="511"/>
      <c r="F8" s="512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517" t="str">
        <f>+[1]Master!G245</f>
        <v>Jan - Dec</v>
      </c>
      <c r="T8" s="521"/>
    </row>
    <row r="9" spans="1:20" ht="13.5" thickBot="1">
      <c r="A9" s="146"/>
      <c r="B9" s="513"/>
      <c r="C9" s="514"/>
      <c r="D9" s="514"/>
      <c r="E9" s="514"/>
      <c r="F9" s="515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476" t="str">
        <f>+VLOOKUP($A10,[1]Master!$D$27:$G$225,4,FALSE)</f>
        <v>Prihodi budžeta</v>
      </c>
      <c r="C10" s="477"/>
      <c r="D10" s="477"/>
      <c r="E10" s="477"/>
      <c r="F10" s="477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478" t="str">
        <f>+VLOOKUP($A11,[1]Master!$D$27:$G$225,4,FALSE)</f>
        <v>Porezi</v>
      </c>
      <c r="C11" s="479"/>
      <c r="D11" s="479"/>
      <c r="E11" s="479"/>
      <c r="F11" s="479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480" t="str">
        <f>+VLOOKUP($A12,[1]Master!$D$27:$G$225,4,FALSE)</f>
        <v>Porez na dohodak fizičkih lica</v>
      </c>
      <c r="C12" s="481"/>
      <c r="D12" s="481"/>
      <c r="E12" s="481"/>
      <c r="F12" s="481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480" t="str">
        <f>+VLOOKUP($A13,[1]Master!$D$27:$G$225,4,FALSE)</f>
        <v>Porez na dobit pravnih lica</v>
      </c>
      <c r="C13" s="481"/>
      <c r="D13" s="481"/>
      <c r="E13" s="481"/>
      <c r="F13" s="481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480" t="str">
        <f>+VLOOKUP($A14,[1]Master!$D$27:$G$225,4,FALSE)</f>
        <v>Porez na promet nepokretnosti</v>
      </c>
      <c r="C14" s="481"/>
      <c r="D14" s="481"/>
      <c r="E14" s="481"/>
      <c r="F14" s="481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480" t="str">
        <f>+VLOOKUP($A15,[1]Master!$D$27:$G$225,4,FALSE)</f>
        <v>Porez na dodatu vrijednost</v>
      </c>
      <c r="C15" s="481"/>
      <c r="D15" s="481"/>
      <c r="E15" s="481"/>
      <c r="F15" s="481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480" t="str">
        <f>+VLOOKUP($A16,[1]Master!$D$27:$G$225,4,FALSE)</f>
        <v>Akcize</v>
      </c>
      <c r="C16" s="481"/>
      <c r="D16" s="481"/>
      <c r="E16" s="481"/>
      <c r="F16" s="481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480" t="str">
        <f>+VLOOKUP($A17,[1]Master!$D$27:$G$225,4,FALSE)</f>
        <v>Porez na međunarodnu trgovinu i transakcije</v>
      </c>
      <c r="C17" s="481"/>
      <c r="D17" s="481"/>
      <c r="E17" s="481"/>
      <c r="F17" s="481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480" t="str">
        <f>+VLOOKUP($A18,[1]Master!$D$27:$G$225,4,FALSE)</f>
        <v>Ostali državni porezi</v>
      </c>
      <c r="C18" s="481"/>
      <c r="D18" s="481"/>
      <c r="E18" s="481"/>
      <c r="F18" s="481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484" t="str">
        <f>+VLOOKUP($A19,[1]Master!$D$27:$G$225,4,FALSE)</f>
        <v>Doprinosi</v>
      </c>
      <c r="C19" s="485"/>
      <c r="D19" s="485"/>
      <c r="E19" s="485"/>
      <c r="F19" s="485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480" t="str">
        <f>+VLOOKUP($A20,[1]Master!$D$27:$G$225,4,FALSE)</f>
        <v>Doprinosi za penzijsko i invalidsko osiguranje</v>
      </c>
      <c r="C20" s="481"/>
      <c r="D20" s="481"/>
      <c r="E20" s="481"/>
      <c r="F20" s="481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480" t="str">
        <f>+VLOOKUP($A21,[1]Master!$D$27:$G$225,4,FALSE)</f>
        <v>Doprinosi za zdravstveno osiguranje</v>
      </c>
      <c r="C21" s="481"/>
      <c r="D21" s="481"/>
      <c r="E21" s="481"/>
      <c r="F21" s="481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480" t="str">
        <f>+VLOOKUP($A22,[1]Master!$D$27:$G$225,4,FALSE)</f>
        <v>Doprinosi za osiguranje od nezaposlenosti</v>
      </c>
      <c r="C22" s="481"/>
      <c r="D22" s="481"/>
      <c r="E22" s="481"/>
      <c r="F22" s="481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480" t="str">
        <f>+VLOOKUP($A23,[1]Master!$D$27:$G$225,4,FALSE)</f>
        <v>Ostali doprinosi</v>
      </c>
      <c r="C23" s="481"/>
      <c r="D23" s="481"/>
      <c r="E23" s="481"/>
      <c r="F23" s="481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482" t="str">
        <f>+VLOOKUP($A24,[1]Master!$D$27:$G$225,4,FALSE)</f>
        <v>Takse</v>
      </c>
      <c r="C24" s="483"/>
      <c r="D24" s="483"/>
      <c r="E24" s="483"/>
      <c r="F24" s="483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482" t="str">
        <f>+VLOOKUP($A25,[1]Master!$D$27:$G$225,4,FALSE)</f>
        <v>Naknade</v>
      </c>
      <c r="C25" s="483"/>
      <c r="D25" s="483"/>
      <c r="E25" s="483"/>
      <c r="F25" s="483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482" t="str">
        <f>+VLOOKUP($A26,[1]Master!$D$27:$G$225,4,FALSE)</f>
        <v>Ostali prihodi</v>
      </c>
      <c r="C26" s="483"/>
      <c r="D26" s="483"/>
      <c r="E26" s="483"/>
      <c r="F26" s="483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482" t="str">
        <f>+VLOOKUP($A27,[1]Master!$D$27:$G$225,4,FALSE)</f>
        <v>Primici od otplate kredita i sredstva prenesena iz prethodne godine</v>
      </c>
      <c r="C27" s="483"/>
      <c r="D27" s="483"/>
      <c r="E27" s="483"/>
      <c r="F27" s="483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486" t="str">
        <f>+VLOOKUP($A28,[1]Master!$D$27:$G$225,4,FALSE)</f>
        <v>Donacije i transferi</v>
      </c>
      <c r="C28" s="487"/>
      <c r="D28" s="487"/>
      <c r="E28" s="487"/>
      <c r="F28" s="487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488" t="str">
        <f>+VLOOKUP($A29,[1]Master!$D$27:$G$225,4,FALSE)</f>
        <v>Budžetski izdaci</v>
      </c>
      <c r="C29" s="489"/>
      <c r="D29" s="489"/>
      <c r="E29" s="489"/>
      <c r="F29" s="489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490" t="str">
        <f>+VLOOKUP($A30,[1]Master!$D$27:$G$225,4,FALSE)</f>
        <v>Tekuća budžetska potrošnja</v>
      </c>
      <c r="C30" s="491"/>
      <c r="D30" s="491"/>
      <c r="E30" s="491"/>
      <c r="F30" s="491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492" t="str">
        <f>+VLOOKUP($A31,[1]Master!$D$27:$G$225,4,FALSE)</f>
        <v>Tekući izdaci</v>
      </c>
      <c r="C31" s="493"/>
      <c r="D31" s="493"/>
      <c r="E31" s="493"/>
      <c r="F31" s="493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480" t="str">
        <f>+VLOOKUP($A32,[1]Master!$D$27:$G$225,4,FALSE)</f>
        <v>Bruto zarade i doprinosi na teret poslodavca</v>
      </c>
      <c r="C32" s="481"/>
      <c r="D32" s="481"/>
      <c r="E32" s="481"/>
      <c r="F32" s="481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480" t="str">
        <f>+VLOOKUP($A33,[1]Master!$D$27:$G$225,4,FALSE)</f>
        <v>Ostala lična primanja</v>
      </c>
      <c r="C33" s="481"/>
      <c r="D33" s="481"/>
      <c r="E33" s="481"/>
      <c r="F33" s="481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480" t="str">
        <f>+VLOOKUP($A34,[1]Master!$D$27:$G$225,4,FALSE)</f>
        <v>Rashodi za materijal</v>
      </c>
      <c r="C34" s="481"/>
      <c r="D34" s="481"/>
      <c r="E34" s="481"/>
      <c r="F34" s="481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480" t="str">
        <f>+VLOOKUP($A35,[1]Master!$D$27:$G$225,4,FALSE)</f>
        <v>Rashodi za usluge</v>
      </c>
      <c r="C35" s="481"/>
      <c r="D35" s="481"/>
      <c r="E35" s="481"/>
      <c r="F35" s="481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480" t="str">
        <f>+VLOOKUP($A36,[1]Master!$D$27:$G$225,4,FALSE)</f>
        <v>Rashodi za tekuće održavanje</v>
      </c>
      <c r="C36" s="481"/>
      <c r="D36" s="481"/>
      <c r="E36" s="481"/>
      <c r="F36" s="481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480" t="str">
        <f>+VLOOKUP($A37,[1]Master!$D$27:$G$225,4,FALSE)</f>
        <v>Kamate</v>
      </c>
      <c r="C37" s="481"/>
      <c r="D37" s="481"/>
      <c r="E37" s="481"/>
      <c r="F37" s="481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480" t="str">
        <f>+VLOOKUP($A38,[1]Master!$D$27:$G$225,4,FALSE)</f>
        <v>Renta</v>
      </c>
      <c r="C38" s="481"/>
      <c r="D38" s="481"/>
      <c r="E38" s="481"/>
      <c r="F38" s="481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480" t="str">
        <f>+VLOOKUP($A39,[1]Master!$D$27:$G$225,4,FALSE)</f>
        <v>Subvencije</v>
      </c>
      <c r="C39" s="481"/>
      <c r="D39" s="481"/>
      <c r="E39" s="481"/>
      <c r="F39" s="481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480" t="str">
        <f>+VLOOKUP($A40,[1]Master!$D$27:$G$225,4,FALSE)</f>
        <v>Ostali izdaci</v>
      </c>
      <c r="C40" s="481"/>
      <c r="D40" s="481"/>
      <c r="E40" s="481"/>
      <c r="F40" s="481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480" t="str">
        <f>+VLOOKUP($A41,[1]Master!$D$27:$G$225,4,FALSE)</f>
        <v>Kapitalni izdaci u tekućem budžetu</v>
      </c>
      <c r="C41" s="481"/>
      <c r="D41" s="481"/>
      <c r="E41" s="481"/>
      <c r="F41" s="481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496" t="str">
        <f>+VLOOKUP($A42,[1]Master!$D$27:$G$225,4,FALSE)</f>
        <v>Transferi za socijalnu zaštitu</v>
      </c>
      <c r="C42" s="497"/>
      <c r="D42" s="497"/>
      <c r="E42" s="497"/>
      <c r="F42" s="497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480" t="str">
        <f>+VLOOKUP($A43,[1]Master!$D$27:$G$225,4,FALSE)</f>
        <v>Prava iz oblasti socijalne zaštite</v>
      </c>
      <c r="C43" s="481"/>
      <c r="D43" s="481"/>
      <c r="E43" s="481"/>
      <c r="F43" s="481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480" t="str">
        <f>+VLOOKUP($A44,[1]Master!$D$27:$G$225,4,FALSE)</f>
        <v>Sredstva za tehnološke viškove</v>
      </c>
      <c r="C44" s="481"/>
      <c r="D44" s="481"/>
      <c r="E44" s="481"/>
      <c r="F44" s="481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480" t="str">
        <f>+VLOOKUP($A45,[1]Master!$D$27:$G$225,4,FALSE)</f>
        <v>Prava iz oblasti penzijskog i invalidskog osiguranja</v>
      </c>
      <c r="C45" s="481"/>
      <c r="D45" s="481"/>
      <c r="E45" s="481"/>
      <c r="F45" s="481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480" t="str">
        <f>+VLOOKUP($A46,[1]Master!$D$27:$G$225,4,FALSE)</f>
        <v>Ostala prava iz oblasti zdravstvene zaštite</v>
      </c>
      <c r="C46" s="481"/>
      <c r="D46" s="481"/>
      <c r="E46" s="481"/>
      <c r="F46" s="481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88" t="str">
        <f>+VLOOKUP($A47,[1]Master!$D$27:$G$225,4,FALSE)</f>
        <v>Ostala prava iz zdravstvenog osiguranja</v>
      </c>
      <c r="C47" s="589"/>
      <c r="D47" s="589"/>
      <c r="E47" s="589"/>
      <c r="F47" s="589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494" t="str">
        <f>+VLOOKUP($A48,[1]Master!$D$27:$G$225,4,FALSE)</f>
        <v xml:space="preserve">Transferi institucijama, pojedincima, nevladinom i javnom sektoru </v>
      </c>
      <c r="C48" s="495"/>
      <c r="D48" s="495"/>
      <c r="E48" s="495"/>
      <c r="F48" s="495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494" t="str">
        <f>+VLOOKUP($A49,[1]Master!$D$27:$G$225,4,FALSE)</f>
        <v>Kapitalni budžet</v>
      </c>
      <c r="C49" s="495"/>
      <c r="D49" s="495"/>
      <c r="E49" s="495"/>
      <c r="F49" s="495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31" t="str">
        <f>+VLOOKUP($A50,[1]Master!$D$27:$G$225,4,FALSE)</f>
        <v>Pozajmice i krediti</v>
      </c>
      <c r="C50" s="532"/>
      <c r="D50" s="532"/>
      <c r="E50" s="532"/>
      <c r="F50" s="532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98" t="str">
        <f>+VLOOKUP($A51,[1]Master!$D$27:$G$225,4,FALSE)</f>
        <v>Rezerve</v>
      </c>
      <c r="C51" s="499"/>
      <c r="D51" s="499"/>
      <c r="E51" s="499"/>
      <c r="F51" s="499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500" t="str">
        <f>+VLOOKUP($A52,[1]Master!$D$27:$G$225,4,FALSE)</f>
        <v>Otplata garancija</v>
      </c>
      <c r="C52" s="501"/>
      <c r="D52" s="501"/>
      <c r="E52" s="501"/>
      <c r="F52" s="501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35" t="str">
        <f>+VLOOKUP($A53,[1]Master!$D$27:$G$225,4,TRUE)</f>
        <v>Otplata obaveza iz prethodnih godina</v>
      </c>
      <c r="C53" s="536"/>
      <c r="D53" s="536"/>
      <c r="E53" s="536"/>
      <c r="F53" s="536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37" t="str">
        <f>+VLOOKUP($A54,[1]Master!$D$27:$G$227,4,FALSE)</f>
        <v>Neto povećanje obaveza</v>
      </c>
      <c r="C54" s="538"/>
      <c r="D54" s="538"/>
      <c r="E54" s="538"/>
      <c r="F54" s="538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2" t="str">
        <f>+VLOOKUP($A55,[1]Master!$D$27:$G$225,4,FALSE)</f>
        <v>Suficit / deficit</v>
      </c>
      <c r="C55" s="503"/>
      <c r="D55" s="503"/>
      <c r="E55" s="503"/>
      <c r="F55" s="503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780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4" t="str">
        <f>+VLOOKUP($A57,[1]Master!$D$27:$G$225,4,FALSE)</f>
        <v>Primarni bilans</v>
      </c>
      <c r="C57" s="505"/>
      <c r="D57" s="505"/>
      <c r="E57" s="505"/>
      <c r="F57" s="505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49" t="str">
        <f>+VLOOKUP($A58,[1]Master!$D$27:$G$225,4,FALSE)</f>
        <v>Otplata dugova</v>
      </c>
      <c r="C58" s="550"/>
      <c r="D58" s="550"/>
      <c r="E58" s="550"/>
      <c r="F58" s="550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522" t="str">
        <f>+VLOOKUP($A59,[1]Master!$D$27:$G$225,4,FALSE)</f>
        <v>Otplata hartija od vrijednosti i kredita rezidentima</v>
      </c>
      <c r="C59" s="523"/>
      <c r="D59" s="523"/>
      <c r="E59" s="523"/>
      <c r="F59" s="523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98" t="str">
        <f>+VLOOKUP($A60,[1]Master!$D$27:$G$225,4,FALSE)</f>
        <v>Otplata hartija od vrijednosti i kredita nerezidentima</v>
      </c>
      <c r="C60" s="499"/>
      <c r="D60" s="499"/>
      <c r="E60" s="499"/>
      <c r="F60" s="499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49" t="str">
        <f>+VLOOKUP($A61,[1]Master!$D$27:$G$225,4,FALSE)</f>
        <v>Izdaci za kupovinu hartija od vrijednosti</v>
      </c>
      <c r="C61" s="550"/>
      <c r="D61" s="550"/>
      <c r="E61" s="550"/>
      <c r="F61" s="550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524" t="str">
        <f>+VLOOKUP($A62,[1]Master!$D$27:$G$225,4,FALSE)</f>
        <v>Nedostajuća sredstva</v>
      </c>
      <c r="C62" s="525"/>
      <c r="D62" s="525"/>
      <c r="E62" s="525"/>
      <c r="F62" s="525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488" t="str">
        <f>+VLOOKUP($A63,[1]Master!$D$27:$G$225,4,FALSE)</f>
        <v>Finansiranje</v>
      </c>
      <c r="C63" s="489"/>
      <c r="D63" s="489"/>
      <c r="E63" s="489"/>
      <c r="F63" s="489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522" t="str">
        <f>+VLOOKUP($A64,[1]Master!$D$27:$G$225,4,FALSE)</f>
        <v>Pozajmice i krediti od domaćih izvora</v>
      </c>
      <c r="C64" s="523"/>
      <c r="D64" s="523"/>
      <c r="E64" s="523"/>
      <c r="F64" s="523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98" t="str">
        <f>+VLOOKUP($A65,[1]Master!$D$27:$G$225,4,FALSE)</f>
        <v>Pozajmice i krediti od inostranih izvora</v>
      </c>
      <c r="C65" s="499"/>
      <c r="D65" s="499"/>
      <c r="E65" s="499"/>
      <c r="F65" s="499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98" t="str">
        <f>+VLOOKUP($A66,[1]Master!$D$27:$G$225,4,FALSE)</f>
        <v>Primici od prodaje imovine</v>
      </c>
      <c r="C66" s="499"/>
      <c r="D66" s="499"/>
      <c r="E66" s="499"/>
      <c r="F66" s="499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tr">
        <f>+VLOOKUP($A67,[1]Master!$D$27:$G$225,4,FALSE)</f>
        <v>Povećanje / smanjenje depozita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41" t="str">
        <f>+[1]Master!G252</f>
        <v>Plan ostvarenja budžeta</v>
      </c>
      <c r="C103" s="542"/>
      <c r="D103" s="542"/>
      <c r="E103" s="542"/>
      <c r="F103" s="542"/>
      <c r="G103" s="555">
        <v>2018</v>
      </c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7"/>
      <c r="S103" s="107" t="str">
        <f>+S7</f>
        <v>BDP</v>
      </c>
      <c r="T103" s="108">
        <f>+T7</f>
        <v>4663130000</v>
      </c>
    </row>
    <row r="104" spans="1:21" ht="15.75" customHeight="1">
      <c r="B104" s="543"/>
      <c r="C104" s="544"/>
      <c r="D104" s="544"/>
      <c r="E104" s="544"/>
      <c r="F104" s="545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5" t="str">
        <f>+[1]Master!G246</f>
        <v>Jan - Dec</v>
      </c>
      <c r="T104" s="557">
        <f>+T8</f>
        <v>0</v>
      </c>
    </row>
    <row r="105" spans="1:21" ht="13.5" thickBot="1">
      <c r="B105" s="546"/>
      <c r="C105" s="547"/>
      <c r="D105" s="547"/>
      <c r="E105" s="547"/>
      <c r="F105" s="548"/>
      <c r="G105" s="67" t="s">
        <v>419</v>
      </c>
      <c r="H105" s="67" t="s">
        <v>419</v>
      </c>
      <c r="I105" s="67" t="s">
        <v>419</v>
      </c>
      <c r="J105" s="67" t="s">
        <v>419</v>
      </c>
      <c r="K105" s="67" t="s">
        <v>419</v>
      </c>
      <c r="L105" s="67" t="s">
        <v>419</v>
      </c>
      <c r="M105" s="67" t="s">
        <v>419</v>
      </c>
      <c r="N105" s="67" t="s">
        <v>419</v>
      </c>
      <c r="O105" s="67" t="s">
        <v>419</v>
      </c>
      <c r="P105" s="67" t="s">
        <v>419</v>
      </c>
      <c r="Q105" s="67" t="s">
        <v>419</v>
      </c>
      <c r="R105" s="67" t="s">
        <v>419</v>
      </c>
      <c r="S105" s="65" t="s">
        <v>419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8" t="str">
        <f>+VLOOKUP(LEFT($A106,LEN(A106)-1)*1,[1]Master!$D$27:$G$225,4,FALSE)</f>
        <v>Prihodi budžeta</v>
      </c>
      <c r="C106" s="559"/>
      <c r="D106" s="559"/>
      <c r="E106" s="559"/>
      <c r="F106" s="559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0" t="str">
        <f>+VLOOKUP(LEFT($A107,LEN(A107)-1)*1,[1]Master!$D$27:$G$225,4,FALSE)</f>
        <v>Porezi</v>
      </c>
      <c r="C107" s="561"/>
      <c r="D107" s="561"/>
      <c r="E107" s="561"/>
      <c r="F107" s="561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51" t="str">
        <f>+VLOOKUP(LEFT($A108,LEN(A108)-1)*1,[1]Master!$D$27:$G$225,4,FALSE)</f>
        <v>Porez na dohodak fizičkih lica</v>
      </c>
      <c r="C108" s="552"/>
      <c r="D108" s="552"/>
      <c r="E108" s="552"/>
      <c r="F108" s="552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51" t="str">
        <f>+VLOOKUP(LEFT($A109,LEN(A109)-1)*1,[1]Master!$D$27:$G$225,4,FALSE)</f>
        <v>Porez na dobit pravnih lica</v>
      </c>
      <c r="C109" s="552"/>
      <c r="D109" s="552"/>
      <c r="E109" s="552"/>
      <c r="F109" s="552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51" t="str">
        <f>+VLOOKUP(LEFT($A110,LEN(A110)-1)*1,[1]Master!$D$27:$G$225,4,FALSE)</f>
        <v>Porez na promet nepokretnosti</v>
      </c>
      <c r="C110" s="552"/>
      <c r="D110" s="552"/>
      <c r="E110" s="552"/>
      <c r="F110" s="552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51" t="str">
        <f>+VLOOKUP(LEFT($A111,LEN(A111)-1)*1,[1]Master!$D$27:$G$225,4,FALSE)</f>
        <v>Porez na dodatu vrijednost</v>
      </c>
      <c r="C111" s="552"/>
      <c r="D111" s="552"/>
      <c r="E111" s="552"/>
      <c r="F111" s="552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51" t="str">
        <f>+VLOOKUP(LEFT($A112,LEN(A112)-1)*1,[1]Master!$D$27:$G$225,4,FALSE)</f>
        <v>Akcize</v>
      </c>
      <c r="C112" s="552"/>
      <c r="D112" s="552"/>
      <c r="E112" s="552"/>
      <c r="F112" s="552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51" t="str">
        <f>+VLOOKUP(LEFT($A113,LEN(A113)-1)*1,[1]Master!$D$27:$G$225,4,FALSE)</f>
        <v>Porez na međunarodnu trgovinu i transakcije</v>
      </c>
      <c r="C113" s="552"/>
      <c r="D113" s="552"/>
      <c r="E113" s="552"/>
      <c r="F113" s="552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51" t="str">
        <f>+VLOOKUP(LEFT($A114,LEN(A114)-1)*1,[1]Master!$D$27:$G$225,4,FALSE)</f>
        <v>Ostali državni porezi</v>
      </c>
      <c r="C114" s="552"/>
      <c r="D114" s="552"/>
      <c r="E114" s="552"/>
      <c r="F114" s="552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3" t="str">
        <f>+VLOOKUP(LEFT($A115,LEN(A115)-1)*1,[1]Master!$D$27:$G$225,4,FALSE)</f>
        <v>Doprinosi</v>
      </c>
      <c r="C115" s="554"/>
      <c r="D115" s="554"/>
      <c r="E115" s="554"/>
      <c r="F115" s="554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51" t="str">
        <f>+VLOOKUP(LEFT($A116,LEN(A116)-1)*1,[1]Master!$D$27:$G$225,4,FALSE)</f>
        <v>Doprinosi za penzijsko i invalidsko osiguranje</v>
      </c>
      <c r="C116" s="552"/>
      <c r="D116" s="552"/>
      <c r="E116" s="552"/>
      <c r="F116" s="552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51" t="str">
        <f>+VLOOKUP(LEFT($A117,LEN(A117)-1)*1,[1]Master!$D$27:$G$225,4,FALSE)</f>
        <v>Doprinosi za zdravstveno osiguranje</v>
      </c>
      <c r="C117" s="552"/>
      <c r="D117" s="552"/>
      <c r="E117" s="552"/>
      <c r="F117" s="552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51" t="str">
        <f>+VLOOKUP(LEFT($A118,LEN(A118)-1)*1,[1]Master!$D$27:$G$225,4,FALSE)</f>
        <v>Doprinosi za osiguranje od nezaposlenosti</v>
      </c>
      <c r="C118" s="552"/>
      <c r="D118" s="552"/>
      <c r="E118" s="552"/>
      <c r="F118" s="552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51" t="str">
        <f>+VLOOKUP(LEFT($A119,LEN(A119)-1)*1,[1]Master!$D$27:$G$225,4,FALSE)</f>
        <v>Ostali doprinosi</v>
      </c>
      <c r="C119" s="552"/>
      <c r="D119" s="552"/>
      <c r="E119" s="552"/>
      <c r="F119" s="552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62" t="str">
        <f>+VLOOKUP(LEFT($A120,LEN(A120)-1)*1,[1]Master!$D$27:$G$225,4,FALSE)</f>
        <v>Takse</v>
      </c>
      <c r="C120" s="563"/>
      <c r="D120" s="563"/>
      <c r="E120" s="563"/>
      <c r="F120" s="563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62" t="str">
        <f>+VLOOKUP(LEFT($A121,LEN(A121)-1)*1,[1]Master!$D$27:$G$225,4,FALSE)</f>
        <v>Naknade</v>
      </c>
      <c r="C121" s="563"/>
      <c r="D121" s="563"/>
      <c r="E121" s="563"/>
      <c r="F121" s="563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62" t="str">
        <f>+VLOOKUP(LEFT($A122,LEN(A122)-1)*1,[1]Master!$D$27:$G$225,4,FALSE)</f>
        <v>Ostali prihodi</v>
      </c>
      <c r="C122" s="563"/>
      <c r="D122" s="563"/>
      <c r="E122" s="563"/>
      <c r="F122" s="563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62" t="str">
        <f>+VLOOKUP(LEFT($A123,LEN(A123)-1)*1,[1]Master!$D$27:$G$225,4,FALSE)</f>
        <v>Primici od otplate kredita i sredstva prenesena iz prethodne godine</v>
      </c>
      <c r="C123" s="563"/>
      <c r="D123" s="563"/>
      <c r="E123" s="563"/>
      <c r="F123" s="563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64" t="str">
        <f>+VLOOKUP(LEFT($A124,LEN(A124)-1)*1,[1]Master!$D$27:$G$225,4,FALSE)</f>
        <v>Donacije i transferi</v>
      </c>
      <c r="C124" s="565"/>
      <c r="D124" s="565"/>
      <c r="E124" s="565"/>
      <c r="F124" s="565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66" t="str">
        <f>+VLOOKUP(LEFT($A125,LEN(A125)-1)*1,[1]Master!$D$27:$G$225,4,FALSE)</f>
        <v>Budžetski izdaci</v>
      </c>
      <c r="C125" s="567"/>
      <c r="D125" s="567"/>
      <c r="E125" s="567"/>
      <c r="F125" s="567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4" t="str">
        <f>+VLOOKUP(LEFT($A126,LEN(A126)-1)*1,[1]Master!$D$27:$G$225,4,FALSE)</f>
        <v>Tekuća budžetska potrošnja</v>
      </c>
      <c r="C126" s="585"/>
      <c r="D126" s="585"/>
      <c r="E126" s="585"/>
      <c r="F126" s="585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68" t="str">
        <f>+VLOOKUP(LEFT($A127,LEN(A127)-1)*1,[1]Master!$D$27:$G$225,4,FALSE)</f>
        <v>Tekući izdaci</v>
      </c>
      <c r="C127" s="569"/>
      <c r="D127" s="569"/>
      <c r="E127" s="569"/>
      <c r="F127" s="569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51" t="str">
        <f>+VLOOKUP(LEFT($A128,LEN(A128)-1)*1,[1]Master!$D$27:$G$225,4,FALSE)</f>
        <v>Bruto zarade i doprinosi na teret poslodavca</v>
      </c>
      <c r="C128" s="552"/>
      <c r="D128" s="552"/>
      <c r="E128" s="552"/>
      <c r="F128" s="552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51" t="str">
        <f>+VLOOKUP(LEFT($A129,LEN(A129)-1)*1,[1]Master!$D$27:$G$225,4,FALSE)</f>
        <v>Ostala lična primanja</v>
      </c>
      <c r="C129" s="552"/>
      <c r="D129" s="552"/>
      <c r="E129" s="552"/>
      <c r="F129" s="552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51" t="str">
        <f>+VLOOKUP(LEFT($A130,LEN(A130)-1)*1,[1]Master!$D$27:$G$225,4,FALSE)</f>
        <v>Rashodi za materijal</v>
      </c>
      <c r="C130" s="552"/>
      <c r="D130" s="552"/>
      <c r="E130" s="552"/>
      <c r="F130" s="552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51" t="str">
        <f>+VLOOKUP(LEFT($A131,LEN(A131)-1)*1,[1]Master!$D$27:$G$225,4,FALSE)</f>
        <v>Rashodi za usluge</v>
      </c>
      <c r="C131" s="552"/>
      <c r="D131" s="552"/>
      <c r="E131" s="552"/>
      <c r="F131" s="552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51" t="str">
        <f>+VLOOKUP(LEFT($A132,LEN(A132)-1)*1,[1]Master!$D$27:$G$225,4,FALSE)</f>
        <v>Rashodi za tekuće održavanje</v>
      </c>
      <c r="C132" s="552"/>
      <c r="D132" s="552"/>
      <c r="E132" s="552"/>
      <c r="F132" s="552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51" t="str">
        <f>+VLOOKUP(LEFT($A133,LEN(A133)-1)*1,[1]Master!$D$27:$G$225,4,FALSE)</f>
        <v>Kamate</v>
      </c>
      <c r="C133" s="552"/>
      <c r="D133" s="552"/>
      <c r="E133" s="552"/>
      <c r="F133" s="552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51" t="str">
        <f>+VLOOKUP(LEFT($A134,LEN(A134)-1)*1,[1]Master!$D$27:$G$225,4,FALSE)</f>
        <v>Renta</v>
      </c>
      <c r="C134" s="552"/>
      <c r="D134" s="552"/>
      <c r="E134" s="552"/>
      <c r="F134" s="552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51" t="str">
        <f>+VLOOKUP(LEFT($A135,LEN(A135)-1)*1,[1]Master!$D$27:$G$225,4,FALSE)</f>
        <v>Subvencije</v>
      </c>
      <c r="C135" s="552"/>
      <c r="D135" s="552"/>
      <c r="E135" s="552"/>
      <c r="F135" s="552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51" t="str">
        <f>+VLOOKUP(LEFT($A136,LEN(A136)-1)*1,[1]Master!$D$27:$G$225,4,FALSE)</f>
        <v>Ostali izdaci</v>
      </c>
      <c r="C136" s="552"/>
      <c r="D136" s="552"/>
      <c r="E136" s="552"/>
      <c r="F136" s="552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51" t="str">
        <f>+VLOOKUP(LEFT($A137,LEN(A137)-1)*1,[1]Master!$D$27:$G$225,4,FALSE)</f>
        <v>Kapitalni izdaci u tekućem budžetu</v>
      </c>
      <c r="C137" s="552"/>
      <c r="D137" s="552"/>
      <c r="E137" s="552"/>
      <c r="F137" s="552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70" t="str">
        <f>+VLOOKUP(LEFT($A138,LEN(A138)-1)*1,[1]Master!$D$27:$G$225,4,FALSE)</f>
        <v>Transferi za socijalnu zaštitu</v>
      </c>
      <c r="C138" s="571"/>
      <c r="D138" s="571"/>
      <c r="E138" s="571"/>
      <c r="F138" s="571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51" t="str">
        <f>+VLOOKUP(LEFT($A139,LEN(A139)-1)*1,[1]Master!$D$27:$G$225,4,FALSE)</f>
        <v>Prava iz oblasti socijalne zaštite</v>
      </c>
      <c r="C139" s="552"/>
      <c r="D139" s="552"/>
      <c r="E139" s="552"/>
      <c r="F139" s="552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51" t="str">
        <f>+VLOOKUP(LEFT($A140,LEN(A140)-1)*1,[1]Master!$D$27:$G$225,4,FALSE)</f>
        <v>Sredstva za tehnološke viškove</v>
      </c>
      <c r="C140" s="552"/>
      <c r="D140" s="552"/>
      <c r="E140" s="552"/>
      <c r="F140" s="552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51" t="str">
        <f>+VLOOKUP(LEFT($A141,LEN(A141)-1)*1,[1]Master!$D$27:$G$225,4,FALSE)</f>
        <v>Prava iz oblasti penzijskog i invalidskog osiguranja</v>
      </c>
      <c r="C141" s="552"/>
      <c r="D141" s="552"/>
      <c r="E141" s="552"/>
      <c r="F141" s="552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51" t="str">
        <f>+VLOOKUP(LEFT($A142,LEN(A142)-1)*1,[1]Master!$D$27:$G$225,4,FALSE)</f>
        <v>Ostala prava iz oblasti zdravstvene zaštite</v>
      </c>
      <c r="C142" s="552"/>
      <c r="D142" s="552"/>
      <c r="E142" s="552"/>
      <c r="F142" s="552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51" t="str">
        <f>+VLOOKUP(LEFT($A143,LEN(A143)-1)*1,[1]Master!$D$27:$G$225,4,FALSE)</f>
        <v>Ostala prava iz zdravstvenog osiguranja</v>
      </c>
      <c r="C143" s="552"/>
      <c r="D143" s="552"/>
      <c r="E143" s="552"/>
      <c r="F143" s="552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76" t="str">
        <f>+VLOOKUP(LEFT($A144,LEN(A144)-1)*1,[1]Master!$D$27:$G$225,4,FALSE)</f>
        <v xml:space="preserve">Transferi institucijama, pojedincima, nevladinom i javnom sektoru </v>
      </c>
      <c r="C144" s="577"/>
      <c r="D144" s="577"/>
      <c r="E144" s="577"/>
      <c r="F144" s="577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76" t="str">
        <f>+VLOOKUP(LEFT($A145,LEN(A145)-1)*1,[1]Master!$D$27:$G$225,4,FALSE)</f>
        <v>Kapitalni budžet</v>
      </c>
      <c r="C145" s="577"/>
      <c r="D145" s="577"/>
      <c r="E145" s="577"/>
      <c r="F145" s="577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72" t="str">
        <f>+VLOOKUP(LEFT($A146,LEN(A146)-1)*1,[1]Master!$D$27:$G$225,4,FALSE)</f>
        <v>Pozajmice i krediti</v>
      </c>
      <c r="C146" s="573"/>
      <c r="D146" s="573"/>
      <c r="E146" s="573"/>
      <c r="F146" s="573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72" t="str">
        <f>+VLOOKUP(LEFT($A147,LEN(A147)-1)*1,[1]Master!$D$27:$G$225,4,FALSE)</f>
        <v>Rezerve</v>
      </c>
      <c r="C147" s="573"/>
      <c r="D147" s="573"/>
      <c r="E147" s="573"/>
      <c r="F147" s="573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72" t="str">
        <f>+VLOOKUP(LEFT($A148,LEN(A148)-1)*1,[1]Master!$D$27:$G$225,4,FALSE)</f>
        <v>Otplata garancija</v>
      </c>
      <c r="C148" s="573"/>
      <c r="D148" s="573"/>
      <c r="E148" s="573"/>
      <c r="F148" s="573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688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74" t="str">
        <f>+VLOOKUP(LEFT($A150,LEN(A150)-1)*1,[1]Master!$D$27:$G$225,4,FALSE)</f>
        <v>Suficit / deficit</v>
      </c>
      <c r="C150" s="575"/>
      <c r="D150" s="575"/>
      <c r="E150" s="575"/>
      <c r="F150" s="575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80" t="str">
        <f>+VLOOKUP(LEFT($A151,LEN(A151)-1)*1,[1]Master!$D$27:$G$225,4,FALSE)</f>
        <v>Primarni bilans</v>
      </c>
      <c r="C151" s="581"/>
      <c r="D151" s="581"/>
      <c r="E151" s="581"/>
      <c r="F151" s="581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70" t="str">
        <f>+VLOOKUP(LEFT($A152,LEN(A152)-1)*1,[1]Master!$D$27:$G$225,4,FALSE)</f>
        <v>Otplata dugova</v>
      </c>
      <c r="C152" s="571"/>
      <c r="D152" s="571"/>
      <c r="E152" s="571"/>
      <c r="F152" s="571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78" t="str">
        <f>+VLOOKUP(LEFT($A153,LEN(A153)-1)*1,[1]Master!$D$27:$G$225,4,FALSE)</f>
        <v>Otplata hartija od vrijednosti i kredita rezidentima</v>
      </c>
      <c r="C153" s="579"/>
      <c r="D153" s="579"/>
      <c r="E153" s="579"/>
      <c r="F153" s="579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72" t="str">
        <f>+VLOOKUP(LEFT($A154,LEN(A154)-1)*1,[1]Master!$D$27:$G$225,4,FALSE)</f>
        <v>Otplata hartija od vrijednosti i kredita nerezidentima</v>
      </c>
      <c r="C154" s="573"/>
      <c r="D154" s="573"/>
      <c r="E154" s="573"/>
      <c r="F154" s="573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72" t="str">
        <f>+VLOOKUP(LEFT($A155,LEN(A155)-1)*1,[1]Master!$D$27:$G$225,4,FALSE)</f>
        <v>Otplata obaveza iz prethodnih godina</v>
      </c>
      <c r="C155" s="573"/>
      <c r="D155" s="573"/>
      <c r="E155" s="573"/>
      <c r="F155" s="573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773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82" t="str">
        <f>+VLOOKUP(LEFT($A157,LEN(A157)-1)*1,[1]Master!$D$27:$G$225,4,FALSE)</f>
        <v>Nedostajuća sredstva</v>
      </c>
      <c r="C157" s="583"/>
      <c r="D157" s="583"/>
      <c r="E157" s="583"/>
      <c r="F157" s="583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66" t="str">
        <f>+VLOOKUP(LEFT($A158,LEN(A158)-1)*1,[1]Master!$D$27:$G$225,4,FALSE)</f>
        <v>Finansiranje</v>
      </c>
      <c r="C158" s="567"/>
      <c r="D158" s="567"/>
      <c r="E158" s="567"/>
      <c r="F158" s="567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78" t="str">
        <f>+VLOOKUP(LEFT($A159,LEN(A159)-1)*1,[1]Master!$D$27:$G$225,4,FALSE)</f>
        <v>Pozajmice i krediti od domaćih izvora</v>
      </c>
      <c r="C159" s="579"/>
      <c r="D159" s="579"/>
      <c r="E159" s="579"/>
      <c r="F159" s="579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72" t="str">
        <f>+VLOOKUP(LEFT($A160,LEN(A160)-1)*1,[1]Master!$D$27:$G$225,4,FALSE)</f>
        <v>Pozajmice i krediti od inostranih izvora</v>
      </c>
      <c r="C160" s="573"/>
      <c r="D160" s="573"/>
      <c r="E160" s="573"/>
      <c r="F160" s="573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72" t="str">
        <f>+VLOOKUP(LEFT($A161,LEN(A161)-1)*1,[1]Master!$D$27:$G$225,4,FALSE)</f>
        <v>Primici od prodaje imovine</v>
      </c>
      <c r="C161" s="573"/>
      <c r="D161" s="573"/>
      <c r="E161" s="573"/>
      <c r="F161" s="573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R8" activePane="bottomRight" state="frozen"/>
      <selection pane="topRight" activeCell="F1" sqref="F1"/>
      <selection pane="bottomLeft" activeCell="A8" sqref="A8"/>
      <selection pane="bottomRight" activeCell="FR7" sqref="FR7:FR8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hidden="1" customWidth="1"/>
    <col min="163" max="163" width="11.140625" style="41" hidden="1" customWidth="1"/>
    <col min="164" max="164" width="13.85546875" style="41" hidden="1" customWidth="1"/>
    <col min="165" max="165" width="12.7109375" style="41" hidden="1" customWidth="1"/>
    <col min="166" max="166" width="13.85546875" style="41" hidden="1" customWidth="1"/>
    <col min="167" max="173" width="12.7109375" style="41" hidden="1" customWidth="1"/>
    <col min="174" max="174" width="12.85546875" style="41" bestFit="1" customWidth="1"/>
    <col min="175" max="175" width="13.85546875" style="41" bestFit="1" customWidth="1"/>
    <col min="176" max="176" width="14" style="41" bestFit="1" customWidth="1"/>
    <col min="177" max="177" width="13.85546875" style="41" bestFit="1" customWidth="1"/>
    <col min="178" max="178" width="13.42578125" style="41" customWidth="1"/>
    <col min="179" max="179" width="12.85546875" style="41" bestFit="1" customWidth="1"/>
    <col min="180" max="183" width="13.85546875" style="41" bestFit="1" customWidth="1"/>
    <col min="184" max="184" width="12.85546875" style="41" bestFit="1" customWidth="1"/>
    <col min="185" max="185" width="13.85546875" style="41" bestFit="1" customWidth="1"/>
    <col min="186" max="186" width="3.42578125" style="41" customWidth="1"/>
    <col min="187" max="187" width="15.42578125" style="369" bestFit="1" customWidth="1"/>
    <col min="188" max="188" width="11.7109375" style="41" bestFit="1" customWidth="1"/>
    <col min="189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3" t="s">
        <v>557</v>
      </c>
      <c r="F6" s="591">
        <v>2006</v>
      </c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2"/>
      <c r="R6" s="591">
        <v>2007</v>
      </c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2"/>
      <c r="AD6" s="591">
        <v>2008</v>
      </c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2"/>
      <c r="AP6" s="591">
        <v>2009</v>
      </c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2"/>
      <c r="BB6" s="591">
        <v>2010</v>
      </c>
      <c r="BC6" s="590"/>
      <c r="BD6" s="590"/>
      <c r="BE6" s="590"/>
      <c r="BF6" s="590"/>
      <c r="BG6" s="590"/>
      <c r="BH6" s="590"/>
      <c r="BI6" s="590"/>
      <c r="BJ6" s="590"/>
      <c r="BK6" s="590"/>
      <c r="BL6" s="590"/>
      <c r="BM6" s="592"/>
      <c r="BN6" s="591">
        <v>2011</v>
      </c>
      <c r="BO6" s="590"/>
      <c r="BP6" s="590"/>
      <c r="BQ6" s="590"/>
      <c r="BR6" s="590"/>
      <c r="BS6" s="590"/>
      <c r="BT6" s="590"/>
      <c r="BU6" s="590"/>
      <c r="BV6" s="590"/>
      <c r="BW6" s="590"/>
      <c r="BX6" s="590"/>
      <c r="BY6" s="592"/>
      <c r="BZ6" s="590">
        <v>2012</v>
      </c>
      <c r="CA6" s="590"/>
      <c r="CB6" s="590"/>
      <c r="CC6" s="590"/>
      <c r="CD6" s="590"/>
      <c r="CE6" s="590"/>
      <c r="CF6" s="590"/>
      <c r="CG6" s="590"/>
      <c r="CH6" s="590"/>
      <c r="CI6" s="590"/>
      <c r="CJ6" s="590"/>
      <c r="CK6" s="590"/>
      <c r="CL6" s="591">
        <v>2013</v>
      </c>
      <c r="CM6" s="590"/>
      <c r="CN6" s="590"/>
      <c r="CO6" s="590"/>
      <c r="CP6" s="590"/>
      <c r="CQ6" s="590"/>
      <c r="CR6" s="590"/>
      <c r="CS6" s="590"/>
      <c r="CT6" s="590"/>
      <c r="CU6" s="590"/>
      <c r="CV6" s="590"/>
      <c r="CW6" s="592"/>
      <c r="CX6" s="591">
        <v>2014</v>
      </c>
      <c r="CY6" s="590"/>
      <c r="CZ6" s="590"/>
      <c r="DA6" s="590"/>
      <c r="DB6" s="590"/>
      <c r="DC6" s="590"/>
      <c r="DD6" s="590"/>
      <c r="DE6" s="590"/>
      <c r="DF6" s="590"/>
      <c r="DG6" s="590"/>
      <c r="DH6" s="590"/>
      <c r="DI6" s="592"/>
      <c r="DJ6" s="591">
        <v>2015</v>
      </c>
      <c r="DK6" s="590"/>
      <c r="DL6" s="590"/>
      <c r="DM6" s="590"/>
      <c r="DN6" s="590"/>
      <c r="DO6" s="590"/>
      <c r="DP6" s="590"/>
      <c r="DQ6" s="590"/>
      <c r="DR6" s="590"/>
      <c r="DS6" s="590"/>
      <c r="DT6" s="590"/>
      <c r="DU6" s="592"/>
    </row>
    <row r="7" spans="1:321">
      <c r="E7" s="593"/>
      <c r="F7" s="73" t="s">
        <v>425</v>
      </c>
      <c r="G7" s="74" t="s">
        <v>426</v>
      </c>
      <c r="H7" s="74" t="s">
        <v>427</v>
      </c>
      <c r="I7" s="74" t="s">
        <v>428</v>
      </c>
      <c r="J7" s="74" t="s">
        <v>429</v>
      </c>
      <c r="K7" s="74" t="s">
        <v>430</v>
      </c>
      <c r="L7" s="74" t="s">
        <v>431</v>
      </c>
      <c r="M7" s="74" t="s">
        <v>432</v>
      </c>
      <c r="N7" s="74" t="s">
        <v>433</v>
      </c>
      <c r="O7" s="74" t="s">
        <v>434</v>
      </c>
      <c r="P7" s="74" t="s">
        <v>435</v>
      </c>
      <c r="Q7" s="75" t="s">
        <v>436</v>
      </c>
      <c r="R7" s="73" t="s">
        <v>437</v>
      </c>
      <c r="S7" s="74" t="s">
        <v>438</v>
      </c>
      <c r="T7" s="74" t="s">
        <v>439</v>
      </c>
      <c r="U7" s="74" t="s">
        <v>440</v>
      </c>
      <c r="V7" s="74" t="s">
        <v>441</v>
      </c>
      <c r="W7" s="74" t="s">
        <v>442</v>
      </c>
      <c r="X7" s="74" t="s">
        <v>443</v>
      </c>
      <c r="Y7" s="74" t="s">
        <v>444</v>
      </c>
      <c r="Z7" s="74" t="s">
        <v>445</v>
      </c>
      <c r="AA7" s="74" t="s">
        <v>446</v>
      </c>
      <c r="AB7" s="74" t="s">
        <v>447</v>
      </c>
      <c r="AC7" s="75" t="s">
        <v>448</v>
      </c>
      <c r="AD7" s="73" t="s">
        <v>450</v>
      </c>
      <c r="AE7" s="74" t="s">
        <v>451</v>
      </c>
      <c r="AF7" s="74" t="s">
        <v>452</v>
      </c>
      <c r="AG7" s="74" t="s">
        <v>453</v>
      </c>
      <c r="AH7" s="74" t="s">
        <v>454</v>
      </c>
      <c r="AI7" s="74" t="s">
        <v>455</v>
      </c>
      <c r="AJ7" s="74" t="s">
        <v>456</v>
      </c>
      <c r="AK7" s="74" t="s">
        <v>457</v>
      </c>
      <c r="AL7" s="74" t="s">
        <v>458</v>
      </c>
      <c r="AM7" s="74" t="s">
        <v>459</v>
      </c>
      <c r="AN7" s="74" t="s">
        <v>460</v>
      </c>
      <c r="AO7" s="75" t="s">
        <v>449</v>
      </c>
      <c r="AP7" s="73" t="s">
        <v>461</v>
      </c>
      <c r="AQ7" s="74" t="s">
        <v>462</v>
      </c>
      <c r="AR7" s="74" t="s">
        <v>463</v>
      </c>
      <c r="AS7" s="74" t="s">
        <v>464</v>
      </c>
      <c r="AT7" s="74" t="s">
        <v>465</v>
      </c>
      <c r="AU7" s="74" t="s">
        <v>466</v>
      </c>
      <c r="AV7" s="74" t="s">
        <v>467</v>
      </c>
      <c r="AW7" s="74" t="s">
        <v>468</v>
      </c>
      <c r="AX7" s="74" t="s">
        <v>469</v>
      </c>
      <c r="AY7" s="74" t="s">
        <v>470</v>
      </c>
      <c r="AZ7" s="74" t="s">
        <v>471</v>
      </c>
      <c r="BA7" s="75" t="s">
        <v>472</v>
      </c>
      <c r="BB7" s="73" t="s">
        <v>473</v>
      </c>
      <c r="BC7" s="74" t="s">
        <v>474</v>
      </c>
      <c r="BD7" s="74" t="s">
        <v>475</v>
      </c>
      <c r="BE7" s="74" t="s">
        <v>476</v>
      </c>
      <c r="BF7" s="74" t="s">
        <v>477</v>
      </c>
      <c r="BG7" s="74" t="s">
        <v>478</v>
      </c>
      <c r="BH7" s="74" t="s">
        <v>479</v>
      </c>
      <c r="BI7" s="74" t="s">
        <v>480</v>
      </c>
      <c r="BJ7" s="74" t="s">
        <v>481</v>
      </c>
      <c r="BK7" s="74" t="s">
        <v>482</v>
      </c>
      <c r="BL7" s="74" t="s">
        <v>483</v>
      </c>
      <c r="BM7" s="75" t="s">
        <v>484</v>
      </c>
      <c r="BN7" s="73" t="s">
        <v>485</v>
      </c>
      <c r="BO7" s="74" t="s">
        <v>486</v>
      </c>
      <c r="BP7" s="74" t="s">
        <v>487</v>
      </c>
      <c r="BQ7" s="74" t="s">
        <v>488</v>
      </c>
      <c r="BR7" s="74" t="s">
        <v>489</v>
      </c>
      <c r="BS7" s="74" t="s">
        <v>490</v>
      </c>
      <c r="BT7" s="74" t="s">
        <v>491</v>
      </c>
      <c r="BU7" s="74" t="s">
        <v>492</v>
      </c>
      <c r="BV7" s="74" t="s">
        <v>493</v>
      </c>
      <c r="BW7" s="74" t="s">
        <v>494</v>
      </c>
      <c r="BX7" s="74" t="s">
        <v>495</v>
      </c>
      <c r="BY7" s="75" t="s">
        <v>496</v>
      </c>
      <c r="BZ7" s="74" t="s">
        <v>497</v>
      </c>
      <c r="CA7" s="74" t="s">
        <v>498</v>
      </c>
      <c r="CB7" s="74" t="s">
        <v>499</v>
      </c>
      <c r="CC7" s="74" t="s">
        <v>500</v>
      </c>
      <c r="CD7" s="74" t="s">
        <v>501</v>
      </c>
      <c r="CE7" s="74" t="s">
        <v>502</v>
      </c>
      <c r="CF7" s="74" t="s">
        <v>503</v>
      </c>
      <c r="CG7" s="74" t="s">
        <v>504</v>
      </c>
      <c r="CH7" s="74" t="s">
        <v>505</v>
      </c>
      <c r="CI7" s="74" t="s">
        <v>506</v>
      </c>
      <c r="CJ7" s="74" t="s">
        <v>507</v>
      </c>
      <c r="CK7" s="74" t="s">
        <v>508</v>
      </c>
      <c r="CL7" s="73" t="s">
        <v>509</v>
      </c>
      <c r="CM7" s="74" t="s">
        <v>510</v>
      </c>
      <c r="CN7" s="74" t="s">
        <v>511</v>
      </c>
      <c r="CO7" s="74" t="s">
        <v>512</v>
      </c>
      <c r="CP7" s="74" t="s">
        <v>513</v>
      </c>
      <c r="CQ7" s="74" t="s">
        <v>514</v>
      </c>
      <c r="CR7" s="74" t="s">
        <v>515</v>
      </c>
      <c r="CS7" s="74" t="s">
        <v>516</v>
      </c>
      <c r="CT7" s="74" t="s">
        <v>517</v>
      </c>
      <c r="CU7" s="74" t="s">
        <v>518</v>
      </c>
      <c r="CV7" s="74" t="s">
        <v>519</v>
      </c>
      <c r="CW7" s="75" t="s">
        <v>520</v>
      </c>
      <c r="CX7" s="73" t="s">
        <v>521</v>
      </c>
      <c r="CY7" s="74" t="s">
        <v>522</v>
      </c>
      <c r="CZ7" s="74" t="s">
        <v>523</v>
      </c>
      <c r="DA7" s="74" t="s">
        <v>524</v>
      </c>
      <c r="DB7" s="74" t="s">
        <v>525</v>
      </c>
      <c r="DC7" s="74" t="s">
        <v>526</v>
      </c>
      <c r="DD7" s="74" t="s">
        <v>527</v>
      </c>
      <c r="DE7" s="74" t="s">
        <v>528</v>
      </c>
      <c r="DF7" s="74" t="s">
        <v>529</v>
      </c>
      <c r="DG7" s="74" t="s">
        <v>530</v>
      </c>
      <c r="DH7" s="74" t="s">
        <v>531</v>
      </c>
      <c r="DI7" s="75" t="s">
        <v>532</v>
      </c>
      <c r="DJ7" s="73" t="s">
        <v>533</v>
      </c>
      <c r="DK7" s="74" t="s">
        <v>534</v>
      </c>
      <c r="DL7" s="74" t="s">
        <v>535</v>
      </c>
      <c r="DM7" s="74" t="s">
        <v>536</v>
      </c>
      <c r="DN7" s="74" t="s">
        <v>537</v>
      </c>
      <c r="DO7" s="74" t="s">
        <v>538</v>
      </c>
      <c r="DP7" s="74" t="s">
        <v>539</v>
      </c>
      <c r="DQ7" s="74" t="s">
        <v>540</v>
      </c>
      <c r="DR7" s="74" t="s">
        <v>541</v>
      </c>
      <c r="DS7" s="74" t="s">
        <v>542</v>
      </c>
      <c r="DT7" s="74" t="s">
        <v>543</v>
      </c>
      <c r="DU7" s="75" t="s">
        <v>544</v>
      </c>
      <c r="DV7" s="42" t="s">
        <v>695</v>
      </c>
      <c r="DW7" s="42" t="s">
        <v>696</v>
      </c>
      <c r="DX7" s="42" t="s">
        <v>697</v>
      </c>
      <c r="DY7" s="42" t="s">
        <v>698</v>
      </c>
      <c r="DZ7" s="42" t="s">
        <v>699</v>
      </c>
      <c r="EA7" s="42" t="s">
        <v>700</v>
      </c>
      <c r="EB7" s="42" t="s">
        <v>701</v>
      </c>
      <c r="EC7" s="42" t="s">
        <v>702</v>
      </c>
      <c r="ED7" s="42" t="s">
        <v>703</v>
      </c>
      <c r="EE7" s="42" t="s">
        <v>704</v>
      </c>
      <c r="EF7" s="42" t="s">
        <v>705</v>
      </c>
      <c r="EG7" s="42" t="s">
        <v>706</v>
      </c>
      <c r="EH7" s="42" t="s">
        <v>726</v>
      </c>
      <c r="EI7" s="42" t="s">
        <v>727</v>
      </c>
      <c r="EJ7" s="42" t="s">
        <v>728</v>
      </c>
      <c r="EK7" s="42" t="s">
        <v>729</v>
      </c>
      <c r="EL7" s="42" t="s">
        <v>730</v>
      </c>
      <c r="EM7" s="42" t="s">
        <v>731</v>
      </c>
      <c r="EN7" s="42" t="s">
        <v>732</v>
      </c>
      <c r="EO7" s="42" t="s">
        <v>733</v>
      </c>
      <c r="EP7" s="42" t="s">
        <v>734</v>
      </c>
      <c r="EQ7" s="42" t="s">
        <v>735</v>
      </c>
      <c r="ER7" s="42" t="s">
        <v>736</v>
      </c>
      <c r="ES7" s="42" t="s">
        <v>737</v>
      </c>
      <c r="ET7" s="331" t="s">
        <v>744</v>
      </c>
      <c r="EU7" s="331" t="s">
        <v>745</v>
      </c>
      <c r="EV7" s="331" t="s">
        <v>746</v>
      </c>
      <c r="EW7" s="331" t="s">
        <v>747</v>
      </c>
      <c r="EX7" s="331" t="s">
        <v>748</v>
      </c>
      <c r="EY7" s="331" t="s">
        <v>749</v>
      </c>
      <c r="EZ7" s="331" t="s">
        <v>750</v>
      </c>
      <c r="FA7" s="331" t="s">
        <v>751</v>
      </c>
      <c r="FB7" s="331" t="s">
        <v>752</v>
      </c>
      <c r="FC7" s="331" t="s">
        <v>753</v>
      </c>
      <c r="FD7" s="331" t="s">
        <v>754</v>
      </c>
      <c r="FE7" s="331" t="s">
        <v>755</v>
      </c>
      <c r="FF7" s="331" t="s">
        <v>761</v>
      </c>
      <c r="FG7" s="331" t="s">
        <v>762</v>
      </c>
      <c r="FH7" s="331" t="s">
        <v>763</v>
      </c>
      <c r="FI7" s="331" t="s">
        <v>764</v>
      </c>
      <c r="FJ7" s="331" t="s">
        <v>765</v>
      </c>
      <c r="FK7" s="331" t="s">
        <v>766</v>
      </c>
      <c r="FL7" s="331" t="s">
        <v>767</v>
      </c>
      <c r="FM7" s="331" t="s">
        <v>768</v>
      </c>
      <c r="FN7" s="331" t="s">
        <v>769</v>
      </c>
      <c r="FO7" s="331" t="s">
        <v>770</v>
      </c>
      <c r="FP7" s="331" t="s">
        <v>771</v>
      </c>
      <c r="FQ7" s="331" t="s">
        <v>772</v>
      </c>
      <c r="FR7" s="331" t="s">
        <v>782</v>
      </c>
      <c r="FS7" s="331" t="s">
        <v>783</v>
      </c>
      <c r="FT7" s="331" t="s">
        <v>784</v>
      </c>
      <c r="FU7" s="331" t="s">
        <v>785</v>
      </c>
      <c r="FV7" s="331" t="s">
        <v>786</v>
      </c>
      <c r="FW7" s="331" t="s">
        <v>787</v>
      </c>
      <c r="FX7" s="331" t="s">
        <v>788</v>
      </c>
      <c r="FY7" s="331" t="s">
        <v>789</v>
      </c>
      <c r="FZ7" s="331" t="s">
        <v>790</v>
      </c>
      <c r="GA7" s="331" t="s">
        <v>791</v>
      </c>
      <c r="GB7" s="331" t="s">
        <v>792</v>
      </c>
      <c r="GC7" s="331" t="s">
        <v>793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18">
        <v>73320205.209999993</v>
      </c>
      <c r="FS10" s="370">
        <v>69683087.400000006</v>
      </c>
      <c r="FT10" s="318">
        <v>105613736.66</v>
      </c>
      <c r="FU10" s="318">
        <v>83521974.920000002</v>
      </c>
      <c r="FV10" s="318">
        <v>69752758.120000005</v>
      </c>
      <c r="FW10" s="318">
        <v>79960950.920000002</v>
      </c>
      <c r="FX10" s="318"/>
      <c r="FY10" s="318"/>
      <c r="FZ10" s="318"/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69">
        <v>9514934.0399999991</v>
      </c>
      <c r="FT11" s="316">
        <v>9988296.0800000001</v>
      </c>
      <c r="FU11" s="316">
        <v>6960084.75</v>
      </c>
      <c r="FV11" s="316">
        <v>10104597.5</v>
      </c>
      <c r="FW11" s="316">
        <v>10236771.470000001</v>
      </c>
      <c r="FX11" s="316"/>
      <c r="FY11" s="316"/>
      <c r="FZ11" s="316"/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69">
        <v>2402403.02</v>
      </c>
      <c r="FT12" s="316">
        <v>21201257.989999998</v>
      </c>
      <c r="FU12" s="316">
        <v>24401832.57</v>
      </c>
      <c r="FV12" s="316">
        <v>4691004.47</v>
      </c>
      <c r="FW12" s="316">
        <v>6326893.6900000004</v>
      </c>
      <c r="FX12" s="316"/>
      <c r="FY12" s="316"/>
      <c r="FZ12" s="316"/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69">
        <v>168097.86</v>
      </c>
      <c r="FT13" s="316">
        <v>129165.08</v>
      </c>
      <c r="FU13" s="316">
        <v>48149.33</v>
      </c>
      <c r="FV13" s="316">
        <v>95187.63</v>
      </c>
      <c r="FW13" s="316">
        <v>117335.46</v>
      </c>
      <c r="FX13" s="316"/>
      <c r="FY13" s="316"/>
      <c r="FZ13" s="316"/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69">
        <v>40097544.82</v>
      </c>
      <c r="FT14" s="316">
        <v>54963852.219999999</v>
      </c>
      <c r="FU14" s="316">
        <v>35570662.579999998</v>
      </c>
      <c r="FV14" s="316">
        <v>38250745.619999997</v>
      </c>
      <c r="FW14" s="316">
        <v>42474174.049999997</v>
      </c>
      <c r="FX14" s="316"/>
      <c r="FY14" s="316"/>
      <c r="FZ14" s="316"/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69">
        <v>14831752.550000001</v>
      </c>
      <c r="FT15" s="316">
        <v>16111610.99</v>
      </c>
      <c r="FU15" s="316">
        <v>14097368.300000001</v>
      </c>
      <c r="FV15" s="316">
        <v>14366315.76</v>
      </c>
      <c r="FW15" s="316">
        <v>17821548.199999999</v>
      </c>
      <c r="FX15" s="316"/>
      <c r="FY15" s="316"/>
      <c r="FZ15" s="316"/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69">
        <v>1922810.55</v>
      </c>
      <c r="FT16" s="316">
        <v>2363697.87</v>
      </c>
      <c r="FU16" s="316">
        <v>1725304.75</v>
      </c>
      <c r="FV16" s="316">
        <v>1588906.58</v>
      </c>
      <c r="FW16" s="316">
        <v>2074453.34</v>
      </c>
      <c r="FX16" s="316"/>
      <c r="FY16" s="316"/>
      <c r="FZ16" s="316"/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69">
        <v>745544.56</v>
      </c>
      <c r="FT17" s="316">
        <v>855856.43</v>
      </c>
      <c r="FU17" s="316">
        <v>718572.64</v>
      </c>
      <c r="FV17" s="316">
        <v>656000.56000000006</v>
      </c>
      <c r="FW17" s="316">
        <v>909774.71</v>
      </c>
      <c r="FX17" s="316"/>
      <c r="FY17" s="316"/>
      <c r="FZ17" s="316"/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18">
        <v>15749286.220000001</v>
      </c>
      <c r="FS18" s="370">
        <v>42574769.890000001</v>
      </c>
      <c r="FT18" s="318">
        <v>44888756.57</v>
      </c>
      <c r="FU18" s="318">
        <v>33882602.5</v>
      </c>
      <c r="FV18" s="318">
        <v>40418289.450000003</v>
      </c>
      <c r="FW18" s="318">
        <v>42892419.090000004</v>
      </c>
      <c r="FX18" s="318"/>
      <c r="FY18" s="318"/>
      <c r="FZ18" s="318"/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69">
        <v>26782162.98</v>
      </c>
      <c r="FT19" s="316">
        <v>28314388.120000001</v>
      </c>
      <c r="FU19" s="316">
        <v>21078780.449999999</v>
      </c>
      <c r="FV19" s="316">
        <v>24736473.050000001</v>
      </c>
      <c r="FW19" s="316">
        <v>26475281.460000001</v>
      </c>
      <c r="FX19" s="316"/>
      <c r="FY19" s="316"/>
      <c r="FZ19" s="316"/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69">
        <v>13521231.24</v>
      </c>
      <c r="FT20" s="316">
        <v>14020072.800000001</v>
      </c>
      <c r="FU20" s="316">
        <v>10884138.67</v>
      </c>
      <c r="FV20" s="316">
        <v>13478103.310000001</v>
      </c>
      <c r="FW20" s="316">
        <v>14129608.4</v>
      </c>
      <c r="FX20" s="316"/>
      <c r="FY20" s="316"/>
      <c r="FZ20" s="316"/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69">
        <v>1236727.53</v>
      </c>
      <c r="FT21" s="316">
        <v>1425690.07</v>
      </c>
      <c r="FU21" s="316">
        <v>1042509.86</v>
      </c>
      <c r="FV21" s="316">
        <v>1190738.6299999999</v>
      </c>
      <c r="FW21" s="316">
        <v>1233975.8400000001</v>
      </c>
      <c r="FX21" s="316"/>
      <c r="FY21" s="316"/>
      <c r="FZ21" s="316"/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69">
        <v>1034648.14</v>
      </c>
      <c r="FT22" s="316">
        <v>1128605.58</v>
      </c>
      <c r="FU22" s="316">
        <v>877173.52</v>
      </c>
      <c r="FV22" s="316">
        <v>1012974.46</v>
      </c>
      <c r="FW22" s="316">
        <v>1053553.3899999999</v>
      </c>
      <c r="FX22" s="316"/>
      <c r="FY22" s="316"/>
      <c r="FZ22" s="316"/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2">+SUM(CX24:CX27)</f>
        <v>987210.26</v>
      </c>
      <c r="CY23" s="121">
        <f t="shared" si="2"/>
        <v>2559133.91</v>
      </c>
      <c r="CZ23" s="121">
        <f t="shared" si="2"/>
        <v>1026658.4100000001</v>
      </c>
      <c r="DA23" s="121">
        <f t="shared" si="2"/>
        <v>1154845.05</v>
      </c>
      <c r="DB23" s="121">
        <f t="shared" si="2"/>
        <v>1020195.28</v>
      </c>
      <c r="DC23" s="121">
        <f t="shared" si="2"/>
        <v>1227617.2</v>
      </c>
      <c r="DD23" s="121">
        <f t="shared" si="2"/>
        <v>1201295.81</v>
      </c>
      <c r="DE23" s="121">
        <f t="shared" si="2"/>
        <v>1330351.8499999999</v>
      </c>
      <c r="DF23" s="121">
        <f t="shared" si="2"/>
        <v>1239112.8199999998</v>
      </c>
      <c r="DG23" s="121">
        <f t="shared" si="2"/>
        <v>1180240.26</v>
      </c>
      <c r="DH23" s="121">
        <f t="shared" si="2"/>
        <v>933354.76</v>
      </c>
      <c r="DI23" s="122">
        <f t="shared" si="2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1445452.81</v>
      </c>
      <c r="FR23" s="318">
        <v>711811.51</v>
      </c>
      <c r="FS23" s="370">
        <v>845756.92</v>
      </c>
      <c r="FT23" s="318">
        <v>815406.19</v>
      </c>
      <c r="FU23" s="318">
        <v>318936.3</v>
      </c>
      <c r="FV23" s="318">
        <v>469045.42</v>
      </c>
      <c r="FW23" s="318">
        <v>1014921.49</v>
      </c>
      <c r="FX23" s="318"/>
      <c r="FY23" s="318"/>
      <c r="FZ23" s="318"/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952209.79</v>
      </c>
      <c r="FR24" s="316">
        <v>562336.23</v>
      </c>
      <c r="FS24" s="369">
        <v>652056.92000000004</v>
      </c>
      <c r="FT24" s="316">
        <v>648063.07999999996</v>
      </c>
      <c r="FU24" s="316">
        <v>281109.94</v>
      </c>
      <c r="FV24" s="316">
        <v>389225.04</v>
      </c>
      <c r="FW24" s="316">
        <v>765387.09</v>
      </c>
      <c r="FX24" s="316"/>
      <c r="FY24" s="316"/>
      <c r="FZ24" s="316"/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69">
        <v>103685.1</v>
      </c>
      <c r="FT25" s="316">
        <v>69007.199999999997</v>
      </c>
      <c r="FU25" s="316">
        <v>21455.99</v>
      </c>
      <c r="FV25" s="316">
        <v>33883.980000000003</v>
      </c>
      <c r="FW25" s="316">
        <v>91069.119999999995</v>
      </c>
      <c r="FX25" s="316"/>
      <c r="FY25" s="316"/>
      <c r="FZ25" s="316"/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69">
        <v>34709.39</v>
      </c>
      <c r="FT26" s="316">
        <v>29392.97</v>
      </c>
      <c r="FU26" s="316">
        <v>3187.51</v>
      </c>
      <c r="FV26" s="316">
        <v>915.94</v>
      </c>
      <c r="FW26" s="316">
        <v>11909.77</v>
      </c>
      <c r="FX26" s="316"/>
      <c r="FY26" s="316"/>
      <c r="FZ26" s="316"/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69">
        <v>55305.51</v>
      </c>
      <c r="FT27" s="316">
        <v>68942.94</v>
      </c>
      <c r="FU27" s="316">
        <v>13182.86</v>
      </c>
      <c r="FV27" s="316">
        <v>45020.46</v>
      </c>
      <c r="FW27" s="316">
        <v>146555.51</v>
      </c>
      <c r="FX27" s="316"/>
      <c r="FY27" s="316"/>
      <c r="FZ27" s="316"/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3">+SUM(CX29:CX34)</f>
        <v>1287580.6800000002</v>
      </c>
      <c r="CY28" s="121">
        <f t="shared" si="3"/>
        <v>715085.05</v>
      </c>
      <c r="CZ28" s="121">
        <f t="shared" si="3"/>
        <v>890846.15</v>
      </c>
      <c r="DA28" s="121">
        <f t="shared" si="3"/>
        <v>876230.8</v>
      </c>
      <c r="DB28" s="121">
        <f t="shared" si="3"/>
        <v>1494813.69</v>
      </c>
      <c r="DC28" s="121">
        <f t="shared" si="3"/>
        <v>1663478.84</v>
      </c>
      <c r="DD28" s="121">
        <f t="shared" si="3"/>
        <v>1730168.3699999999</v>
      </c>
      <c r="DE28" s="121">
        <f t="shared" si="3"/>
        <v>1561341.1400000001</v>
      </c>
      <c r="DF28" s="121">
        <f t="shared" si="3"/>
        <v>1413088.9</v>
      </c>
      <c r="DG28" s="121">
        <f t="shared" si="3"/>
        <v>2751386.49</v>
      </c>
      <c r="DH28" s="121">
        <f t="shared" si="3"/>
        <v>1144837.4099999999</v>
      </c>
      <c r="DI28" s="122">
        <f t="shared" si="3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18">
        <v>2226726.9300000002</v>
      </c>
      <c r="FS28" s="370">
        <v>2200614.79</v>
      </c>
      <c r="FT28" s="318">
        <v>1317967.9099999999</v>
      </c>
      <c r="FU28" s="318">
        <v>1597851.36</v>
      </c>
      <c r="FV28" s="318">
        <v>1673853.74</v>
      </c>
      <c r="FW28" s="318">
        <v>2752546.68</v>
      </c>
      <c r="FX28" s="318"/>
      <c r="FY28" s="318"/>
      <c r="FZ28" s="318"/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69">
        <v>97907.71</v>
      </c>
      <c r="FT29" s="316">
        <v>52092.02</v>
      </c>
      <c r="FU29" s="316">
        <v>14342.89</v>
      </c>
      <c r="FV29" s="316">
        <v>87152.16</v>
      </c>
      <c r="FW29" s="316">
        <v>81348.72</v>
      </c>
      <c r="FX29" s="316"/>
      <c r="FY29" s="316"/>
      <c r="FZ29" s="316"/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781</v>
      </c>
      <c r="FQ30" s="316">
        <v>979690.53</v>
      </c>
      <c r="FR30" s="316">
        <v>126343.77</v>
      </c>
      <c r="FS30" s="369">
        <v>175288.1</v>
      </c>
      <c r="FT30" s="316">
        <v>73729.09</v>
      </c>
      <c r="FU30" s="316">
        <v>146244.51</v>
      </c>
      <c r="FV30" s="316">
        <v>524686.37</v>
      </c>
      <c r="FW30" s="316">
        <v>614436.35</v>
      </c>
      <c r="FX30" s="316"/>
      <c r="FY30" s="316"/>
      <c r="FZ30" s="316"/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69">
        <v>84.68</v>
      </c>
      <c r="FT31" s="316">
        <v>184.88</v>
      </c>
      <c r="FU31" s="316"/>
      <c r="FX31" s="316"/>
      <c r="FY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803</v>
      </c>
      <c r="EN32" s="316" t="s">
        <v>804</v>
      </c>
      <c r="EO32" s="316">
        <v>608693.02</v>
      </c>
      <c r="EP32" s="316" t="s">
        <v>805</v>
      </c>
      <c r="EQ32" s="316">
        <v>179273.43</v>
      </c>
      <c r="ER32" s="316" t="s">
        <v>806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69">
        <v>791268.92</v>
      </c>
      <c r="FT32" s="316">
        <v>591906.53</v>
      </c>
      <c r="FU32" s="316">
        <v>76083.25</v>
      </c>
      <c r="FV32" s="316">
        <v>173594.14</v>
      </c>
      <c r="FW32" s="316">
        <v>354011.66</v>
      </c>
      <c r="FX32" s="316"/>
      <c r="FY32" s="316"/>
      <c r="FZ32" s="316"/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69">
        <v>144224.95999999999</v>
      </c>
      <c r="FT33" s="316">
        <v>198115.36</v>
      </c>
      <c r="FU33" s="316">
        <v>91043.29</v>
      </c>
      <c r="FV33" s="316">
        <v>218874</v>
      </c>
      <c r="FW33" s="316">
        <v>662808.4</v>
      </c>
      <c r="FX33" s="316"/>
      <c r="FY33" s="316"/>
      <c r="FZ33" s="316"/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69">
        <v>991840.42</v>
      </c>
      <c r="FT34" s="316">
        <v>401940.03</v>
      </c>
      <c r="FU34" s="316">
        <v>1270137.42</v>
      </c>
      <c r="FV34" s="316">
        <v>669547.06999999995</v>
      </c>
      <c r="FW34" s="316">
        <v>1039941.55</v>
      </c>
      <c r="FX34" s="316"/>
      <c r="FY34" s="316"/>
      <c r="FZ34" s="316"/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4">+SUM(CX36:CX39)</f>
        <v>2212904.56</v>
      </c>
      <c r="CY35" s="121">
        <f t="shared" si="4"/>
        <v>1440899.72</v>
      </c>
      <c r="CZ35" s="121">
        <f t="shared" si="4"/>
        <v>1630424.69</v>
      </c>
      <c r="DA35" s="121">
        <f t="shared" si="4"/>
        <v>2252207.5300000003</v>
      </c>
      <c r="DB35" s="121">
        <f t="shared" si="4"/>
        <v>3037379.71</v>
      </c>
      <c r="DC35" s="121">
        <f t="shared" si="4"/>
        <v>3367439.83</v>
      </c>
      <c r="DD35" s="121">
        <f t="shared" si="4"/>
        <v>2293849.2600000002</v>
      </c>
      <c r="DE35" s="121">
        <f t="shared" si="4"/>
        <v>2870214.09</v>
      </c>
      <c r="DF35" s="121">
        <f t="shared" si="4"/>
        <v>2413546.9499999997</v>
      </c>
      <c r="DG35" s="121">
        <f t="shared" si="4"/>
        <v>2077385.13</v>
      </c>
      <c r="DH35" s="121">
        <f t="shared" si="4"/>
        <v>1707765.33</v>
      </c>
      <c r="DI35" s="122">
        <f t="shared" si="4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2199531.1</v>
      </c>
      <c r="FH35" s="318">
        <v>3193816.55</v>
      </c>
      <c r="FI35" s="318">
        <v>2384912.75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2214023.2000000002</v>
      </c>
      <c r="FO35" s="318">
        <v>2505033.94</v>
      </c>
      <c r="FP35" s="318">
        <v>2278636.0299999998</v>
      </c>
      <c r="FQ35" s="318">
        <v>42306339.840000004</v>
      </c>
      <c r="FR35" s="318">
        <v>1483659.28</v>
      </c>
      <c r="FS35" s="370">
        <v>2100277.88</v>
      </c>
      <c r="FT35" s="318">
        <v>4244020.3499999996</v>
      </c>
      <c r="FU35" s="318">
        <v>2093035.81</v>
      </c>
      <c r="FV35" s="318">
        <v>1280317.99</v>
      </c>
      <c r="FW35" s="318">
        <v>1931117.11</v>
      </c>
      <c r="FX35" s="318"/>
      <c r="FY35" s="318"/>
      <c r="FZ35" s="318"/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53364.41</v>
      </c>
      <c r="FS36" s="369">
        <v>217955.03</v>
      </c>
      <c r="FT36" s="316">
        <v>2182396.42</v>
      </c>
      <c r="FU36" s="316">
        <v>482182.84</v>
      </c>
      <c r="FV36" s="316">
        <v>67644.320000000007</v>
      </c>
      <c r="FW36" s="316">
        <v>23064.91</v>
      </c>
      <c r="FX36" s="316"/>
      <c r="FY36" s="316"/>
      <c r="FZ36" s="316"/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69">
        <v>1051133.5</v>
      </c>
      <c r="FT37" s="316">
        <v>852509.5</v>
      </c>
      <c r="FU37" s="316">
        <v>578139.14</v>
      </c>
      <c r="FV37" s="316">
        <v>681465.85</v>
      </c>
      <c r="FW37" s="316">
        <v>925102.04</v>
      </c>
      <c r="FX37" s="316"/>
      <c r="FY37" s="316"/>
      <c r="FZ37" s="316"/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69">
        <v>207689.67</v>
      </c>
      <c r="FT38" s="316">
        <v>151455.6</v>
      </c>
      <c r="FU38" s="316">
        <v>78991.53</v>
      </c>
      <c r="FV38" s="316">
        <v>187396.49</v>
      </c>
      <c r="FW38" s="316">
        <v>257747.86</v>
      </c>
      <c r="FX38" s="316"/>
      <c r="FY38" s="316"/>
      <c r="FZ38" s="316"/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490213.19</v>
      </c>
      <c r="FS39" s="369">
        <v>623499.68000000005</v>
      </c>
      <c r="FT39" s="316">
        <v>1062145.1000000001</v>
      </c>
      <c r="FU39" s="316">
        <v>953642.8</v>
      </c>
      <c r="FV39" s="316">
        <v>343811.33</v>
      </c>
      <c r="FW39" s="316">
        <v>724540.46</v>
      </c>
      <c r="FX39" s="316"/>
      <c r="FY39" s="316"/>
      <c r="FZ39" s="316"/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5">+SUM(DB41:DB42)</f>
        <v>144908.31</v>
      </c>
      <c r="DC40" s="121">
        <f t="shared" si="5"/>
        <v>267027.43</v>
      </c>
      <c r="DD40" s="121">
        <f t="shared" si="5"/>
        <v>704985.3899999999</v>
      </c>
      <c r="DE40" s="121">
        <f t="shared" si="5"/>
        <v>471372.96</v>
      </c>
      <c r="DF40" s="121">
        <f t="shared" si="5"/>
        <v>1969746.6500000001</v>
      </c>
      <c r="DG40" s="121">
        <f t="shared" si="5"/>
        <v>882280.21</v>
      </c>
      <c r="DH40" s="121">
        <f t="shared" si="5"/>
        <v>238081.41999999998</v>
      </c>
      <c r="DI40" s="122">
        <f t="shared" si="5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70">
        <v>437988.22</v>
      </c>
      <c r="FT40" s="318">
        <v>603218.21</v>
      </c>
      <c r="FU40" s="318">
        <v>198578.39</v>
      </c>
      <c r="FV40" s="318">
        <v>270349.07</v>
      </c>
      <c r="FW40" s="318">
        <v>213993.31</v>
      </c>
      <c r="FX40" s="318"/>
      <c r="FY40" s="318"/>
      <c r="FZ40" s="318"/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69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69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6">+SUM(CY44:CY45)</f>
        <v>107462.68</v>
      </c>
      <c r="CZ43" s="121">
        <f t="shared" si="6"/>
        <v>292731.87</v>
      </c>
      <c r="DA43" s="121">
        <f t="shared" si="6"/>
        <v>369726.11</v>
      </c>
      <c r="DB43" s="121">
        <f t="shared" si="6"/>
        <v>118088.34</v>
      </c>
      <c r="DC43" s="121">
        <f t="shared" si="6"/>
        <v>988773.85</v>
      </c>
      <c r="DD43" s="121">
        <f t="shared" si="6"/>
        <v>98780.82</v>
      </c>
      <c r="DE43" s="121">
        <f t="shared" si="6"/>
        <v>305044.76</v>
      </c>
      <c r="DF43" s="121">
        <f t="shared" si="6"/>
        <v>476893.98</v>
      </c>
      <c r="DG43" s="121">
        <f t="shared" si="6"/>
        <v>368051.05</v>
      </c>
      <c r="DH43" s="121">
        <f t="shared" si="6"/>
        <v>1895040.21</v>
      </c>
      <c r="DI43" s="122">
        <f t="shared" si="6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1668986.37</v>
      </c>
      <c r="FR43" s="318">
        <v>80819.179999999993</v>
      </c>
      <c r="FS43" s="370">
        <v>813727.89</v>
      </c>
      <c r="FT43" s="318">
        <v>794561.22</v>
      </c>
      <c r="FU43" s="318">
        <v>561040.23</v>
      </c>
      <c r="FV43" s="318">
        <v>896681.72</v>
      </c>
      <c r="FW43" s="318">
        <v>977750.68</v>
      </c>
      <c r="FX43" s="318"/>
      <c r="FY43" s="318"/>
      <c r="FZ43" s="318"/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69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69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7">+SUM(CY47:CY48)</f>
        <v>720536.12</v>
      </c>
      <c r="CZ46" s="121">
        <f t="shared" si="7"/>
        <v>173095.78</v>
      </c>
      <c r="DA46" s="121">
        <f t="shared" si="7"/>
        <v>636951.02</v>
      </c>
      <c r="DB46" s="121">
        <f t="shared" si="7"/>
        <v>295224.23</v>
      </c>
      <c r="DC46" s="121">
        <f t="shared" si="7"/>
        <v>145661.5</v>
      </c>
      <c r="DD46" s="121">
        <f t="shared" si="7"/>
        <v>289870.69</v>
      </c>
      <c r="DE46" s="121">
        <f t="shared" si="7"/>
        <v>331260.12</v>
      </c>
      <c r="DF46" s="121">
        <f t="shared" si="7"/>
        <v>407300.13</v>
      </c>
      <c r="DG46" s="121">
        <f t="shared" si="7"/>
        <v>306869.74</v>
      </c>
      <c r="DH46" s="121">
        <f t="shared" si="7"/>
        <v>983922.2</v>
      </c>
      <c r="DI46" s="122">
        <f t="shared" si="7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3964637.48</v>
      </c>
      <c r="FR46" s="318">
        <v>755324.46</v>
      </c>
      <c r="FS46" s="370">
        <v>1636489.54</v>
      </c>
      <c r="FT46" s="318">
        <v>3518115.16</v>
      </c>
      <c r="FU46" s="318">
        <v>2957605.59</v>
      </c>
      <c r="FV46" s="318">
        <v>842020.08</v>
      </c>
      <c r="FW46" s="318">
        <v>2579280.8199999998</v>
      </c>
      <c r="FX46" s="318"/>
      <c r="FY46" s="318"/>
      <c r="FZ46" s="318"/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69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69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8">+CY50</f>
        <v>43700264.219999999</v>
      </c>
      <c r="CZ49" s="121">
        <f t="shared" si="8"/>
        <v>83407940.25</v>
      </c>
      <c r="DA49" s="121">
        <f t="shared" si="8"/>
        <v>32989063.890000001</v>
      </c>
      <c r="DB49" s="121">
        <f t="shared" si="8"/>
        <v>280177927.55000001</v>
      </c>
      <c r="DC49" s="121">
        <f t="shared" si="8"/>
        <v>524720.3600000001</v>
      </c>
      <c r="DD49" s="121">
        <f t="shared" si="8"/>
        <v>15730778.189999999</v>
      </c>
      <c r="DE49" s="121">
        <f t="shared" si="8"/>
        <v>41036448.079999998</v>
      </c>
      <c r="DF49" s="121">
        <f t="shared" si="8"/>
        <v>15186675.5</v>
      </c>
      <c r="DG49" s="121">
        <f t="shared" si="8"/>
        <v>4181439.2199999997</v>
      </c>
      <c r="DH49" s="121">
        <f t="shared" si="8"/>
        <v>3184747.73</v>
      </c>
      <c r="DI49" s="122">
        <f t="shared" si="8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70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9">+SUM(CY51:CY52)</f>
        <v>43700264.219999999</v>
      </c>
      <c r="CZ50" s="101">
        <f t="shared" si="9"/>
        <v>83407940.25</v>
      </c>
      <c r="DA50" s="101">
        <f t="shared" si="9"/>
        <v>32989063.890000001</v>
      </c>
      <c r="DB50" s="101">
        <f t="shared" si="9"/>
        <v>280177927.55000001</v>
      </c>
      <c r="DC50" s="101">
        <f t="shared" si="9"/>
        <v>524720.3600000001</v>
      </c>
      <c r="DD50" s="101">
        <f t="shared" si="9"/>
        <v>15730778.189999999</v>
      </c>
      <c r="DE50" s="101">
        <f t="shared" si="9"/>
        <v>41036448.079999998</v>
      </c>
      <c r="DF50" s="101">
        <f t="shared" si="9"/>
        <v>15186675.5</v>
      </c>
      <c r="DG50" s="101">
        <f t="shared" si="9"/>
        <v>4181439.2199999997</v>
      </c>
      <c r="DH50" s="101">
        <f t="shared" si="9"/>
        <v>3184747.73</v>
      </c>
      <c r="DI50" s="102">
        <f t="shared" si="9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69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69">
        <v>23000000</v>
      </c>
      <c r="FT51" s="316"/>
      <c r="FU51" s="316">
        <v>19932059.129999999</v>
      </c>
      <c r="FV51" s="316">
        <v>10000000</v>
      </c>
      <c r="FW51" s="316"/>
      <c r="FX51" s="316"/>
      <c r="FY51" s="316"/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512724701.25</v>
      </c>
      <c r="FP52" s="316">
        <v>10136902.300000001</v>
      </c>
      <c r="FQ52" s="316">
        <v>17594759.329999998</v>
      </c>
      <c r="FR52" s="316">
        <v>316564.84000000003</v>
      </c>
      <c r="FS52" s="369">
        <v>1511136.76</v>
      </c>
      <c r="FT52" s="316">
        <v>3834054.75</v>
      </c>
      <c r="FU52" s="316">
        <v>4493810.3600000003</v>
      </c>
      <c r="FV52" s="316">
        <v>250307576.15000001</v>
      </c>
      <c r="FW52" s="316">
        <v>83297964.459999993</v>
      </c>
      <c r="FX52" s="316"/>
      <c r="FY52" s="316"/>
      <c r="FZ52" s="316"/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38898745.609999999</v>
      </c>
      <c r="FG55" s="316">
        <v>38603036.109999999</v>
      </c>
      <c r="FH55" s="316">
        <v>39176968.049999997</v>
      </c>
      <c r="FI55" s="316">
        <v>38923552.049999997</v>
      </c>
      <c r="FJ55" s="316">
        <v>39904782.170000002</v>
      </c>
      <c r="FK55" s="316">
        <v>41565368.68</v>
      </c>
      <c r="FL55" s="369">
        <v>38100886.07</v>
      </c>
      <c r="FM55" s="316">
        <v>37237058.799999997</v>
      </c>
      <c r="FN55" s="316">
        <v>38571466.869999997</v>
      </c>
      <c r="FO55" s="316">
        <v>38895006.189999998</v>
      </c>
      <c r="FP55" s="316">
        <v>39570495.68</v>
      </c>
      <c r="FQ55" s="369">
        <v>43410895.729999997</v>
      </c>
      <c r="FR55" s="316">
        <v>40884882.280000001</v>
      </c>
      <c r="FS55" s="316">
        <v>41362850.270000003</v>
      </c>
      <c r="FT55" s="316">
        <v>41444412.079999998</v>
      </c>
      <c r="FU55" s="316">
        <v>41745440.189999998</v>
      </c>
      <c r="FV55" s="316">
        <v>40757623.899999999</v>
      </c>
      <c r="FW55" s="316">
        <v>43040988.659999996</v>
      </c>
      <c r="FX55" s="316"/>
      <c r="FY55" s="316"/>
      <c r="FZ55" s="316"/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f>1037317.51-3755</f>
        <v>1033562.51</v>
      </c>
      <c r="FH61" s="316">
        <f>739399.21-3755</f>
        <v>735644.21</v>
      </c>
      <c r="FI61" s="316">
        <f>1606178.02-3755</f>
        <v>1602423.02</v>
      </c>
      <c r="FJ61" s="316">
        <f>1045130.65-3755</f>
        <v>1041375.65</v>
      </c>
      <c r="FK61" s="316">
        <f>649835.03-3755</f>
        <v>646080.03</v>
      </c>
      <c r="FL61" s="368">
        <f>1612322.32-7510</f>
        <v>1604812.32</v>
      </c>
      <c r="FM61" s="316">
        <f>863508.85</f>
        <v>863508.85</v>
      </c>
      <c r="FN61" s="316">
        <f>1072577.13-3755</f>
        <v>1068822.1299999999</v>
      </c>
      <c r="FO61" s="316">
        <f>1121921.44-3755</f>
        <v>1118166.44</v>
      </c>
      <c r="FP61" s="316">
        <f>1060149.58-3755</f>
        <v>1056394.58</v>
      </c>
      <c r="FQ61" s="369">
        <f>3987318.08-7510</f>
        <v>3979808.08</v>
      </c>
      <c r="FR61" s="369">
        <v>476603.42</v>
      </c>
      <c r="FS61" s="316">
        <v>1082169.6499999999</v>
      </c>
      <c r="FT61" s="316">
        <v>1109472.33</v>
      </c>
      <c r="FU61" s="316">
        <v>652598.81999999995</v>
      </c>
      <c r="FV61" s="316">
        <v>376000.24</v>
      </c>
      <c r="FW61" s="316">
        <v>1295833.8</v>
      </c>
      <c r="FX61" s="316"/>
      <c r="FY61" s="316"/>
      <c r="FZ61" s="316"/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848989.3</v>
      </c>
      <c r="FG69" s="316">
        <f>2487192.65-72.6</f>
        <v>2487120.0499999998</v>
      </c>
      <c r="FH69" s="316">
        <f>2594267.44-1172.06</f>
        <v>2593095.38</v>
      </c>
      <c r="FI69" s="316">
        <v>2483216.04</v>
      </c>
      <c r="FJ69" s="316">
        <v>2260839.3199999998</v>
      </c>
      <c r="FK69" s="316">
        <f>3138707.97-1847.12</f>
        <v>3136860.85</v>
      </c>
      <c r="FL69" s="368">
        <v>2237139.04</v>
      </c>
      <c r="FM69" s="316">
        <v>2457548.14</v>
      </c>
      <c r="FN69" s="316">
        <f>2773014.3-132586.18</f>
        <v>2640428.1199999996</v>
      </c>
      <c r="FO69" s="316">
        <f>3205444.52-453.75</f>
        <v>3204990.77</v>
      </c>
      <c r="FP69" s="316">
        <f>3631125.91-538.27</f>
        <v>3630587.64</v>
      </c>
      <c r="FQ69" s="316">
        <f>5178410.9-1488.33</f>
        <v>5176922.57</v>
      </c>
      <c r="FR69" s="316">
        <v>845574.4</v>
      </c>
      <c r="FS69" s="316">
        <v>4271561.3099999996</v>
      </c>
      <c r="FT69" s="316">
        <v>2456800.5</v>
      </c>
      <c r="FU69" s="316">
        <v>3001224.56</v>
      </c>
      <c r="FV69" s="316">
        <v>1835726.56</v>
      </c>
      <c r="FW69" s="316">
        <v>2091814.74</v>
      </c>
      <c r="FX69" s="316"/>
      <c r="FY69" s="316"/>
      <c r="FZ69" s="316"/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f>2798097.16-39060.34</f>
        <v>2759036.8200000003</v>
      </c>
      <c r="FG76" s="316">
        <f>4315711.99-701161.07</f>
        <v>3614550.9200000004</v>
      </c>
      <c r="FH76" s="316">
        <f>4685437.57-710620.25</f>
        <v>3974817.3200000003</v>
      </c>
      <c r="FI76" s="316">
        <f>4348888.45-291739.06</f>
        <v>4057149.39</v>
      </c>
      <c r="FJ76" s="316">
        <f>6607364.25-322487.03</f>
        <v>6284877.2199999997</v>
      </c>
      <c r="FK76" s="316">
        <f>6800888.16-716972.31</f>
        <v>6083915.8499999996</v>
      </c>
      <c r="FL76" s="368">
        <f>8571929.27-1017895.43</f>
        <v>7554033.8399999999</v>
      </c>
      <c r="FM76" s="316">
        <f>3295941.58-181310.27</f>
        <v>3114631.31</v>
      </c>
      <c r="FN76" s="316">
        <f>5825082.51-728313.65</f>
        <v>5096768.8599999994</v>
      </c>
      <c r="FO76" s="316">
        <f>7992204.62-1047897.36</f>
        <v>6944307.2599999998</v>
      </c>
      <c r="FP76" s="369">
        <f>7183420.35-326561.62</f>
        <v>6856858.7299999995</v>
      </c>
      <c r="FQ76" s="316">
        <f>15292384.64-2176507.67</f>
        <v>13115876.970000001</v>
      </c>
      <c r="FR76" s="316">
        <v>1526609.67</v>
      </c>
      <c r="FS76" s="316">
        <v>5800030.7699999996</v>
      </c>
      <c r="FT76" s="316">
        <v>6227024.2599999998</v>
      </c>
      <c r="FU76" s="316">
        <v>3735755.56</v>
      </c>
      <c r="FV76" s="316">
        <v>13077926.789999999</v>
      </c>
      <c r="FW76" s="316">
        <v>5887324.7699999996</v>
      </c>
      <c r="FX76" s="316"/>
      <c r="FY76" s="316"/>
      <c r="FZ76" s="316"/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f>1531025.06-969.2</f>
        <v>1530055.86</v>
      </c>
      <c r="FH86" s="316">
        <v>1550264.35</v>
      </c>
      <c r="FI86" s="316">
        <v>1599647.1</v>
      </c>
      <c r="FJ86" s="316">
        <v>1715921.5</v>
      </c>
      <c r="FK86" s="316">
        <f>1358028.1-2071.34</f>
        <v>1355956.76</v>
      </c>
      <c r="FL86" s="368">
        <f>2071180.13-828.89</f>
        <v>2070351.24</v>
      </c>
      <c r="FM86" s="316">
        <v>1118342.44</v>
      </c>
      <c r="FN86" s="316">
        <f>1708547.91-84.2</f>
        <v>1708463.71</v>
      </c>
      <c r="FO86" s="316">
        <v>2758670.97</v>
      </c>
      <c r="FP86" s="316">
        <v>2123777.0099999998</v>
      </c>
      <c r="FQ86" s="316">
        <f>4885931.83-4711.8</f>
        <v>4881220.03</v>
      </c>
      <c r="FR86" s="316">
        <v>108691.98</v>
      </c>
      <c r="FS86" s="316">
        <v>2265483.7400000002</v>
      </c>
      <c r="FT86" s="316">
        <v>1016574.39</v>
      </c>
      <c r="FU86" s="316">
        <v>2804355.68</v>
      </c>
      <c r="FV86" s="316">
        <v>1877727.17</v>
      </c>
      <c r="FW86" s="316">
        <v>1791066.21</v>
      </c>
      <c r="FX86" s="316"/>
      <c r="FY86" s="316"/>
      <c r="FZ86" s="316"/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5627705.1600000001</v>
      </c>
      <c r="FR90" s="316">
        <v>7654845.3899999997</v>
      </c>
      <c r="FS90" s="316">
        <v>1839801.88</v>
      </c>
      <c r="FT90" s="316">
        <v>27475960.399999999</v>
      </c>
      <c r="FU90" s="316">
        <v>22559197.739999998</v>
      </c>
      <c r="FV90" s="316">
        <v>1656916.58</v>
      </c>
      <c r="FW90" s="316">
        <v>5339935.2699999996</v>
      </c>
      <c r="FX90" s="316"/>
      <c r="FY90" s="316"/>
      <c r="FZ90" s="316"/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2287205.65</v>
      </c>
      <c r="FR93" s="316">
        <v>616777.93000000005</v>
      </c>
      <c r="FS93" s="316">
        <v>930050.26</v>
      </c>
      <c r="FT93" s="316">
        <v>896586.65</v>
      </c>
      <c r="FU93" s="316">
        <v>972131.72</v>
      </c>
      <c r="FV93" s="316">
        <v>769427.2</v>
      </c>
      <c r="FW93" s="316">
        <v>795087.54</v>
      </c>
      <c r="FX93" s="316"/>
      <c r="FY93" s="316"/>
      <c r="FZ93" s="316"/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2194236.0299999998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>
        <v>1211715.27</v>
      </c>
      <c r="FT97" s="316">
        <v>1425211.49</v>
      </c>
      <c r="FU97" s="316">
        <v>5065576.53</v>
      </c>
      <c r="FV97" s="316">
        <v>1512180.75</v>
      </c>
      <c r="FW97" s="316">
        <v>2801785.17</v>
      </c>
      <c r="FX97" s="316"/>
      <c r="FY97" s="316"/>
      <c r="FZ97" s="316"/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f>693433.59-99772.52</f>
        <v>593661.06999999995</v>
      </c>
      <c r="FG101" s="316">
        <f>3354189.3-169766.85</f>
        <v>3184422.4499999997</v>
      </c>
      <c r="FH101" s="316">
        <f>2292294.35-380700.43</f>
        <v>1911593.9200000002</v>
      </c>
      <c r="FI101" s="316">
        <f>5377993.49-317617.32</f>
        <v>5060376.17</v>
      </c>
      <c r="FJ101" s="316">
        <f>2113701.01-322036.33</f>
        <v>1791664.6799999997</v>
      </c>
      <c r="FK101" s="316">
        <f>4480934.04-861588.43</f>
        <v>3619345.61</v>
      </c>
      <c r="FL101" s="368">
        <f>3827386.53-392905.38</f>
        <v>3434481.15</v>
      </c>
      <c r="FM101" s="316">
        <f>4013042.17-500300.19</f>
        <v>3512741.98</v>
      </c>
      <c r="FN101" s="316">
        <f>4099694.74-1475938.62</f>
        <v>2623756.12</v>
      </c>
      <c r="FO101" s="316">
        <f>3042856.49-357345.66</f>
        <v>2685510.83</v>
      </c>
      <c r="FP101" s="316">
        <f>3173787.81-398911.38</f>
        <v>2774876.43</v>
      </c>
      <c r="FQ101" s="316">
        <f>13550254.87-5858623.94</f>
        <v>7691630.9299999988</v>
      </c>
      <c r="FR101" s="316">
        <v>1397051.29</v>
      </c>
      <c r="FS101" s="316">
        <v>3848578.53</v>
      </c>
      <c r="FT101" s="316">
        <v>3215082.08</v>
      </c>
      <c r="FU101" s="316">
        <v>3945513.03</v>
      </c>
      <c r="FV101" s="316">
        <v>3372954.89</v>
      </c>
      <c r="FW101" s="316">
        <v>6448024.2599999998</v>
      </c>
      <c r="FX101" s="316"/>
      <c r="FY101" s="316"/>
      <c r="FZ101" s="316"/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6410465.4699999997</v>
      </c>
      <c r="FK112" s="316">
        <v>6536921.0899999999</v>
      </c>
      <c r="FL112" s="368">
        <v>6798455.0999999996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>
        <v>7174722.5199999996</v>
      </c>
      <c r="FT112" s="316">
        <v>6752335.3300000001</v>
      </c>
      <c r="FU112" s="316">
        <v>6378584.3399999999</v>
      </c>
      <c r="FV112" s="316">
        <v>5976072.2199999997</v>
      </c>
      <c r="FW112" s="316">
        <v>6185136.4800000004</v>
      </c>
      <c r="FX112" s="316"/>
      <c r="FY112" s="316"/>
      <c r="FZ112" s="316"/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807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6205235.9000000004</v>
      </c>
      <c r="FR121" s="316">
        <v>54255.6</v>
      </c>
      <c r="FS121" s="316">
        <v>1607182</v>
      </c>
      <c r="FT121" s="316">
        <v>1602703.45</v>
      </c>
      <c r="FU121" s="316">
        <v>1448885.74</v>
      </c>
      <c r="FV121" s="316">
        <v>1413828.93</v>
      </c>
      <c r="FW121" s="316">
        <v>1505135.2</v>
      </c>
      <c r="FX121" s="316"/>
      <c r="FY121" s="316"/>
      <c r="FZ121" s="316"/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69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35530204.509999998</v>
      </c>
      <c r="FH127" s="316">
        <v>35281542.840000004</v>
      </c>
      <c r="FI127" s="316">
        <v>35247727.210000001</v>
      </c>
      <c r="FJ127" s="316">
        <v>34782667.030000001</v>
      </c>
      <c r="FK127" s="316">
        <v>35185457.75</v>
      </c>
      <c r="FL127" s="369">
        <v>35081479.57</v>
      </c>
      <c r="FM127" s="316">
        <v>35015667.189999998</v>
      </c>
      <c r="FN127" s="316">
        <v>35023295.399999999</v>
      </c>
      <c r="FO127" s="316">
        <v>34921729.93</v>
      </c>
      <c r="FP127" s="316">
        <v>35000424.549999997</v>
      </c>
      <c r="FQ127" s="369">
        <v>35337455.140000001</v>
      </c>
      <c r="FR127" s="316">
        <v>34875207.159999996</v>
      </c>
      <c r="FS127" s="316">
        <v>35344644.090000004</v>
      </c>
      <c r="FT127" s="316">
        <v>35520020</v>
      </c>
      <c r="FU127" s="316">
        <v>36212765.539999999</v>
      </c>
      <c r="FV127" s="369">
        <v>35322836.950000003</v>
      </c>
      <c r="FW127" s="316">
        <v>28226705.280000001</v>
      </c>
      <c r="FX127" s="316"/>
      <c r="FY127" s="316"/>
      <c r="FZ127" s="316"/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>
        <v>1831428.58</v>
      </c>
      <c r="FT135" s="316">
        <v>1595368.45</v>
      </c>
      <c r="FU135" s="316">
        <v>2107330.88</v>
      </c>
      <c r="FV135" s="316">
        <v>1443795.73</v>
      </c>
      <c r="FW135" s="316">
        <v>1963797.13</v>
      </c>
      <c r="FX135" s="316"/>
      <c r="FY135" s="316"/>
      <c r="FZ135" s="316"/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>
        <v>838710.44</v>
      </c>
      <c r="FT137" s="316">
        <v>906787.09</v>
      </c>
      <c r="FU137" s="316">
        <v>680647.83</v>
      </c>
      <c r="FV137" s="316">
        <v>705326.14</v>
      </c>
      <c r="FW137" s="316">
        <v>681524.78</v>
      </c>
      <c r="FX137" s="316"/>
      <c r="FY137" s="316"/>
      <c r="FZ137" s="316"/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14819789.789999999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>
        <v>23914749.120000001</v>
      </c>
      <c r="FT141" s="316">
        <v>31910693.890000001</v>
      </c>
      <c r="FU141" s="316">
        <v>17331295.199999999</v>
      </c>
      <c r="FV141" s="316">
        <v>15552980.33</v>
      </c>
      <c r="FW141" s="316">
        <v>18902264.34</v>
      </c>
      <c r="FX141" s="316"/>
      <c r="FY141" s="316"/>
      <c r="FZ141" s="316"/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>
        <v>16553117.15</v>
      </c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>
        <v>2077471.58</v>
      </c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796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26799713.309999999</v>
      </c>
      <c r="FG159" s="316">
        <v>4566174.7300000004</v>
      </c>
      <c r="FH159" s="316">
        <v>16026445.34</v>
      </c>
      <c r="FI159" s="316">
        <v>12709228.77</v>
      </c>
      <c r="FJ159" s="316">
        <v>12112655.92</v>
      </c>
      <c r="FK159" s="41">
        <v>14428455.43</v>
      </c>
      <c r="FL159" s="369">
        <v>24624860.789999999</v>
      </c>
      <c r="FM159" s="316">
        <v>41555733.579999998</v>
      </c>
      <c r="FN159" s="316">
        <v>16395443.43</v>
      </c>
      <c r="FO159" s="316">
        <v>29474002.559999999</v>
      </c>
      <c r="FP159" s="316">
        <v>24779663.789999999</v>
      </c>
      <c r="FQ159" s="316">
        <v>48910344.240000002</v>
      </c>
      <c r="FR159" s="316">
        <v>4153095.62</v>
      </c>
      <c r="FS159" s="316">
        <v>8919354.2899999991</v>
      </c>
      <c r="FT159" s="316">
        <v>13085415.970000001</v>
      </c>
      <c r="FU159" s="316">
        <v>17943688.25</v>
      </c>
      <c r="FV159" s="316">
        <v>15872563.539999999</v>
      </c>
      <c r="FW159" s="316">
        <v>24498023.93</v>
      </c>
      <c r="FX159" s="316"/>
      <c r="FY159" s="316"/>
      <c r="FZ159" s="316"/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/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>
        <v>277634</v>
      </c>
      <c r="FT169" s="316"/>
      <c r="FU169" s="316">
        <v>268014</v>
      </c>
      <c r="FV169" s="316">
        <v>5000</v>
      </c>
      <c r="FW169" s="316">
        <v>269846</v>
      </c>
      <c r="FX169" s="316"/>
      <c r="FY169" s="316"/>
      <c r="FZ169" s="316"/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>
        <v>54840868.399999999</v>
      </c>
      <c r="FT178" s="316">
        <v>1854849.15</v>
      </c>
      <c r="FU178" s="316">
        <v>1603895.49</v>
      </c>
      <c r="FV178" s="316">
        <v>1842278.41</v>
      </c>
      <c r="FW178" s="316">
        <v>2108350.36</v>
      </c>
      <c r="FX178" s="316"/>
      <c r="FY178" s="316"/>
      <c r="FZ178" s="316"/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>
        <v>10524954.35</v>
      </c>
      <c r="FT179" s="316">
        <v>330204648.48000002</v>
      </c>
      <c r="FU179" s="316">
        <v>15609634.58</v>
      </c>
      <c r="FV179" s="316">
        <v>9553316.6400000006</v>
      </c>
      <c r="FW179" s="316">
        <v>9938531.6699999999</v>
      </c>
      <c r="FX179" s="316"/>
      <c r="FY179" s="316"/>
      <c r="FZ179" s="316"/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1788599.55</v>
      </c>
      <c r="FJ183" s="316">
        <v>1469971.03</v>
      </c>
      <c r="FK183" s="316">
        <v>1848609.33</v>
      </c>
      <c r="FL183" s="368">
        <v>4446503.8099999996</v>
      </c>
      <c r="FM183" s="316">
        <v>903390.64</v>
      </c>
      <c r="FN183" s="316">
        <v>1579978.54</v>
      </c>
      <c r="FO183" s="316">
        <v>1269302.99</v>
      </c>
      <c r="FP183" s="316">
        <v>1244693.3799999999</v>
      </c>
      <c r="FQ183" s="316">
        <v>1794864.65</v>
      </c>
      <c r="FR183" s="316">
        <v>1234088.2</v>
      </c>
      <c r="FS183" s="316">
        <v>1922034.51</v>
      </c>
      <c r="FT183" s="316">
        <v>1368605.81</v>
      </c>
      <c r="FU183" s="316">
        <v>1039845.76</v>
      </c>
      <c r="FV183" s="316">
        <v>1116425.95</v>
      </c>
      <c r="FW183" s="316">
        <v>2055860.65</v>
      </c>
      <c r="FX183" s="316"/>
      <c r="FY183" s="316"/>
      <c r="FZ183" s="316"/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368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>
        <v>720000</v>
      </c>
      <c r="FT184" s="316">
        <v>117020</v>
      </c>
      <c r="FU184" s="316">
        <v>3138464.05</v>
      </c>
      <c r="FV184" s="316">
        <v>16941995.850000001</v>
      </c>
      <c r="FW184" s="316">
        <v>18264699.84</v>
      </c>
      <c r="FX184" s="316"/>
      <c r="FY184" s="316"/>
      <c r="FZ184" s="316"/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370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372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374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687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Izdaci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0">+CY190-CY191</f>
        <v>#REF!</v>
      </c>
      <c r="CZ192" s="101" t="e">
        <f t="shared" si="10"/>
        <v>#REF!</v>
      </c>
      <c r="DA192" s="101" t="e">
        <f t="shared" si="10"/>
        <v>#REF!</v>
      </c>
      <c r="DB192" s="101" t="e">
        <f t="shared" si="10"/>
        <v>#REF!</v>
      </c>
      <c r="DC192" s="101" t="e">
        <f t="shared" si="10"/>
        <v>#REF!</v>
      </c>
      <c r="DD192" s="101" t="e">
        <f t="shared" si="10"/>
        <v>#REF!</v>
      </c>
      <c r="DE192" s="101" t="e">
        <f t="shared" si="10"/>
        <v>#REF!</v>
      </c>
      <c r="DF192" s="101" t="e">
        <f t="shared" si="10"/>
        <v>#REF!</v>
      </c>
      <c r="DG192" s="101" t="e">
        <f t="shared" si="10"/>
        <v>#REF!</v>
      </c>
      <c r="DH192" s="101" t="e">
        <f t="shared" si="10"/>
        <v>#REF!</v>
      </c>
      <c r="DI192" s="101" t="e">
        <f t="shared" si="10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3" t="s">
        <v>678</v>
      </c>
      <c r="F214" s="591">
        <v>2006</v>
      </c>
      <c r="G214" s="590"/>
      <c r="H214" s="590"/>
      <c r="I214" s="590"/>
      <c r="J214" s="590"/>
      <c r="K214" s="590"/>
      <c r="L214" s="590"/>
      <c r="M214" s="590"/>
      <c r="N214" s="590"/>
      <c r="O214" s="590"/>
      <c r="P214" s="590"/>
      <c r="Q214" s="592"/>
      <c r="R214" s="591">
        <v>2007</v>
      </c>
      <c r="S214" s="590"/>
      <c r="T214" s="590"/>
      <c r="U214" s="590"/>
      <c r="V214" s="590"/>
      <c r="W214" s="590"/>
      <c r="X214" s="590"/>
      <c r="Y214" s="590"/>
      <c r="Z214" s="590"/>
      <c r="AA214" s="590"/>
      <c r="AB214" s="590"/>
      <c r="AC214" s="592"/>
      <c r="AD214" s="591">
        <v>2008</v>
      </c>
      <c r="AE214" s="590"/>
      <c r="AF214" s="590"/>
      <c r="AG214" s="590"/>
      <c r="AH214" s="590"/>
      <c r="AI214" s="590"/>
      <c r="AJ214" s="590"/>
      <c r="AK214" s="590"/>
      <c r="AL214" s="590"/>
      <c r="AM214" s="590"/>
      <c r="AN214" s="590"/>
      <c r="AO214" s="592"/>
      <c r="AP214" s="591">
        <v>2009</v>
      </c>
      <c r="AQ214" s="590"/>
      <c r="AR214" s="590"/>
      <c r="AS214" s="590"/>
      <c r="AT214" s="590"/>
      <c r="AU214" s="590"/>
      <c r="AV214" s="590"/>
      <c r="AW214" s="590"/>
      <c r="AX214" s="590"/>
      <c r="AY214" s="590"/>
      <c r="AZ214" s="590"/>
      <c r="BA214" s="592"/>
      <c r="BB214" s="591">
        <v>2010</v>
      </c>
      <c r="BC214" s="590"/>
      <c r="BD214" s="590"/>
      <c r="BE214" s="590"/>
      <c r="BF214" s="590"/>
      <c r="BG214" s="590"/>
      <c r="BH214" s="590"/>
      <c r="BI214" s="590"/>
      <c r="BJ214" s="590"/>
      <c r="BK214" s="590"/>
      <c r="BL214" s="590"/>
      <c r="BM214" s="592"/>
      <c r="BN214" s="591">
        <v>2011</v>
      </c>
      <c r="BO214" s="590"/>
      <c r="BP214" s="590"/>
      <c r="BQ214" s="590"/>
      <c r="BR214" s="590"/>
      <c r="BS214" s="590"/>
      <c r="BT214" s="590"/>
      <c r="BU214" s="590"/>
      <c r="BV214" s="590"/>
      <c r="BW214" s="590"/>
      <c r="BX214" s="590"/>
      <c r="BY214" s="592"/>
      <c r="BZ214" s="590">
        <v>2012</v>
      </c>
      <c r="CA214" s="590"/>
      <c r="CB214" s="590"/>
      <c r="CC214" s="590"/>
      <c r="CD214" s="590"/>
      <c r="CE214" s="590"/>
      <c r="CF214" s="590"/>
      <c r="CG214" s="590"/>
      <c r="CH214" s="590"/>
      <c r="CI214" s="590"/>
      <c r="CJ214" s="590"/>
      <c r="CK214" s="590"/>
      <c r="CL214" s="591">
        <v>2013</v>
      </c>
      <c r="CM214" s="590"/>
      <c r="CN214" s="590"/>
      <c r="CO214" s="590"/>
      <c r="CP214" s="590"/>
      <c r="CQ214" s="590"/>
      <c r="CR214" s="590"/>
      <c r="CS214" s="590"/>
      <c r="CT214" s="590"/>
      <c r="CU214" s="590"/>
      <c r="CV214" s="590"/>
      <c r="CW214" s="592"/>
      <c r="CX214" s="591">
        <v>2014</v>
      </c>
      <c r="CY214" s="590"/>
      <c r="CZ214" s="590"/>
      <c r="DA214" s="590"/>
      <c r="DB214" s="590"/>
      <c r="DC214" s="590"/>
      <c r="DD214" s="590"/>
      <c r="DE214" s="590"/>
      <c r="DF214" s="590"/>
      <c r="DG214" s="590"/>
      <c r="DH214" s="590"/>
      <c r="DI214" s="592"/>
      <c r="DJ214" s="591">
        <v>2015</v>
      </c>
      <c r="DK214" s="590"/>
      <c r="DL214" s="590"/>
      <c r="DM214" s="590"/>
      <c r="DN214" s="590"/>
      <c r="DO214" s="590"/>
      <c r="DP214" s="590"/>
      <c r="DQ214" s="590"/>
      <c r="DR214" s="590"/>
      <c r="DS214" s="590"/>
      <c r="DT214" s="590"/>
      <c r="DU214" s="592"/>
    </row>
    <row r="215" spans="1:187">
      <c r="E215" s="593"/>
      <c r="F215" s="73" t="s">
        <v>558</v>
      </c>
      <c r="G215" s="74" t="s">
        <v>559</v>
      </c>
      <c r="H215" s="74" t="s">
        <v>560</v>
      </c>
      <c r="I215" s="74" t="s">
        <v>561</v>
      </c>
      <c r="J215" s="74" t="s">
        <v>562</v>
      </c>
      <c r="K215" s="74" t="s">
        <v>563</v>
      </c>
      <c r="L215" s="74" t="s">
        <v>564</v>
      </c>
      <c r="M215" s="74" t="s">
        <v>565</v>
      </c>
      <c r="N215" s="74" t="s">
        <v>566</v>
      </c>
      <c r="O215" s="74" t="s">
        <v>567</v>
      </c>
      <c r="P215" s="74" t="s">
        <v>568</v>
      </c>
      <c r="Q215" s="75" t="s">
        <v>569</v>
      </c>
      <c r="R215" s="73" t="s">
        <v>570</v>
      </c>
      <c r="S215" s="74" t="s">
        <v>571</v>
      </c>
      <c r="T215" s="74" t="s">
        <v>572</v>
      </c>
      <c r="U215" s="74" t="s">
        <v>573</v>
      </c>
      <c r="V215" s="74" t="s">
        <v>574</v>
      </c>
      <c r="W215" s="74" t="s">
        <v>575</v>
      </c>
      <c r="X215" s="74" t="s">
        <v>576</v>
      </c>
      <c r="Y215" s="74" t="s">
        <v>577</v>
      </c>
      <c r="Z215" s="74" t="s">
        <v>578</v>
      </c>
      <c r="AA215" s="74" t="s">
        <v>579</v>
      </c>
      <c r="AB215" s="74" t="s">
        <v>580</v>
      </c>
      <c r="AC215" s="75" t="s">
        <v>581</v>
      </c>
      <c r="AD215" s="73" t="s">
        <v>582</v>
      </c>
      <c r="AE215" s="74" t="s">
        <v>583</v>
      </c>
      <c r="AF215" s="74" t="s">
        <v>584</v>
      </c>
      <c r="AG215" s="74" t="s">
        <v>585</v>
      </c>
      <c r="AH215" s="74" t="s">
        <v>586</v>
      </c>
      <c r="AI215" s="74" t="s">
        <v>587</v>
      </c>
      <c r="AJ215" s="74" t="s">
        <v>588</v>
      </c>
      <c r="AK215" s="74" t="s">
        <v>589</v>
      </c>
      <c r="AL215" s="74" t="s">
        <v>590</v>
      </c>
      <c r="AM215" s="74" t="s">
        <v>591</v>
      </c>
      <c r="AN215" s="74" t="s">
        <v>592</v>
      </c>
      <c r="AO215" s="75" t="s">
        <v>593</v>
      </c>
      <c r="AP215" s="73" t="s">
        <v>594</v>
      </c>
      <c r="AQ215" s="74" t="s">
        <v>595</v>
      </c>
      <c r="AR215" s="74" t="s">
        <v>596</v>
      </c>
      <c r="AS215" s="74" t="s">
        <v>597</v>
      </c>
      <c r="AT215" s="74" t="s">
        <v>598</v>
      </c>
      <c r="AU215" s="74" t="s">
        <v>599</v>
      </c>
      <c r="AV215" s="74" t="s">
        <v>600</v>
      </c>
      <c r="AW215" s="74" t="s">
        <v>601</v>
      </c>
      <c r="AX215" s="74" t="s">
        <v>602</v>
      </c>
      <c r="AY215" s="74" t="s">
        <v>603</v>
      </c>
      <c r="AZ215" s="74" t="s">
        <v>604</v>
      </c>
      <c r="BA215" s="75" t="s">
        <v>605</v>
      </c>
      <c r="BB215" s="73" t="s">
        <v>606</v>
      </c>
      <c r="BC215" s="74" t="s">
        <v>607</v>
      </c>
      <c r="BD215" s="74" t="s">
        <v>608</v>
      </c>
      <c r="BE215" s="74" t="s">
        <v>609</v>
      </c>
      <c r="BF215" s="74" t="s">
        <v>610</v>
      </c>
      <c r="BG215" s="74" t="s">
        <v>611</v>
      </c>
      <c r="BH215" s="74" t="s">
        <v>612</v>
      </c>
      <c r="BI215" s="74" t="s">
        <v>613</v>
      </c>
      <c r="BJ215" s="74" t="s">
        <v>614</v>
      </c>
      <c r="BK215" s="74" t="s">
        <v>615</v>
      </c>
      <c r="BL215" s="74" t="s">
        <v>616</v>
      </c>
      <c r="BM215" s="75" t="s">
        <v>617</v>
      </c>
      <c r="BN215" s="73" t="s">
        <v>618</v>
      </c>
      <c r="BO215" s="74" t="s">
        <v>619</v>
      </c>
      <c r="BP215" s="74" t="s">
        <v>620</v>
      </c>
      <c r="BQ215" s="74" t="s">
        <v>621</v>
      </c>
      <c r="BR215" s="74" t="s">
        <v>622</v>
      </c>
      <c r="BS215" s="74" t="s">
        <v>623</v>
      </c>
      <c r="BT215" s="74" t="s">
        <v>624</v>
      </c>
      <c r="BU215" s="74" t="s">
        <v>625</v>
      </c>
      <c r="BV215" s="74" t="s">
        <v>626</v>
      </c>
      <c r="BW215" s="74" t="s">
        <v>627</v>
      </c>
      <c r="BX215" s="74" t="s">
        <v>628</v>
      </c>
      <c r="BY215" s="75" t="s">
        <v>629</v>
      </c>
      <c r="BZ215" s="74" t="s">
        <v>630</v>
      </c>
      <c r="CA215" s="74" t="s">
        <v>631</v>
      </c>
      <c r="CB215" s="74" t="s">
        <v>632</v>
      </c>
      <c r="CC215" s="74" t="s">
        <v>633</v>
      </c>
      <c r="CD215" s="74" t="s">
        <v>634</v>
      </c>
      <c r="CE215" s="74" t="s">
        <v>635</v>
      </c>
      <c r="CF215" s="74" t="s">
        <v>636</v>
      </c>
      <c r="CG215" s="74" t="s">
        <v>637</v>
      </c>
      <c r="CH215" s="74" t="s">
        <v>638</v>
      </c>
      <c r="CI215" s="74" t="s">
        <v>639</v>
      </c>
      <c r="CJ215" s="74" t="s">
        <v>640</v>
      </c>
      <c r="CK215" s="74" t="s">
        <v>641</v>
      </c>
      <c r="CL215" s="73" t="s">
        <v>642</v>
      </c>
      <c r="CM215" s="74" t="s">
        <v>643</v>
      </c>
      <c r="CN215" s="74" t="s">
        <v>644</v>
      </c>
      <c r="CO215" s="74" t="s">
        <v>645</v>
      </c>
      <c r="CP215" s="74" t="s">
        <v>646</v>
      </c>
      <c r="CQ215" s="74" t="s">
        <v>647</v>
      </c>
      <c r="CR215" s="74" t="s">
        <v>648</v>
      </c>
      <c r="CS215" s="74" t="s">
        <v>649</v>
      </c>
      <c r="CT215" s="74" t="s">
        <v>650</v>
      </c>
      <c r="CU215" s="74" t="s">
        <v>651</v>
      </c>
      <c r="CV215" s="74" t="s">
        <v>652</v>
      </c>
      <c r="CW215" s="75" t="s">
        <v>653</v>
      </c>
      <c r="CX215" s="73" t="s">
        <v>654</v>
      </c>
      <c r="CY215" s="74" t="s">
        <v>655</v>
      </c>
      <c r="CZ215" s="74" t="s">
        <v>656</v>
      </c>
      <c r="DA215" s="74" t="s">
        <v>657</v>
      </c>
      <c r="DB215" s="74" t="s">
        <v>658</v>
      </c>
      <c r="DC215" s="74" t="s">
        <v>659</v>
      </c>
      <c r="DD215" s="74" t="s">
        <v>660</v>
      </c>
      <c r="DE215" s="74" t="s">
        <v>661</v>
      </c>
      <c r="DF215" s="74" t="s">
        <v>662</v>
      </c>
      <c r="DG215" s="74" t="s">
        <v>663</v>
      </c>
      <c r="DH215" s="74" t="s">
        <v>664</v>
      </c>
      <c r="DI215" s="75" t="s">
        <v>665</v>
      </c>
      <c r="DJ215" s="73" t="s">
        <v>666</v>
      </c>
      <c r="DK215" s="74" t="s">
        <v>667</v>
      </c>
      <c r="DL215" s="74" t="s">
        <v>668</v>
      </c>
      <c r="DM215" s="74" t="s">
        <v>669</v>
      </c>
      <c r="DN215" s="74" t="s">
        <v>670</v>
      </c>
      <c r="DO215" s="74" t="s">
        <v>671</v>
      </c>
      <c r="DP215" s="74" t="s">
        <v>672</v>
      </c>
      <c r="DQ215" s="74" t="s">
        <v>673</v>
      </c>
      <c r="DR215" s="74" t="s">
        <v>674</v>
      </c>
      <c r="DS215" s="74" t="s">
        <v>675</v>
      </c>
      <c r="DT215" s="74" t="s">
        <v>676</v>
      </c>
      <c r="DU215" s="75" t="s">
        <v>677</v>
      </c>
      <c r="DV215" s="42" t="s">
        <v>707</v>
      </c>
      <c r="DW215" s="42" t="s">
        <v>708</v>
      </c>
      <c r="DX215" s="42" t="s">
        <v>709</v>
      </c>
      <c r="DY215" s="42" t="s">
        <v>710</v>
      </c>
      <c r="DZ215" s="42" t="s">
        <v>711</v>
      </c>
      <c r="EA215" s="42" t="s">
        <v>712</v>
      </c>
      <c r="EB215" s="42" t="s">
        <v>713</v>
      </c>
      <c r="EC215" s="42" t="s">
        <v>714</v>
      </c>
      <c r="ED215" s="42" t="s">
        <v>715</v>
      </c>
      <c r="EE215" s="42" t="s">
        <v>716</v>
      </c>
      <c r="EF215" s="42" t="s">
        <v>717</v>
      </c>
      <c r="EG215" s="42" t="s">
        <v>718</v>
      </c>
      <c r="EH215" s="331" t="s">
        <v>726</v>
      </c>
      <c r="EI215" s="331" t="s">
        <v>727</v>
      </c>
      <c r="EJ215" s="331" t="s">
        <v>728</v>
      </c>
      <c r="EK215" s="331" t="s">
        <v>729</v>
      </c>
      <c r="EL215" s="331" t="s">
        <v>730</v>
      </c>
      <c r="EM215" s="331" t="s">
        <v>731</v>
      </c>
      <c r="EN215" s="331" t="s">
        <v>732</v>
      </c>
      <c r="EO215" s="331" t="s">
        <v>733</v>
      </c>
      <c r="EP215" s="331" t="s">
        <v>734</v>
      </c>
      <c r="EQ215" s="331" t="s">
        <v>735</v>
      </c>
      <c r="ER215" s="331" t="s">
        <v>736</v>
      </c>
      <c r="ES215" s="331" t="s">
        <v>737</v>
      </c>
      <c r="ET215" s="331" t="s">
        <v>744</v>
      </c>
      <c r="EU215" s="331" t="s">
        <v>745</v>
      </c>
      <c r="EV215" s="331" t="s">
        <v>746</v>
      </c>
      <c r="EW215" s="331" t="s">
        <v>747</v>
      </c>
      <c r="EX215" s="331" t="s">
        <v>748</v>
      </c>
      <c r="EY215" s="331" t="s">
        <v>749</v>
      </c>
      <c r="EZ215" s="331" t="s">
        <v>750</v>
      </c>
      <c r="FA215" s="331" t="s">
        <v>751</v>
      </c>
      <c r="FB215" s="331" t="s">
        <v>752</v>
      </c>
      <c r="FC215" s="331" t="s">
        <v>753</v>
      </c>
      <c r="FD215" s="331" t="s">
        <v>754</v>
      </c>
      <c r="FE215" s="331" t="s">
        <v>755</v>
      </c>
      <c r="FF215" s="331" t="s">
        <v>761</v>
      </c>
      <c r="FG215" s="331" t="s">
        <v>762</v>
      </c>
      <c r="FH215" s="331" t="s">
        <v>763</v>
      </c>
      <c r="FI215" s="331" t="s">
        <v>764</v>
      </c>
      <c r="FJ215" s="331" t="s">
        <v>765</v>
      </c>
      <c r="FK215" s="331" t="s">
        <v>766</v>
      </c>
      <c r="FL215" s="331" t="s">
        <v>767</v>
      </c>
      <c r="FM215" s="331" t="s">
        <v>768</v>
      </c>
      <c r="FN215" s="331" t="s">
        <v>769</v>
      </c>
      <c r="FO215" s="331" t="s">
        <v>770</v>
      </c>
      <c r="FP215" s="331" t="s">
        <v>771</v>
      </c>
      <c r="FQ215" s="331" t="s">
        <v>772</v>
      </c>
      <c r="FR215" s="41" t="s">
        <v>782</v>
      </c>
      <c r="FS215" s="364" t="s">
        <v>783</v>
      </c>
      <c r="FT215" s="41" t="s">
        <v>784</v>
      </c>
      <c r="FU215" s="41" t="s">
        <v>785</v>
      </c>
      <c r="FV215" s="41" t="s">
        <v>786</v>
      </c>
      <c r="FW215" s="41" t="s">
        <v>787</v>
      </c>
      <c r="FX215" s="41" t="s">
        <v>788</v>
      </c>
      <c r="FY215" s="41" t="s">
        <v>789</v>
      </c>
      <c r="FZ215" s="41" t="s">
        <v>790</v>
      </c>
      <c r="GA215" s="41" t="s">
        <v>791</v>
      </c>
      <c r="GB215" s="41" t="s">
        <v>792</v>
      </c>
      <c r="GC215" s="41" t="s">
        <v>793</v>
      </c>
    </row>
    <row r="216" spans="1:187">
      <c r="A216" s="72">
        <v>7</v>
      </c>
      <c r="B216" s="72" t="s">
        <v>94</v>
      </c>
      <c r="D216" s="72" t="str">
        <f t="shared" ref="D216:D224" si="11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2">+DJ217+DJ249+DJ252+DJ255+DJ259</f>
        <v>122551260.24287842</v>
      </c>
      <c r="DK216" s="267">
        <f t="shared" si="12"/>
        <v>136159563.39454627</v>
      </c>
      <c r="DL216" s="101">
        <f t="shared" si="12"/>
        <v>153914910.29907674</v>
      </c>
      <c r="DM216" s="101">
        <f t="shared" si="12"/>
        <v>163708472.43183026</v>
      </c>
      <c r="DN216" s="101">
        <f t="shared" si="12"/>
        <v>156781589.98980972</v>
      </c>
      <c r="DO216" s="101">
        <f t="shared" si="12"/>
        <v>165239010.35287622</v>
      </c>
      <c r="DP216" s="101">
        <f t="shared" si="12"/>
        <v>177558111.71591145</v>
      </c>
      <c r="DQ216" s="101">
        <f t="shared" si="12"/>
        <v>182756941.75310284</v>
      </c>
      <c r="DR216" s="101">
        <f t="shared" si="12"/>
        <v>174439167.43655851</v>
      </c>
      <c r="DS216" s="101">
        <f t="shared" si="12"/>
        <v>168685078.52847385</v>
      </c>
      <c r="DT216" s="101">
        <f t="shared" si="12"/>
        <v>153670608.50422055</v>
      </c>
      <c r="DU216" s="102">
        <f t="shared" si="12"/>
        <v>207796185.84071553</v>
      </c>
      <c r="DV216" s="284">
        <f t="shared" ref="DV216:ES216" si="13">DV217+DV249+DV259</f>
        <v>128850563.59659526</v>
      </c>
      <c r="DW216" s="284">
        <f t="shared" si="13"/>
        <v>146614404.76445901</v>
      </c>
      <c r="DX216" s="284">
        <f t="shared" si="13"/>
        <v>163468653.87502012</v>
      </c>
      <c r="DY216" s="284">
        <f t="shared" si="13"/>
        <v>175371539.58759058</v>
      </c>
      <c r="DZ216" s="284">
        <f t="shared" si="13"/>
        <v>164767421.70767844</v>
      </c>
      <c r="EA216" s="284">
        <f t="shared" si="13"/>
        <v>180014582.75346881</v>
      </c>
      <c r="EB216" s="284">
        <f t="shared" si="13"/>
        <v>195825830.75993624</v>
      </c>
      <c r="EC216" s="284">
        <f t="shared" si="13"/>
        <v>197931941.23618484</v>
      </c>
      <c r="ED216" s="284">
        <f t="shared" si="13"/>
        <v>188242241.54629749</v>
      </c>
      <c r="EE216" s="284">
        <f t="shared" si="13"/>
        <v>198826191.33020011</v>
      </c>
      <c r="EF216" s="284">
        <f t="shared" si="13"/>
        <v>162119388.44968379</v>
      </c>
      <c r="EG216" s="284">
        <f t="shared" si="13"/>
        <v>223583117.22288498</v>
      </c>
      <c r="EH216" s="284">
        <f t="shared" si="13"/>
        <v>109927912.88314301</v>
      </c>
      <c r="EI216" s="284">
        <f t="shared" si="13"/>
        <v>139988884.7104401</v>
      </c>
      <c r="EJ216" s="284">
        <f t="shared" si="13"/>
        <v>168619244.90199408</v>
      </c>
      <c r="EK216" s="284">
        <f t="shared" si="13"/>
        <v>161064908.13011798</v>
      </c>
      <c r="EL216" s="284">
        <f t="shared" si="13"/>
        <v>157187778.36459905</v>
      </c>
      <c r="EM216" s="284">
        <f t="shared" si="13"/>
        <v>173103498.61527026</v>
      </c>
      <c r="EN216" s="284">
        <f t="shared" si="13"/>
        <v>173549199.05869666</v>
      </c>
      <c r="EO216" s="284">
        <f t="shared" si="13"/>
        <v>189139313.24435988</v>
      </c>
      <c r="EP216" s="284">
        <f t="shared" si="13"/>
        <v>182820453.81019896</v>
      </c>
      <c r="EQ216" s="284">
        <f t="shared" si="13"/>
        <v>169544272.17165217</v>
      </c>
      <c r="ER216" s="284">
        <f t="shared" si="13"/>
        <v>161107751.27361044</v>
      </c>
      <c r="ES216" s="284">
        <f t="shared" si="13"/>
        <v>219737269.93309948</v>
      </c>
    </row>
    <row r="217" spans="1:187">
      <c r="B217" s="72">
        <v>71</v>
      </c>
      <c r="D217" s="72" t="str">
        <f t="shared" si="11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4">DV218+DV227+DV232+DV237+DV244+DV252+DV255</f>
        <v>73254807.508548588</v>
      </c>
      <c r="DW217" s="284">
        <f t="shared" si="14"/>
        <v>91018648.676412344</v>
      </c>
      <c r="DX217" s="284">
        <f t="shared" si="14"/>
        <v>107872897.78697345</v>
      </c>
      <c r="DY217" s="284">
        <f t="shared" si="14"/>
        <v>119775783.49954391</v>
      </c>
      <c r="DZ217" s="284">
        <f t="shared" si="14"/>
        <v>109171665.61963177</v>
      </c>
      <c r="EA217" s="284">
        <f t="shared" si="14"/>
        <v>124418826.66542214</v>
      </c>
      <c r="EB217" s="284">
        <f t="shared" si="14"/>
        <v>140230074.67188957</v>
      </c>
      <c r="EC217" s="284">
        <f t="shared" si="14"/>
        <v>142336185.14813817</v>
      </c>
      <c r="ED217" s="284">
        <f t="shared" si="14"/>
        <v>132646485.45825082</v>
      </c>
      <c r="EE217" s="284">
        <f t="shared" si="14"/>
        <v>143230435.24215344</v>
      </c>
      <c r="EF217" s="284">
        <f t="shared" si="14"/>
        <v>106523632.36163713</v>
      </c>
      <c r="EG217" s="284">
        <f t="shared" si="14"/>
        <v>167987361.13483831</v>
      </c>
      <c r="EH217" s="284">
        <f t="shared" si="14"/>
        <v>72080094.246903852</v>
      </c>
      <c r="EI217" s="284">
        <f t="shared" si="14"/>
        <v>102141066.07420093</v>
      </c>
      <c r="EJ217" s="284">
        <f t="shared" si="14"/>
        <v>130771426.26575491</v>
      </c>
      <c r="EK217" s="284">
        <f t="shared" si="14"/>
        <v>123217089.49387881</v>
      </c>
      <c r="EL217" s="284">
        <f t="shared" si="14"/>
        <v>119339959.72835988</v>
      </c>
      <c r="EM217" s="284">
        <f t="shared" si="14"/>
        <v>135255679.97903109</v>
      </c>
      <c r="EN217" s="284">
        <f t="shared" si="14"/>
        <v>135701380.42245749</v>
      </c>
      <c r="EO217" s="284">
        <f t="shared" si="14"/>
        <v>151291494.60812071</v>
      </c>
      <c r="EP217" s="284">
        <f t="shared" si="14"/>
        <v>144972635.17395979</v>
      </c>
      <c r="EQ217" s="284">
        <f t="shared" si="14"/>
        <v>131696453.535413</v>
      </c>
      <c r="ER217" s="284">
        <f t="shared" si="14"/>
        <v>123259932.63737127</v>
      </c>
      <c r="ES217" s="284">
        <f t="shared" si="14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1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15">+SUM(CL219:CL226)</f>
        <v>41686253.110737316</v>
      </c>
      <c r="CM218" s="121">
        <f t="shared" si="15"/>
        <v>40855853.79586979</v>
      </c>
      <c r="CN218" s="121">
        <f t="shared" si="15"/>
        <v>48871129.289274208</v>
      </c>
      <c r="CO218" s="121">
        <f t="shared" si="15"/>
        <v>63044978.667560622</v>
      </c>
      <c r="CP218" s="121">
        <f t="shared" si="15"/>
        <v>59903018.246625409</v>
      </c>
      <c r="CQ218" s="121">
        <f t="shared" si="15"/>
        <v>65474825.471494481</v>
      </c>
      <c r="CR218" s="121">
        <f t="shared" si="15"/>
        <v>71410525.13479729</v>
      </c>
      <c r="CS218" s="121">
        <f t="shared" si="15"/>
        <v>66453623.073847495</v>
      </c>
      <c r="CT218" s="121">
        <f t="shared" si="15"/>
        <v>65790416.568190843</v>
      </c>
      <c r="CU218" s="121">
        <f t="shared" si="15"/>
        <v>63302926.264795646</v>
      </c>
      <c r="CV218" s="121">
        <f t="shared" si="15"/>
        <v>56224451.677824281</v>
      </c>
      <c r="CW218" s="122">
        <f t="shared" si="15"/>
        <v>57412527.94082702</v>
      </c>
      <c r="CX218" s="120">
        <f t="shared" si="15"/>
        <v>46630073.989835031</v>
      </c>
      <c r="CY218" s="121">
        <f t="shared" ref="CY218:DI218" si="16">+SUM(CY219:CY226)</f>
        <v>47737456.241611488</v>
      </c>
      <c r="CZ218" s="121">
        <f t="shared" si="16"/>
        <v>55661924.949411348</v>
      </c>
      <c r="DA218" s="121">
        <f t="shared" si="16"/>
        <v>73380169.878103226</v>
      </c>
      <c r="DB218" s="121">
        <f t="shared" si="16"/>
        <v>63336581.53084594</v>
      </c>
      <c r="DC218" s="121">
        <f t="shared" si="16"/>
        <v>68150867.818816096</v>
      </c>
      <c r="DD218" s="121">
        <f t="shared" si="16"/>
        <v>80502115.642067581</v>
      </c>
      <c r="DE218" s="121">
        <f t="shared" si="16"/>
        <v>83661776.550335452</v>
      </c>
      <c r="DF218" s="121">
        <f t="shared" si="16"/>
        <v>77286158.272165686</v>
      </c>
      <c r="DG218" s="121">
        <f t="shared" si="16"/>
        <v>64936637.53359136</v>
      </c>
      <c r="DH218" s="121">
        <f t="shared" si="16"/>
        <v>59626792.723406494</v>
      </c>
      <c r="DI218" s="122">
        <f t="shared" si="16"/>
        <v>76918346.229341179</v>
      </c>
      <c r="DJ218" s="120">
        <f>+SUM(DJ219:DJ226)</f>
        <v>47438461.833814912</v>
      </c>
      <c r="DK218" s="280">
        <f t="shared" ref="DK218:DU218" si="17">+SUM(DK219:DK226)</f>
        <v>48051254.173922725</v>
      </c>
      <c r="DL218" s="121">
        <f t="shared" si="17"/>
        <v>68643020.701511934</v>
      </c>
      <c r="DM218" s="121">
        <f t="shared" si="17"/>
        <v>74644324.702040896</v>
      </c>
      <c r="DN218" s="121">
        <f t="shared" si="17"/>
        <v>62371540.361953884</v>
      </c>
      <c r="DO218" s="121">
        <f t="shared" si="17"/>
        <v>70088728.880090371</v>
      </c>
      <c r="DP218" s="121">
        <f t="shared" si="17"/>
        <v>83389342.293927491</v>
      </c>
      <c r="DQ218" s="121">
        <f t="shared" si="17"/>
        <v>87963080.772664562</v>
      </c>
      <c r="DR218" s="121">
        <f t="shared" si="17"/>
        <v>80794946.466777354</v>
      </c>
      <c r="DS218" s="121">
        <f t="shared" si="17"/>
        <v>70587663.849750429</v>
      </c>
      <c r="DT218" s="121">
        <f t="shared" si="17"/>
        <v>60436221.191738874</v>
      </c>
      <c r="DU218" s="122">
        <f t="shared" si="17"/>
        <v>78264034.341148108</v>
      </c>
      <c r="DV218" s="285">
        <f>SUM(DV219:DV226)</f>
        <v>48519296.02748242</v>
      </c>
      <c r="DW218" s="285">
        <f t="shared" ref="DW218:ES218" si="18">SUM(DW219:DW226)</f>
        <v>51347232.904158622</v>
      </c>
      <c r="DX218" s="285">
        <f t="shared" si="18"/>
        <v>65011100.969904706</v>
      </c>
      <c r="DY218" s="285">
        <f t="shared" si="18"/>
        <v>75093253.280867532</v>
      </c>
      <c r="DZ218" s="285">
        <f t="shared" si="18"/>
        <v>64376516.948674828</v>
      </c>
      <c r="EA218" s="285">
        <f t="shared" si="18"/>
        <v>71906788.704869837</v>
      </c>
      <c r="EB218" s="285">
        <f t="shared" si="18"/>
        <v>84224318.482175812</v>
      </c>
      <c r="EC218" s="285">
        <f t="shared" si="18"/>
        <v>88333743.072993502</v>
      </c>
      <c r="ED218" s="285">
        <f t="shared" si="18"/>
        <v>82494871.783352494</v>
      </c>
      <c r="EE218" s="285">
        <f t="shared" si="18"/>
        <v>82511282.288320467</v>
      </c>
      <c r="EF218" s="285">
        <f t="shared" si="18"/>
        <v>60879285.246393085</v>
      </c>
      <c r="EG218" s="285">
        <f t="shared" si="18"/>
        <v>73552702.357222885</v>
      </c>
      <c r="EH218" s="285">
        <f>SUM(EH219:EH226)</f>
        <v>53393011.197744071</v>
      </c>
      <c r="EI218" s="285">
        <f t="shared" si="18"/>
        <v>59298498.751362592</v>
      </c>
      <c r="EJ218" s="285">
        <f t="shared" si="18"/>
        <v>79240240.613968194</v>
      </c>
      <c r="EK218" s="285">
        <f t="shared" si="18"/>
        <v>76769826.71535778</v>
      </c>
      <c r="EL218" s="285">
        <f t="shared" si="18"/>
        <v>72284574.424425364</v>
      </c>
      <c r="EM218" s="285">
        <f t="shared" si="18"/>
        <v>82867820.454024225</v>
      </c>
      <c r="EN218" s="285">
        <f t="shared" si="18"/>
        <v>90215653.451355755</v>
      </c>
      <c r="EO218" s="285">
        <f t="shared" si="18"/>
        <v>102091916.6793773</v>
      </c>
      <c r="EP218" s="285">
        <f t="shared" si="18"/>
        <v>90311561.121648863</v>
      </c>
      <c r="EQ218" s="285">
        <f t="shared" si="18"/>
        <v>81590409.643190965</v>
      </c>
      <c r="ER218" s="285">
        <f t="shared" si="18"/>
        <v>71104013.719024956</v>
      </c>
      <c r="ES218" s="285">
        <f t="shared" si="18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2">
        <v>73320205.209999993</v>
      </c>
      <c r="FS218" s="452">
        <v>69683087.399999991</v>
      </c>
      <c r="FT218" s="452">
        <v>105613736.66000001</v>
      </c>
      <c r="FU218" s="452">
        <v>83521974.920000002</v>
      </c>
      <c r="FV218" s="452">
        <v>69752758.120000005</v>
      </c>
      <c r="FW218" s="452">
        <v>82125472.672907159</v>
      </c>
      <c r="FX218" s="452">
        <v>97440527.99295114</v>
      </c>
      <c r="FY218" s="452">
        <v>102835982.17822319</v>
      </c>
      <c r="FZ218" s="452">
        <v>99861898.573637322</v>
      </c>
      <c r="GA218" s="452">
        <v>96098494.299763739</v>
      </c>
      <c r="GB218" s="452">
        <v>81549422.466298312</v>
      </c>
      <c r="GC218" s="452">
        <v>93633799.201363876</v>
      </c>
      <c r="GE218" s="445">
        <f>SUM(FR218:GD218)</f>
        <v>1055437359.695145</v>
      </c>
    </row>
    <row r="219" spans="1:187">
      <c r="D219" s="72" t="str">
        <f t="shared" si="11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4317755.12</v>
      </c>
      <c r="FS219" s="263">
        <v>9514934.0399999991</v>
      </c>
      <c r="FT219" s="263">
        <v>9988296.0800000001</v>
      </c>
      <c r="FU219" s="263">
        <v>6960084.75</v>
      </c>
      <c r="FV219" s="263">
        <v>10104597.5</v>
      </c>
      <c r="FW219" s="263">
        <v>9233273.1269990597</v>
      </c>
      <c r="FX219" s="263">
        <v>9150318.9104051236</v>
      </c>
      <c r="FY219" s="263">
        <v>8725946.6834637858</v>
      </c>
      <c r="FZ219" s="263">
        <v>8605027.815261459</v>
      </c>
      <c r="GA219" s="263">
        <v>12215525.566863246</v>
      </c>
      <c r="GB219" s="263">
        <v>8318398.763873809</v>
      </c>
      <c r="GC219" s="263">
        <v>15525209.395355014</v>
      </c>
      <c r="GE219" s="446">
        <f>SUM(FR219:GD219)</f>
        <v>112659367.75222149</v>
      </c>
    </row>
    <row r="220" spans="1:187">
      <c r="D220" s="72" t="str">
        <f t="shared" si="11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673739.6</v>
      </c>
      <c r="FS220" s="263">
        <v>2402403.02</v>
      </c>
      <c r="FT220" s="263">
        <v>21201257.989999998</v>
      </c>
      <c r="FU220" s="263">
        <v>24401832.57</v>
      </c>
      <c r="FV220" s="263">
        <v>4691004.47</v>
      </c>
      <c r="FW220" s="263">
        <v>4393088.9950781623</v>
      </c>
      <c r="FX220" s="263">
        <v>2315331.8626998202</v>
      </c>
      <c r="FY220" s="263">
        <v>2012009.4317284632</v>
      </c>
      <c r="FZ220" s="263">
        <v>2197471.5206857999</v>
      </c>
      <c r="GA220" s="263">
        <v>448859.9419620441</v>
      </c>
      <c r="GB220" s="263">
        <v>572222.09031102341</v>
      </c>
      <c r="GC220" s="263">
        <v>2287912.9892877061</v>
      </c>
      <c r="GE220" s="446">
        <f t="shared" ref="GE220:GE226" si="19">SUM(FR220:GD220)</f>
        <v>67597134.481753007</v>
      </c>
    </row>
    <row r="221" spans="1:187">
      <c r="D221" s="72" t="str">
        <f t="shared" si="11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185009.31</v>
      </c>
      <c r="FS221" s="263">
        <v>168097.86</v>
      </c>
      <c r="FT221" s="263">
        <v>129165.08</v>
      </c>
      <c r="FU221" s="263">
        <v>48149.33</v>
      </c>
      <c r="FV221" s="263">
        <v>95187.63</v>
      </c>
      <c r="FW221" s="263">
        <v>161561.36570369586</v>
      </c>
      <c r="FX221" s="263">
        <v>155879.21216548377</v>
      </c>
      <c r="FY221" s="263">
        <v>176011.76588988586</v>
      </c>
      <c r="FZ221" s="263">
        <v>134410.42099123687</v>
      </c>
      <c r="GA221" s="263">
        <v>177686.88135689148</v>
      </c>
      <c r="GB221" s="263">
        <v>176411.24461530321</v>
      </c>
      <c r="GC221" s="263">
        <v>295411.18930750317</v>
      </c>
      <c r="GE221" s="446">
        <f t="shared" si="19"/>
        <v>1902981.29003</v>
      </c>
    </row>
    <row r="222" spans="1:187">
      <c r="D222" s="72" t="str">
        <f t="shared" si="11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47781207.189999998</v>
      </c>
      <c r="FS222" s="263">
        <v>40097544.82</v>
      </c>
      <c r="FT222" s="263">
        <v>54963852.219999999</v>
      </c>
      <c r="FU222" s="263">
        <v>35570662.579999998</v>
      </c>
      <c r="FV222" s="263">
        <v>38250745.619999997</v>
      </c>
      <c r="FW222" s="263">
        <v>47380778.616715282</v>
      </c>
      <c r="FX222" s="263">
        <v>60262693.256538242</v>
      </c>
      <c r="FY222" s="263">
        <v>62819967.506489195</v>
      </c>
      <c r="FZ222" s="263">
        <v>61535814.430397995</v>
      </c>
      <c r="GA222" s="263">
        <v>60132973.705961175</v>
      </c>
      <c r="GB222" s="263">
        <v>51634389.126871005</v>
      </c>
      <c r="GC222" s="263">
        <v>55352726.018547282</v>
      </c>
      <c r="GE222" s="446">
        <f t="shared" si="19"/>
        <v>615783355.09152019</v>
      </c>
    </row>
    <row r="223" spans="1:187">
      <c r="D223" s="72" t="str">
        <f t="shared" si="11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18070145.100000001</v>
      </c>
      <c r="FS223" s="263">
        <v>14831752.550000001</v>
      </c>
      <c r="FT223" s="263">
        <v>16111610.99</v>
      </c>
      <c r="FU223" s="263">
        <v>14097368.300000001</v>
      </c>
      <c r="FV223" s="263">
        <v>14366315.76</v>
      </c>
      <c r="FW223" s="263">
        <v>17736423.0479693</v>
      </c>
      <c r="FX223" s="263">
        <v>21674329.506149229</v>
      </c>
      <c r="FY223" s="263">
        <v>25493581.742318999</v>
      </c>
      <c r="FZ223" s="263">
        <v>24034334.199540369</v>
      </c>
      <c r="GA223" s="263">
        <v>19896747.919690695</v>
      </c>
      <c r="GB223" s="263">
        <v>18041848.774917983</v>
      </c>
      <c r="GC223" s="263">
        <v>17033297.467273451</v>
      </c>
      <c r="GE223" s="446">
        <f t="shared" si="19"/>
        <v>221387755.35786003</v>
      </c>
    </row>
    <row r="224" spans="1:187" ht="30">
      <c r="D224" s="72" t="str">
        <f t="shared" si="11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1537206.63</v>
      </c>
      <c r="FS224" s="263">
        <v>1922810.55</v>
      </c>
      <c r="FT224" s="263">
        <v>2363697.87</v>
      </c>
      <c r="FU224" s="263">
        <v>1725304.75</v>
      </c>
      <c r="FV224" s="263">
        <v>1588906.58</v>
      </c>
      <c r="FW224" s="263">
        <v>2454615.7357150163</v>
      </c>
      <c r="FX224" s="263">
        <v>3049614.4672733559</v>
      </c>
      <c r="FY224" s="263">
        <v>2753955.9122244404</v>
      </c>
      <c r="FZ224" s="263">
        <v>2521316.1020952258</v>
      </c>
      <c r="GA224" s="263">
        <v>2461642.7901004632</v>
      </c>
      <c r="GB224" s="263">
        <v>1998547.6299790684</v>
      </c>
      <c r="GC224" s="263">
        <v>2408802.737472435</v>
      </c>
      <c r="GE224" s="446">
        <f t="shared" si="19"/>
        <v>26786421.754860003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6">
        <f t="shared" si="19"/>
        <v>0</v>
      </c>
    </row>
    <row r="226" spans="1:187">
      <c r="D226" s="72" t="str">
        <f t="shared" ref="D226:D257" si="20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755142.26</v>
      </c>
      <c r="FS226" s="263">
        <v>745544.56</v>
      </c>
      <c r="FT226" s="263">
        <v>855856.43</v>
      </c>
      <c r="FU226" s="263">
        <v>718572.64</v>
      </c>
      <c r="FV226" s="263">
        <v>656000.56000000006</v>
      </c>
      <c r="FW226" s="263">
        <v>765731.78472662985</v>
      </c>
      <c r="FX226" s="263">
        <v>832360.77771988919</v>
      </c>
      <c r="FY226" s="263">
        <v>854509.13610841858</v>
      </c>
      <c r="FZ226" s="263">
        <v>833524.08466524491</v>
      </c>
      <c r="GA226" s="263">
        <v>765057.49382921238</v>
      </c>
      <c r="GB226" s="263">
        <v>807604.8357300983</v>
      </c>
      <c r="GC226" s="263">
        <v>730439.40412050928</v>
      </c>
      <c r="GE226" s="446">
        <f t="shared" si="19"/>
        <v>9320343.9669000022</v>
      </c>
    </row>
    <row r="227" spans="1:187" s="9" customFormat="1">
      <c r="A227" s="118"/>
      <c r="B227" s="118"/>
      <c r="C227" s="118">
        <v>712</v>
      </c>
      <c r="D227" s="118" t="str">
        <f t="shared" si="20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1">+SUM(CL228:CL231)</f>
        <v>10225366.011998521</v>
      </c>
      <c r="CM227" s="121">
        <f t="shared" si="21"/>
        <v>26328872.744704504</v>
      </c>
      <c r="CN227" s="121">
        <f t="shared" si="21"/>
        <v>28215029.512952704</v>
      </c>
      <c r="CO227" s="121">
        <f t="shared" si="21"/>
        <v>31078344.176256344</v>
      </c>
      <c r="CP227" s="121">
        <f t="shared" si="21"/>
        <v>31062993.346150994</v>
      </c>
      <c r="CQ227" s="121">
        <f t="shared" si="21"/>
        <v>29533886.744876273</v>
      </c>
      <c r="CR227" s="121">
        <f t="shared" si="21"/>
        <v>35614836.490956061</v>
      </c>
      <c r="CS227" s="121">
        <f t="shared" si="21"/>
        <v>41423629.787263155</v>
      </c>
      <c r="CT227" s="121">
        <f t="shared" si="21"/>
        <v>27897944.753825549</v>
      </c>
      <c r="CU227" s="121">
        <f t="shared" si="21"/>
        <v>35782419.896350168</v>
      </c>
      <c r="CV227" s="121">
        <f t="shared" si="21"/>
        <v>35053926.847713381</v>
      </c>
      <c r="CW227" s="122">
        <f t="shared" si="21"/>
        <v>52000480.125178605</v>
      </c>
      <c r="CX227" s="120">
        <f t="shared" si="21"/>
        <v>11696495.709410317</v>
      </c>
      <c r="CY227" s="121">
        <f t="shared" ref="CY227:DI227" si="22">+SUM(CY228:CY231)</f>
        <v>27967194.589402422</v>
      </c>
      <c r="CZ227" s="121">
        <f t="shared" si="22"/>
        <v>28929880.111931738</v>
      </c>
      <c r="DA227" s="121">
        <f t="shared" si="22"/>
        <v>27258327.618631121</v>
      </c>
      <c r="DB227" s="121">
        <f t="shared" si="22"/>
        <v>28592562.735781778</v>
      </c>
      <c r="DC227" s="121">
        <f t="shared" si="22"/>
        <v>32131723.207960628</v>
      </c>
      <c r="DD227" s="121">
        <f t="shared" si="22"/>
        <v>33016814.12419793</v>
      </c>
      <c r="DE227" s="121">
        <f t="shared" si="22"/>
        <v>36072346.59471108</v>
      </c>
      <c r="DF227" s="121">
        <f t="shared" si="22"/>
        <v>38203128.528232403</v>
      </c>
      <c r="DG227" s="121">
        <f t="shared" si="22"/>
        <v>43672969.77403643</v>
      </c>
      <c r="DH227" s="121">
        <f t="shared" si="22"/>
        <v>30164652.787533071</v>
      </c>
      <c r="DI227" s="122">
        <f t="shared" si="22"/>
        <v>60117077.92735371</v>
      </c>
      <c r="DJ227" s="120">
        <f>+SUM(DJ228:DJ231)</f>
        <v>17453194.433351744</v>
      </c>
      <c r="DK227" s="280">
        <f t="shared" ref="DK227:DU227" si="23">+SUM(DK228:DK231)</f>
        <v>27390142.980436314</v>
      </c>
      <c r="DL227" s="121">
        <f t="shared" si="23"/>
        <v>28082312.197140861</v>
      </c>
      <c r="DM227" s="121">
        <f t="shared" si="23"/>
        <v>30124960.749123506</v>
      </c>
      <c r="DN227" s="121">
        <f t="shared" si="23"/>
        <v>34683059.189534552</v>
      </c>
      <c r="DO227" s="121">
        <f t="shared" si="23"/>
        <v>35520127.578458838</v>
      </c>
      <c r="DP227" s="121">
        <f t="shared" si="23"/>
        <v>34214609.03892383</v>
      </c>
      <c r="DQ227" s="121">
        <f t="shared" si="23"/>
        <v>35699732.916304395</v>
      </c>
      <c r="DR227" s="121">
        <f t="shared" si="23"/>
        <v>34477573.889674954</v>
      </c>
      <c r="DS227" s="121">
        <f t="shared" si="23"/>
        <v>38517756.206527121</v>
      </c>
      <c r="DT227" s="121">
        <f t="shared" si="23"/>
        <v>32938623.312072884</v>
      </c>
      <c r="DU227" s="122">
        <f t="shared" si="23"/>
        <v>68390080.261651829</v>
      </c>
      <c r="DV227" s="285">
        <f>SUM(DV228:DV231)</f>
        <v>18354060.58487517</v>
      </c>
      <c r="DW227" s="285">
        <f t="shared" ref="DW227:ES227" si="24">SUM(DW228:DW231)</f>
        <v>32251984.308998123</v>
      </c>
      <c r="DX227" s="285">
        <f t="shared" si="24"/>
        <v>35252780.4112795</v>
      </c>
      <c r="DY227" s="285">
        <f t="shared" si="24"/>
        <v>36048622.442372173</v>
      </c>
      <c r="DZ227" s="285">
        <f t="shared" si="24"/>
        <v>36467046.907571375</v>
      </c>
      <c r="EA227" s="285">
        <f t="shared" si="24"/>
        <v>39962406.622471027</v>
      </c>
      <c r="EB227" s="285">
        <f t="shared" si="24"/>
        <v>41754281.859282047</v>
      </c>
      <c r="EC227" s="285">
        <f t="shared" si="24"/>
        <v>41778770.739156105</v>
      </c>
      <c r="ED227" s="285">
        <f t="shared" si="24"/>
        <v>40678217.175356045</v>
      </c>
      <c r="EE227" s="285">
        <f t="shared" si="24"/>
        <v>50087168.979291983</v>
      </c>
      <c r="EF227" s="285">
        <f t="shared" si="24"/>
        <v>35104466.825188249</v>
      </c>
      <c r="EG227" s="285">
        <f t="shared" si="24"/>
        <v>75416411.255019069</v>
      </c>
      <c r="EH227" s="285">
        <f t="shared" si="24"/>
        <v>14494391.656080697</v>
      </c>
      <c r="EI227" s="285">
        <f t="shared" si="24"/>
        <v>38286134.504472315</v>
      </c>
      <c r="EJ227" s="285">
        <f t="shared" si="24"/>
        <v>42512596.169410236</v>
      </c>
      <c r="EK227" s="285">
        <f t="shared" si="24"/>
        <v>36881500.656790689</v>
      </c>
      <c r="EL227" s="285">
        <f t="shared" si="24"/>
        <v>37654579.061565474</v>
      </c>
      <c r="EM227" s="285">
        <f t="shared" si="24"/>
        <v>40791760.633679733</v>
      </c>
      <c r="EN227" s="285">
        <f t="shared" si="24"/>
        <v>36948873.818993188</v>
      </c>
      <c r="EO227" s="285">
        <f t="shared" si="24"/>
        <v>40320200.299979933</v>
      </c>
      <c r="EP227" s="285">
        <f t="shared" si="24"/>
        <v>44012184.309503838</v>
      </c>
      <c r="EQ227" s="285">
        <f t="shared" si="24"/>
        <v>39620758.48069074</v>
      </c>
      <c r="ER227" s="285">
        <f t="shared" si="24"/>
        <v>41454472.958962008</v>
      </c>
      <c r="ES227" s="285">
        <f t="shared" si="24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2">
        <v>15749286.220000001</v>
      </c>
      <c r="FS227" s="452">
        <v>42574769.890000001</v>
      </c>
      <c r="FT227" s="452">
        <v>44888756.57</v>
      </c>
      <c r="FU227" s="452">
        <v>33882602.5</v>
      </c>
      <c r="FV227" s="452">
        <v>40418289.450000003</v>
      </c>
      <c r="FW227" s="452">
        <v>39209561.537363522</v>
      </c>
      <c r="FX227" s="452">
        <v>39824401.286702745</v>
      </c>
      <c r="FY227" s="452">
        <v>37466342.331191912</v>
      </c>
      <c r="FZ227" s="452">
        <v>35714950.117071614</v>
      </c>
      <c r="GA227" s="452">
        <v>56930028.965902433</v>
      </c>
      <c r="GB227" s="452">
        <v>36060885.689019322</v>
      </c>
      <c r="GC227" s="452">
        <v>69780505.759044364</v>
      </c>
      <c r="GE227" s="445">
        <f>SUM(FR227:GD227)</f>
        <v>492500380.31629592</v>
      </c>
    </row>
    <row r="228" spans="1:187" ht="30">
      <c r="D228" s="72" t="str">
        <f t="shared" si="20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9790363.4800000004</v>
      </c>
      <c r="FS228" s="263">
        <v>26782162.98</v>
      </c>
      <c r="FT228" s="263">
        <v>28314388.120000001</v>
      </c>
      <c r="FU228" s="263">
        <v>21078780.449999999</v>
      </c>
      <c r="FV228" s="263">
        <v>24736473.050000001</v>
      </c>
      <c r="FW228" s="263">
        <v>23760773.544303603</v>
      </c>
      <c r="FX228" s="263">
        <v>23871756.047780998</v>
      </c>
      <c r="FY228" s="263">
        <v>22680826.45380101</v>
      </c>
      <c r="FZ228" s="263">
        <v>22031125.278228957</v>
      </c>
      <c r="GA228" s="263">
        <v>35541512.532779805</v>
      </c>
      <c r="GB228" s="263">
        <v>22450966.125881754</v>
      </c>
      <c r="GC228" s="263">
        <v>43833950.057554863</v>
      </c>
      <c r="GE228" s="446">
        <f>SUM(FS228:GD228)</f>
        <v>295082714.64033097</v>
      </c>
    </row>
    <row r="229" spans="1:187" ht="30">
      <c r="D229" s="72" t="str">
        <f t="shared" si="20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5160073.6100000003</v>
      </c>
      <c r="FS229" s="263">
        <v>13521231.24</v>
      </c>
      <c r="FT229" s="263">
        <v>14020072.800000001</v>
      </c>
      <c r="FU229" s="263">
        <v>10884138.67</v>
      </c>
      <c r="FV229" s="263">
        <v>13478103.310000001</v>
      </c>
      <c r="FW229" s="263">
        <v>13288147.029656813</v>
      </c>
      <c r="FX229" s="263">
        <v>13813968.415664224</v>
      </c>
      <c r="FY229" s="263">
        <v>12735872.686387273</v>
      </c>
      <c r="FZ229" s="263">
        <v>11644606.27986688</v>
      </c>
      <c r="GA229" s="263">
        <v>18421242.178837776</v>
      </c>
      <c r="GB229" s="263">
        <v>11548434.74327364</v>
      </c>
      <c r="GC229" s="263">
        <v>21908596.728818417</v>
      </c>
      <c r="GE229" s="446">
        <f t="shared" ref="GE229:GE231" si="25">SUM(FS229:GD229)</f>
        <v>155264414.08250502</v>
      </c>
    </row>
    <row r="230" spans="1:187" ht="30">
      <c r="D230" s="72" t="str">
        <f t="shared" si="20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455742.13</v>
      </c>
      <c r="FS230" s="263">
        <v>1236727.53</v>
      </c>
      <c r="FT230" s="263">
        <v>1425690.07</v>
      </c>
      <c r="FU230" s="263">
        <v>1042509.86</v>
      </c>
      <c r="FV230" s="263">
        <v>1190738.6299999999</v>
      </c>
      <c r="FW230" s="263">
        <v>1153093.0495231841</v>
      </c>
      <c r="FX230" s="263">
        <v>1134262.4482684694</v>
      </c>
      <c r="FY230" s="263">
        <v>1082167.7137135214</v>
      </c>
      <c r="FZ230" s="263">
        <v>1070252.608124112</v>
      </c>
      <c r="GA230" s="263">
        <v>1551370.5209708875</v>
      </c>
      <c r="GB230" s="263">
        <v>1061855.749121662</v>
      </c>
      <c r="GC230" s="263">
        <v>2050776.7425857519</v>
      </c>
      <c r="GE230" s="446">
        <f t="shared" si="25"/>
        <v>13999444.922307588</v>
      </c>
    </row>
    <row r="231" spans="1:187">
      <c r="D231" s="72" t="str">
        <f t="shared" si="20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343107</v>
      </c>
      <c r="FS231" s="263">
        <v>1034648.14</v>
      </c>
      <c r="FT231" s="263">
        <v>1128605.58</v>
      </c>
      <c r="FU231" s="263">
        <v>877173.52</v>
      </c>
      <c r="FV231" s="263">
        <v>1012974.46</v>
      </c>
      <c r="FW231" s="263">
        <v>1007547.9138799232</v>
      </c>
      <c r="FX231" s="263">
        <v>1004414.3749890528</v>
      </c>
      <c r="FY231" s="263">
        <v>967475.47729010729</v>
      </c>
      <c r="FZ231" s="263">
        <v>968965.95085166604</v>
      </c>
      <c r="GA231" s="263">
        <v>1415903.733313961</v>
      </c>
      <c r="GB231" s="263">
        <v>999629.07074226905</v>
      </c>
      <c r="GC231" s="263">
        <v>1987182.2300853299</v>
      </c>
      <c r="GE231" s="446">
        <f t="shared" si="25"/>
        <v>12404520.451152308</v>
      </c>
    </row>
    <row r="232" spans="1:187" s="9" customFormat="1">
      <c r="A232" s="118"/>
      <c r="B232" s="118"/>
      <c r="C232" s="118">
        <v>713</v>
      </c>
      <c r="D232" s="118" t="str">
        <f t="shared" si="20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6">+SUM(CL233:CL236)</f>
        <v>2027877.2372930939</v>
      </c>
      <c r="CM232" s="121">
        <f t="shared" si="26"/>
        <v>1882424.3685098737</v>
      </c>
      <c r="CN232" s="121">
        <f t="shared" si="26"/>
        <v>2363168.5236575948</v>
      </c>
      <c r="CO232" s="121">
        <f t="shared" si="26"/>
        <v>2393449.5740456693</v>
      </c>
      <c r="CP232" s="121">
        <f t="shared" si="26"/>
        <v>2431766.3719360717</v>
      </c>
      <c r="CQ232" s="121">
        <f t="shared" si="26"/>
        <v>2858151.7123018736</v>
      </c>
      <c r="CR232" s="121">
        <f t="shared" si="26"/>
        <v>2917908.2048975867</v>
      </c>
      <c r="CS232" s="121">
        <f t="shared" si="26"/>
        <v>2932949.8029298875</v>
      </c>
      <c r="CT232" s="121">
        <f t="shared" si="26"/>
        <v>2302181.1067919475</v>
      </c>
      <c r="CU232" s="121">
        <f t="shared" si="26"/>
        <v>2479397.4364794977</v>
      </c>
      <c r="CV232" s="121">
        <f t="shared" si="26"/>
        <v>2197340.2207755819</v>
      </c>
      <c r="CW232" s="122">
        <f t="shared" si="26"/>
        <v>2280154.7968325969</v>
      </c>
      <c r="CX232" s="120">
        <f t="shared" si="26"/>
        <v>902871.84498938802</v>
      </c>
      <c r="CY232" s="121">
        <f t="shared" si="26"/>
        <v>1376722.835592885</v>
      </c>
      <c r="CZ232" s="121">
        <f t="shared" si="26"/>
        <v>1533902.3810318899</v>
      </c>
      <c r="DA232" s="121">
        <f t="shared" si="26"/>
        <v>1769167.7909803819</v>
      </c>
      <c r="DB232" s="121">
        <f t="shared" si="26"/>
        <v>1635179.6025759527</v>
      </c>
      <c r="DC232" s="121">
        <f t="shared" si="26"/>
        <v>1713767.4441061548</v>
      </c>
      <c r="DD232" s="121">
        <f t="shared" si="26"/>
        <v>2233130.224239069</v>
      </c>
      <c r="DE232" s="121">
        <f t="shared" si="26"/>
        <v>1791089.1999486499</v>
      </c>
      <c r="DF232" s="121">
        <f t="shared" si="26"/>
        <v>1407201.854776232</v>
      </c>
      <c r="DG232" s="121">
        <f t="shared" si="26"/>
        <v>2107131.608306407</v>
      </c>
      <c r="DH232" s="121">
        <f t="shared" si="26"/>
        <v>2082325.1460510979</v>
      </c>
      <c r="DI232" s="122">
        <f t="shared" si="26"/>
        <v>2370557.2656825301</v>
      </c>
      <c r="DJ232" s="120">
        <f t="shared" si="26"/>
        <v>1017432.8805905436</v>
      </c>
      <c r="DK232" s="280">
        <f t="shared" si="26"/>
        <v>2806441.7507150937</v>
      </c>
      <c r="DL232" s="121">
        <f t="shared" si="26"/>
        <v>1117006.3290833589</v>
      </c>
      <c r="DM232" s="121">
        <f t="shared" si="26"/>
        <v>1264717.5392387407</v>
      </c>
      <c r="DN232" s="121">
        <f t="shared" si="26"/>
        <v>1093045.5428240406</v>
      </c>
      <c r="DO232" s="121">
        <f t="shared" si="26"/>
        <v>1395344.9576274238</v>
      </c>
      <c r="DP232" s="121">
        <f t="shared" si="26"/>
        <v>1446144.3329938813</v>
      </c>
      <c r="DQ232" s="121">
        <f t="shared" si="26"/>
        <v>1356791.631586303</v>
      </c>
      <c r="DR232" s="121">
        <f t="shared" si="26"/>
        <v>1266226.6725826806</v>
      </c>
      <c r="DS232" s="121">
        <f t="shared" si="26"/>
        <v>1318880.8810031279</v>
      </c>
      <c r="DT232" s="121">
        <f t="shared" si="26"/>
        <v>1346463.6496868518</v>
      </c>
      <c r="DU232" s="122">
        <f t="shared" si="26"/>
        <v>1474390.4967195832</v>
      </c>
      <c r="DV232" s="285">
        <f t="shared" ref="DV232:ES232" si="27">SUM(DV233:DV236)</f>
        <v>723207.81855982868</v>
      </c>
      <c r="DW232" s="285">
        <f t="shared" si="27"/>
        <v>1375936.6828377536</v>
      </c>
      <c r="DX232" s="285">
        <f t="shared" si="27"/>
        <v>1085048.6732404828</v>
      </c>
      <c r="DY232" s="285">
        <f t="shared" si="27"/>
        <v>1135307.1677424815</v>
      </c>
      <c r="DZ232" s="285">
        <f t="shared" si="27"/>
        <v>1038831.7010082075</v>
      </c>
      <c r="EA232" s="285">
        <f t="shared" si="27"/>
        <v>1185196.3988510575</v>
      </c>
      <c r="EB232" s="285">
        <f t="shared" si="27"/>
        <v>1392519.4702588716</v>
      </c>
      <c r="EC232" s="285">
        <f t="shared" si="27"/>
        <v>1336120.0015746492</v>
      </c>
      <c r="ED232" s="285">
        <f t="shared" si="27"/>
        <v>1100943.0740307707</v>
      </c>
      <c r="EE232" s="285">
        <f t="shared" si="27"/>
        <v>1348017.839179961</v>
      </c>
      <c r="EF232" s="285">
        <f t="shared" si="27"/>
        <v>1208363.2775689771</v>
      </c>
      <c r="EG232" s="285">
        <f t="shared" si="27"/>
        <v>1458355.2073679506</v>
      </c>
      <c r="EH232" s="285">
        <f t="shared" si="27"/>
        <v>610864.67030384962</v>
      </c>
      <c r="EI232" s="285">
        <f t="shared" si="27"/>
        <v>956190.19217041158</v>
      </c>
      <c r="EJ232" s="285">
        <f t="shared" si="27"/>
        <v>1101531.2378384364</v>
      </c>
      <c r="EK232" s="285">
        <f t="shared" si="27"/>
        <v>1012659.4044928866</v>
      </c>
      <c r="EL232" s="285">
        <f t="shared" si="27"/>
        <v>1178564.1353407067</v>
      </c>
      <c r="EM232" s="285">
        <f t="shared" si="27"/>
        <v>1356946.2184835174</v>
      </c>
      <c r="EN232" s="285">
        <f t="shared" si="27"/>
        <v>1348470.7634851695</v>
      </c>
      <c r="EO232" s="285">
        <f t="shared" si="27"/>
        <v>1646935.436847656</v>
      </c>
      <c r="EP232" s="285">
        <f t="shared" si="27"/>
        <v>1304957.8822505821</v>
      </c>
      <c r="EQ232" s="285">
        <f t="shared" si="27"/>
        <v>1090007.5802936796</v>
      </c>
      <c r="ER232" s="285">
        <f t="shared" si="27"/>
        <v>1069514.6174671263</v>
      </c>
      <c r="ES232" s="285">
        <f t="shared" si="27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2">
        <v>669819.01</v>
      </c>
      <c r="FS232" s="452">
        <v>845756.92</v>
      </c>
      <c r="FT232" s="452">
        <v>720374.53</v>
      </c>
      <c r="FU232" s="452">
        <v>316937.24</v>
      </c>
      <c r="FV232" s="452">
        <v>469045.42</v>
      </c>
      <c r="FW232" s="452">
        <v>1161870.8532355535</v>
      </c>
      <c r="FX232" s="452">
        <v>1673430.2546007757</v>
      </c>
      <c r="FY232" s="452">
        <v>1388372.9389781314</v>
      </c>
      <c r="FZ232" s="452">
        <v>1416214.8034873675</v>
      </c>
      <c r="GA232" s="452">
        <v>1276386.1061063381</v>
      </c>
      <c r="GB232" s="452">
        <v>963348.80250703567</v>
      </c>
      <c r="GC232" s="452">
        <v>1285597.5253147981</v>
      </c>
      <c r="GE232" s="445">
        <f>SUM(FR232:GD232)</f>
        <v>12187154.40423</v>
      </c>
    </row>
    <row r="233" spans="1:187">
      <c r="D233" s="72" t="str">
        <f t="shared" si="20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520343.73</v>
      </c>
      <c r="FS233" s="263">
        <v>652056.92000000004</v>
      </c>
      <c r="FT233" s="263">
        <v>553031.42000000004</v>
      </c>
      <c r="FU233" s="263">
        <v>279110.88</v>
      </c>
      <c r="FV233" s="263">
        <v>389225.04</v>
      </c>
      <c r="FW233" s="263">
        <v>785977.46893773007</v>
      </c>
      <c r="FX233" s="263">
        <v>1031818.6341445583</v>
      </c>
      <c r="FY233" s="263">
        <v>729189.96460606705</v>
      </c>
      <c r="FZ233" s="263">
        <v>905458.1843526474</v>
      </c>
      <c r="GA233" s="263">
        <v>851833.89135936275</v>
      </c>
      <c r="GB233" s="263">
        <v>666605.59471104096</v>
      </c>
      <c r="GC233" s="263">
        <v>846375.24254859425</v>
      </c>
      <c r="GE233" s="446">
        <f>SUM(FS233:GD233)</f>
        <v>7690683.2406600015</v>
      </c>
    </row>
    <row r="234" spans="1:187">
      <c r="D234" s="72" t="str">
        <f t="shared" si="20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59543.27</v>
      </c>
      <c r="FS234" s="263">
        <v>103685.1</v>
      </c>
      <c r="FT234" s="263">
        <v>69007.199999999997</v>
      </c>
      <c r="FU234" s="263">
        <v>21455.99</v>
      </c>
      <c r="FV234" s="263">
        <v>33883.980000000003</v>
      </c>
      <c r="FW234" s="263">
        <v>106928.68036241367</v>
      </c>
      <c r="FX234" s="263">
        <v>120162.58210609634</v>
      </c>
      <c r="FY234" s="263">
        <v>94053.637347995347</v>
      </c>
      <c r="FZ234" s="263">
        <v>95570.609659243841</v>
      </c>
      <c r="GA234" s="263">
        <v>123098.29330191661</v>
      </c>
      <c r="GB234" s="263">
        <v>108489.84182029018</v>
      </c>
      <c r="GC234" s="263">
        <v>140483.82012204395</v>
      </c>
      <c r="GE234" s="446">
        <f t="shared" ref="GE234:GE236" si="28">SUM(FS234:GD234)</f>
        <v>1016819.7347199998</v>
      </c>
    </row>
    <row r="235" spans="1:187">
      <c r="D235" s="72" t="str">
        <f t="shared" si="20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32221.24</v>
      </c>
      <c r="FS235" s="263">
        <v>34709.39</v>
      </c>
      <c r="FT235" s="263">
        <v>29392.97</v>
      </c>
      <c r="FU235" s="263">
        <v>3187.51</v>
      </c>
      <c r="FV235" s="263">
        <v>915.94</v>
      </c>
      <c r="FW235" s="263">
        <v>109919.19345813863</v>
      </c>
      <c r="FX235" s="263">
        <v>264040.44837579876</v>
      </c>
      <c r="FY235" s="263">
        <v>320368.08987574023</v>
      </c>
      <c r="FZ235" s="263">
        <v>183503.00861850305</v>
      </c>
      <c r="GA235" s="263">
        <v>86268.831077027877</v>
      </c>
      <c r="GB235" s="263">
        <v>36409.396780944058</v>
      </c>
      <c r="GC235" s="263">
        <v>27103.47831384735</v>
      </c>
      <c r="GE235" s="446">
        <f t="shared" si="28"/>
        <v>1095818.2564999999</v>
      </c>
    </row>
    <row r="236" spans="1:187">
      <c r="D236" s="72" t="str">
        <f t="shared" si="20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57710.77</v>
      </c>
      <c r="FS236" s="263">
        <v>55305.51</v>
      </c>
      <c r="FT236" s="263">
        <v>68942.94</v>
      </c>
      <c r="FU236" s="263">
        <v>13182.86</v>
      </c>
      <c r="FV236" s="263">
        <v>45020.46</v>
      </c>
      <c r="FW236" s="263">
        <v>159045.51047727122</v>
      </c>
      <c r="FX236" s="263">
        <v>257408.58997432221</v>
      </c>
      <c r="FY236" s="263">
        <v>244761.24714832901</v>
      </c>
      <c r="FZ236" s="263">
        <v>231683.00085697323</v>
      </c>
      <c r="GA236" s="263">
        <v>215185.09036803071</v>
      </c>
      <c r="GB236" s="263">
        <v>151843.9691947604</v>
      </c>
      <c r="GC236" s="263">
        <v>271634.98433031252</v>
      </c>
      <c r="GE236" s="446">
        <f t="shared" si="28"/>
        <v>1714014.1623499994</v>
      </c>
    </row>
    <row r="237" spans="1:187" s="9" customFormat="1">
      <c r="A237" s="118"/>
      <c r="B237" s="118"/>
      <c r="C237" s="118">
        <v>714</v>
      </c>
      <c r="D237" s="118" t="str">
        <f t="shared" si="20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29">+SUM(CL238:CL243)</f>
        <v>982710.87498690933</v>
      </c>
      <c r="CM237" s="121">
        <f t="shared" si="29"/>
        <v>869104.05358116457</v>
      </c>
      <c r="CN237" s="121">
        <f t="shared" si="29"/>
        <v>787268.76554129389</v>
      </c>
      <c r="CO237" s="121">
        <f t="shared" si="29"/>
        <v>1546322.5460752659</v>
      </c>
      <c r="CP237" s="121">
        <f t="shared" si="29"/>
        <v>932515.34080204321</v>
      </c>
      <c r="CQ237" s="121">
        <f t="shared" si="29"/>
        <v>1175327.7210279165</v>
      </c>
      <c r="CR237" s="121">
        <f t="shared" si="29"/>
        <v>2020249.028265815</v>
      </c>
      <c r="CS237" s="121">
        <f t="shared" si="29"/>
        <v>1079348.0183819076</v>
      </c>
      <c r="CT237" s="121">
        <f t="shared" si="29"/>
        <v>1345127.7045627646</v>
      </c>
      <c r="CU237" s="121">
        <f t="shared" si="29"/>
        <v>1098866.9792922472</v>
      </c>
      <c r="CV237" s="121">
        <f t="shared" si="29"/>
        <v>885498.0103225843</v>
      </c>
      <c r="CW237" s="122">
        <f t="shared" si="29"/>
        <v>1136253.4997662231</v>
      </c>
      <c r="CX237" s="120">
        <f t="shared" si="29"/>
        <v>874647.32532018784</v>
      </c>
      <c r="CY237" s="121">
        <f t="shared" si="29"/>
        <v>1141795.5130265537</v>
      </c>
      <c r="CZ237" s="121">
        <f t="shared" si="29"/>
        <v>1392255.6905662352</v>
      </c>
      <c r="DA237" s="121">
        <f t="shared" si="29"/>
        <v>1012251.8295932285</v>
      </c>
      <c r="DB237" s="121">
        <f t="shared" si="29"/>
        <v>647746.68080012128</v>
      </c>
      <c r="DC237" s="121">
        <f t="shared" si="29"/>
        <v>954989.7774594496</v>
      </c>
      <c r="DD237" s="121">
        <f t="shared" si="29"/>
        <v>1184343.1262543593</v>
      </c>
      <c r="DE237" s="121">
        <f t="shared" si="29"/>
        <v>1056013.1087953006</v>
      </c>
      <c r="DF237" s="121">
        <f t="shared" si="29"/>
        <v>1308372.2565571361</v>
      </c>
      <c r="DG237" s="121">
        <f t="shared" si="29"/>
        <v>1299421.3451732181</v>
      </c>
      <c r="DH237" s="121">
        <f t="shared" si="29"/>
        <v>1236718.8760774885</v>
      </c>
      <c r="DI237" s="122">
        <f t="shared" si="29"/>
        <v>915688.23864849063</v>
      </c>
      <c r="DJ237" s="120">
        <f t="shared" si="29"/>
        <v>1138266.9804152639</v>
      </c>
      <c r="DK237" s="280">
        <f t="shared" si="29"/>
        <v>756483.76634673518</v>
      </c>
      <c r="DL237" s="121">
        <f t="shared" si="29"/>
        <v>784896.45053551998</v>
      </c>
      <c r="DM237" s="121">
        <f t="shared" si="29"/>
        <v>716357.12404800032</v>
      </c>
      <c r="DN237" s="121">
        <f t="shared" si="29"/>
        <v>1133208.5669148029</v>
      </c>
      <c r="DO237" s="121">
        <f t="shared" si="29"/>
        <v>1267102.9957289747</v>
      </c>
      <c r="DP237" s="121">
        <f t="shared" si="29"/>
        <v>1342917.6146265836</v>
      </c>
      <c r="DQ237" s="121">
        <f t="shared" si="29"/>
        <v>1226756.3727123113</v>
      </c>
      <c r="DR237" s="121">
        <f t="shared" si="29"/>
        <v>1268468.2949369599</v>
      </c>
      <c r="DS237" s="121">
        <f t="shared" si="29"/>
        <v>1378353.6704010672</v>
      </c>
      <c r="DT237" s="121">
        <f t="shared" si="29"/>
        <v>1123435.7637199732</v>
      </c>
      <c r="DU237" s="122">
        <f t="shared" si="29"/>
        <v>1342481.0432510113</v>
      </c>
      <c r="DV237" s="285">
        <f t="shared" ref="DV237:ES237" si="30">SUM(DV238:DV243)</f>
        <v>830622.45977962902</v>
      </c>
      <c r="DW237" s="285">
        <f t="shared" si="30"/>
        <v>841675.37717694405</v>
      </c>
      <c r="DX237" s="285">
        <f t="shared" si="30"/>
        <v>1095886.2838292783</v>
      </c>
      <c r="DY237" s="285">
        <f t="shared" si="30"/>
        <v>803106.60353358404</v>
      </c>
      <c r="DZ237" s="285">
        <f t="shared" si="30"/>
        <v>1197017.3724938135</v>
      </c>
      <c r="EA237" s="285">
        <f t="shared" si="30"/>
        <v>1645191.7465731674</v>
      </c>
      <c r="EB237" s="285">
        <f t="shared" si="30"/>
        <v>1914614.876306891</v>
      </c>
      <c r="EC237" s="285">
        <f t="shared" si="30"/>
        <v>1757103.5644707002</v>
      </c>
      <c r="ED237" s="285">
        <f t="shared" si="30"/>
        <v>1998291.5618472034</v>
      </c>
      <c r="EE237" s="285">
        <f t="shared" si="30"/>
        <v>2181977.5553072984</v>
      </c>
      <c r="EF237" s="285">
        <f t="shared" si="30"/>
        <v>1508780.0698249615</v>
      </c>
      <c r="EG237" s="285">
        <f t="shared" si="30"/>
        <v>1535340.0887295473</v>
      </c>
      <c r="EH237" s="285">
        <f t="shared" si="30"/>
        <v>1682455.8460246248</v>
      </c>
      <c r="EI237" s="285">
        <f t="shared" si="30"/>
        <v>1232315.1298845697</v>
      </c>
      <c r="EJ237" s="285">
        <f t="shared" si="30"/>
        <v>1332747.1124490716</v>
      </c>
      <c r="EK237" s="285">
        <f t="shared" si="30"/>
        <v>1975532.6209221156</v>
      </c>
      <c r="EL237" s="285">
        <f t="shared" si="30"/>
        <v>1379961.0350704237</v>
      </c>
      <c r="EM237" s="285">
        <f t="shared" si="30"/>
        <v>1823244.5616456694</v>
      </c>
      <c r="EN237" s="285">
        <f t="shared" si="30"/>
        <v>2820791.0553781362</v>
      </c>
      <c r="EO237" s="285">
        <f t="shared" si="30"/>
        <v>1850940.4561359507</v>
      </c>
      <c r="EP237" s="285">
        <f t="shared" si="30"/>
        <v>2466068.9719773401</v>
      </c>
      <c r="EQ237" s="285">
        <f t="shared" si="30"/>
        <v>2793048.4100497989</v>
      </c>
      <c r="ER237" s="285">
        <f t="shared" si="30"/>
        <v>1640472.4289961406</v>
      </c>
      <c r="ES237" s="285">
        <f t="shared" si="30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2">
        <v>2226726.9299999997</v>
      </c>
      <c r="FS237" s="452">
        <v>2200614.79</v>
      </c>
      <c r="FT237" s="452">
        <v>1317967.9100000001</v>
      </c>
      <c r="FU237" s="452">
        <v>1597851.3599999999</v>
      </c>
      <c r="FV237" s="452">
        <v>1673853.74</v>
      </c>
      <c r="FW237" s="452">
        <v>2179490.8743573632</v>
      </c>
      <c r="FX237" s="452">
        <v>2571108.8359225746</v>
      </c>
      <c r="FY237" s="452">
        <v>1825380.5890086682</v>
      </c>
      <c r="FZ237" s="452">
        <v>2163813.0387331629</v>
      </c>
      <c r="GA237" s="452">
        <v>1995229.2228867295</v>
      </c>
      <c r="GB237" s="452">
        <v>1517691.0449207788</v>
      </c>
      <c r="GC237" s="452">
        <v>3555523.5622207262</v>
      </c>
      <c r="GE237" s="445">
        <f>SUM(FR237:GD237)</f>
        <v>24825251.898050006</v>
      </c>
    </row>
    <row r="238" spans="1:187" ht="30">
      <c r="D238" s="72" t="str">
        <f t="shared" si="20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12379.87</v>
      </c>
      <c r="FS238" s="263">
        <v>97907.71</v>
      </c>
      <c r="FT238" s="263">
        <v>52092.02</v>
      </c>
      <c r="FU238" s="263">
        <v>14342.89</v>
      </c>
      <c r="FV238" s="263">
        <v>87152.16</v>
      </c>
      <c r="FW238" s="263">
        <v>95618.500074508673</v>
      </c>
      <c r="FX238" s="263">
        <v>89463.148411833201</v>
      </c>
      <c r="FY238" s="263">
        <v>91481.378510656199</v>
      </c>
      <c r="FZ238" s="263">
        <v>92226.930424869424</v>
      </c>
      <c r="GA238" s="263">
        <v>82798.041705070471</v>
      </c>
      <c r="GB238" s="263">
        <v>70363.117233735291</v>
      </c>
      <c r="GC238" s="263">
        <v>120717.0225593267</v>
      </c>
      <c r="GE238" s="446">
        <f>SUM(FS238:GD238)</f>
        <v>894162.91891999997</v>
      </c>
    </row>
    <row r="239" spans="1:187" ht="30">
      <c r="D239" s="72" t="str">
        <f t="shared" si="20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126343.77</v>
      </c>
      <c r="FS239" s="263">
        <v>175288.1</v>
      </c>
      <c r="FT239" s="263">
        <v>73729.09</v>
      </c>
      <c r="FU239" s="263">
        <v>146244.51</v>
      </c>
      <c r="FV239" s="263">
        <v>524686.37</v>
      </c>
      <c r="FW239" s="263">
        <v>150672.59794640372</v>
      </c>
      <c r="FX239" s="263">
        <v>443786.44059876428</v>
      </c>
      <c r="FY239" s="263">
        <v>354999.54099078744</v>
      </c>
      <c r="FZ239" s="263">
        <v>256234.92213849432</v>
      </c>
      <c r="GA239" s="263">
        <v>204364.57933240928</v>
      </c>
      <c r="GB239" s="263">
        <v>21072.892437024741</v>
      </c>
      <c r="GC239" s="263">
        <v>1085869.6882861161</v>
      </c>
      <c r="GE239" s="446">
        <f t="shared" ref="GE239:GE243" si="31">SUM(FS239:GD239)</f>
        <v>3436948.7317300001</v>
      </c>
    </row>
    <row r="240" spans="1:187">
      <c r="D240" s="72" t="str">
        <f t="shared" si="20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84.68</v>
      </c>
      <c r="FS240" s="263">
        <v>84.68</v>
      </c>
      <c r="FT240" s="263">
        <v>184.88</v>
      </c>
      <c r="FU240" s="263">
        <v>0</v>
      </c>
      <c r="FV240" s="263">
        <v>0</v>
      </c>
      <c r="FW240" s="263">
        <v>30379.106085038162</v>
      </c>
      <c r="FX240" s="263">
        <v>129315.30187190213</v>
      </c>
      <c r="FY240" s="263">
        <v>60253.726515765346</v>
      </c>
      <c r="FZ240" s="263">
        <v>20026.917464461527</v>
      </c>
      <c r="GA240" s="263">
        <v>16138.79528836821</v>
      </c>
      <c r="GB240" s="263">
        <v>15168.596287377281</v>
      </c>
      <c r="GC240" s="263">
        <v>25664.134797087452</v>
      </c>
      <c r="GE240" s="446">
        <f t="shared" si="31"/>
        <v>297216.13831000013</v>
      </c>
    </row>
    <row r="241" spans="1:188" ht="30">
      <c r="D241" s="72" t="str">
        <f t="shared" si="20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706117.19</v>
      </c>
      <c r="FS241" s="263">
        <v>791268.92</v>
      </c>
      <c r="FT241" s="263">
        <v>591906.53</v>
      </c>
      <c r="FU241" s="263">
        <v>76083.25</v>
      </c>
      <c r="FV241" s="263">
        <v>173594.14</v>
      </c>
      <c r="FW241" s="263">
        <v>558698.67019887292</v>
      </c>
      <c r="FX241" s="263">
        <v>523090.83688343625</v>
      </c>
      <c r="FY241" s="263">
        <v>616553.58959047345</v>
      </c>
      <c r="FZ241" s="263">
        <v>629501.7911629295</v>
      </c>
      <c r="GA241" s="263">
        <v>581505.15968900581</v>
      </c>
      <c r="GB241" s="263">
        <v>478910.86901672796</v>
      </c>
      <c r="GC241" s="263">
        <v>719153.33965855627</v>
      </c>
      <c r="GE241" s="446">
        <f t="shared" si="31"/>
        <v>5740267.0962000033</v>
      </c>
    </row>
    <row r="242" spans="1:188">
      <c r="D242" s="72" t="str">
        <f t="shared" si="20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229836.96</v>
      </c>
      <c r="FS242" s="263">
        <v>144224.95999999999</v>
      </c>
      <c r="FT242" s="263">
        <v>198115.36</v>
      </c>
      <c r="FU242" s="263">
        <v>91043.29</v>
      </c>
      <c r="FV242" s="263">
        <v>218874</v>
      </c>
      <c r="FW242" s="263">
        <v>338204.7791988008</v>
      </c>
      <c r="FX242" s="263">
        <v>445196.44701368082</v>
      </c>
      <c r="FY242" s="263">
        <v>373812.03563066456</v>
      </c>
      <c r="FZ242" s="263">
        <v>286288.30430306506</v>
      </c>
      <c r="GA242" s="263">
        <v>271753.55082468822</v>
      </c>
      <c r="GB242" s="263">
        <v>232228.02301403199</v>
      </c>
      <c r="GC242" s="263">
        <v>379120.54802506824</v>
      </c>
      <c r="GE242" s="446">
        <f t="shared" si="31"/>
        <v>2978861.2980099996</v>
      </c>
    </row>
    <row r="243" spans="1:188">
      <c r="D243" s="72" t="str">
        <f t="shared" si="20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1151964.46</v>
      </c>
      <c r="FS243" s="263">
        <v>991840.42</v>
      </c>
      <c r="FT243" s="263">
        <v>401940.03</v>
      </c>
      <c r="FU243" s="263">
        <v>1270137.42</v>
      </c>
      <c r="FV243" s="263">
        <v>669547.06999999995</v>
      </c>
      <c r="FW243" s="263">
        <v>1005917.2208537387</v>
      </c>
      <c r="FX243" s="263">
        <v>940256.66114295833</v>
      </c>
      <c r="FY243" s="263">
        <v>328280.31777032115</v>
      </c>
      <c r="FZ243" s="263">
        <v>879534.17323934298</v>
      </c>
      <c r="GA243" s="263">
        <v>838669.09604718746</v>
      </c>
      <c r="GB243" s="263">
        <v>699947.54693188146</v>
      </c>
      <c r="GC243" s="263">
        <v>1224998.8288945716</v>
      </c>
      <c r="GE243" s="446">
        <f t="shared" si="31"/>
        <v>9251068.7848800011</v>
      </c>
    </row>
    <row r="244" spans="1:188" s="9" customFormat="1">
      <c r="A244" s="118"/>
      <c r="B244" s="118"/>
      <c r="C244" s="118">
        <v>715</v>
      </c>
      <c r="D244" s="118" t="str">
        <f t="shared" si="20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32">+SUM(CL245:CL248)</f>
        <v>923442.3429132913</v>
      </c>
      <c r="CM244" s="121">
        <f t="shared" si="32"/>
        <v>1777418.9190493901</v>
      </c>
      <c r="CN244" s="121">
        <f t="shared" si="32"/>
        <v>2321412.8253925741</v>
      </c>
      <c r="CO244" s="121">
        <f t="shared" si="32"/>
        <v>1637829.2535735941</v>
      </c>
      <c r="CP244" s="121">
        <f t="shared" si="32"/>
        <v>1886272.7717710272</v>
      </c>
      <c r="CQ244" s="121">
        <f t="shared" si="32"/>
        <v>1533956.11443653</v>
      </c>
      <c r="CR244" s="121">
        <f t="shared" si="32"/>
        <v>3092390.5965000256</v>
      </c>
      <c r="CS244" s="121">
        <f t="shared" si="32"/>
        <v>2409748.3951187199</v>
      </c>
      <c r="CT244" s="121">
        <f t="shared" si="32"/>
        <v>1476812.0861061718</v>
      </c>
      <c r="CU244" s="121">
        <f t="shared" si="32"/>
        <v>1888437.4129044577</v>
      </c>
      <c r="CV244" s="121">
        <f t="shared" si="32"/>
        <v>2006775.4309992469</v>
      </c>
      <c r="CW244" s="122">
        <f t="shared" si="32"/>
        <v>8463643.2651979905</v>
      </c>
      <c r="CX244" s="120">
        <f t="shared" si="32"/>
        <v>2128432.1735986122</v>
      </c>
      <c r="CY244" s="121">
        <f t="shared" si="32"/>
        <v>1320017.4642991112</v>
      </c>
      <c r="CZ244" s="121">
        <f t="shared" si="32"/>
        <v>1521512.068415079</v>
      </c>
      <c r="DA244" s="121">
        <f t="shared" si="32"/>
        <v>2595680.0159037258</v>
      </c>
      <c r="DB244" s="121">
        <f t="shared" si="32"/>
        <v>2783027.0466008885</v>
      </c>
      <c r="DC244" s="121">
        <f t="shared" si="32"/>
        <v>1934475.5951932021</v>
      </c>
      <c r="DD244" s="121">
        <f t="shared" si="32"/>
        <v>3103592.0848331661</v>
      </c>
      <c r="DE244" s="121">
        <f t="shared" si="32"/>
        <v>2451881.0862679579</v>
      </c>
      <c r="DF244" s="121">
        <f t="shared" si="32"/>
        <v>2469058.8016255274</v>
      </c>
      <c r="DG244" s="121">
        <f t="shared" si="32"/>
        <v>2200822.8981059212</v>
      </c>
      <c r="DH244" s="121">
        <f t="shared" si="32"/>
        <v>4135986.1632531187</v>
      </c>
      <c r="DI244" s="122">
        <f t="shared" si="32"/>
        <v>4766285.5166419055</v>
      </c>
      <c r="DJ244" s="120">
        <f t="shared" si="32"/>
        <v>2409154.3623507507</v>
      </c>
      <c r="DK244" s="280">
        <f t="shared" si="32"/>
        <v>1483280.3928009064</v>
      </c>
      <c r="DL244" s="121">
        <f t="shared" si="32"/>
        <v>2006908.1745379991</v>
      </c>
      <c r="DM244" s="121">
        <f t="shared" si="32"/>
        <v>3182289.9559581177</v>
      </c>
      <c r="DN244" s="121">
        <f t="shared" si="32"/>
        <v>4231375.2243007179</v>
      </c>
      <c r="DO244" s="121">
        <f t="shared" si="32"/>
        <v>3386393.9761406584</v>
      </c>
      <c r="DP244" s="121">
        <f t="shared" si="32"/>
        <v>3090446.9975072816</v>
      </c>
      <c r="DQ244" s="121">
        <f t="shared" si="32"/>
        <v>3087498.4129390134</v>
      </c>
      <c r="DR244" s="121">
        <f t="shared" si="32"/>
        <v>2917378.1773197968</v>
      </c>
      <c r="DS244" s="121">
        <f t="shared" si="32"/>
        <v>2584038.1357656354</v>
      </c>
      <c r="DT244" s="121">
        <f t="shared" si="32"/>
        <v>3191275.8352530822</v>
      </c>
      <c r="DU244" s="122">
        <f t="shared" si="32"/>
        <v>5396946.6881590188</v>
      </c>
      <c r="DV244" s="285">
        <f t="shared" ref="DV244:ES244" si="33">SUM(DV245:DV248)</f>
        <v>3695677.3428100054</v>
      </c>
      <c r="DW244" s="285">
        <f t="shared" si="33"/>
        <v>2748948.1269429871</v>
      </c>
      <c r="DX244" s="285">
        <f t="shared" si="33"/>
        <v>3437534.4688711073</v>
      </c>
      <c r="DY244" s="285">
        <f t="shared" si="33"/>
        <v>4310053.4851114023</v>
      </c>
      <c r="DZ244" s="285">
        <f t="shared" si="33"/>
        <v>4691720.2243610416</v>
      </c>
      <c r="EA244" s="285">
        <f t="shared" si="33"/>
        <v>7347424.3207463743</v>
      </c>
      <c r="EB244" s="285">
        <f t="shared" si="33"/>
        <v>7513005.0166636882</v>
      </c>
      <c r="EC244" s="285">
        <f t="shared" si="33"/>
        <v>7727362.0985374814</v>
      </c>
      <c r="ED244" s="285">
        <f t="shared" si="33"/>
        <v>3713024.1621761573</v>
      </c>
      <c r="EE244" s="285">
        <f t="shared" si="33"/>
        <v>3090680.5408276808</v>
      </c>
      <c r="EF244" s="285">
        <f t="shared" si="33"/>
        <v>3793073.2615852021</v>
      </c>
      <c r="EG244" s="285">
        <f t="shared" si="33"/>
        <v>6660284.6574711353</v>
      </c>
      <c r="EH244" s="285">
        <f t="shared" si="33"/>
        <v>1168350.4302555511</v>
      </c>
      <c r="EI244" s="285">
        <f t="shared" si="33"/>
        <v>1798869.4036121303</v>
      </c>
      <c r="EJ244" s="285">
        <f t="shared" si="33"/>
        <v>4217567.8031770149</v>
      </c>
      <c r="EK244" s="285">
        <f t="shared" si="33"/>
        <v>4791550.5507069705</v>
      </c>
      <c r="EL244" s="285">
        <f t="shared" si="33"/>
        <v>2759327.8496096786</v>
      </c>
      <c r="EM244" s="285">
        <f t="shared" si="33"/>
        <v>4234177.9201608691</v>
      </c>
      <c r="EN244" s="285">
        <f t="shared" si="33"/>
        <v>2756294.0427416707</v>
      </c>
      <c r="EO244" s="285">
        <f t="shared" si="33"/>
        <v>3422485.7897798368</v>
      </c>
      <c r="EP244" s="285">
        <f t="shared" si="33"/>
        <v>2475503.0918674311</v>
      </c>
      <c r="EQ244" s="285">
        <f t="shared" si="33"/>
        <v>2324139.1651606886</v>
      </c>
      <c r="ER244" s="285">
        <f t="shared" si="33"/>
        <v>2273693.8538731383</v>
      </c>
      <c r="ES244" s="285">
        <f t="shared" si="33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2">
        <v>1484714.27</v>
      </c>
      <c r="FS244" s="452">
        <v>2100277.88</v>
      </c>
      <c r="FT244" s="452">
        <v>4248499.3600000003</v>
      </c>
      <c r="FU244" s="452">
        <v>1617752.3800000001</v>
      </c>
      <c r="FV244" s="452">
        <v>1237245.3599999999</v>
      </c>
      <c r="FW244" s="452">
        <v>2257816.068284105</v>
      </c>
      <c r="FX244" s="452">
        <v>5692253.8149066633</v>
      </c>
      <c r="FY244" s="452">
        <v>4621203.3620386366</v>
      </c>
      <c r="FZ244" s="452">
        <v>17537126.915220708</v>
      </c>
      <c r="GA244" s="452">
        <v>3831817.5735939299</v>
      </c>
      <c r="GB244" s="452">
        <v>3619302.6260553906</v>
      </c>
      <c r="GC244" s="452">
        <v>4678583.5639540665</v>
      </c>
      <c r="GE244" s="445">
        <f>SUM(FR244:GD244)</f>
        <v>52926593.174053505</v>
      </c>
    </row>
    <row r="245" spans="1:188">
      <c r="D245" s="72" t="str">
        <f t="shared" si="20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53359.77</v>
      </c>
      <c r="FS245" s="263">
        <v>217955.03</v>
      </c>
      <c r="FT245" s="263">
        <v>2182389.16</v>
      </c>
      <c r="FU245" s="263">
        <v>6978.91</v>
      </c>
      <c r="FV245" s="263">
        <v>67644.320000000007</v>
      </c>
      <c r="FW245" s="263">
        <v>196637.70301503976</v>
      </c>
      <c r="FX245" s="263">
        <v>2045893.5292437794</v>
      </c>
      <c r="FY245" s="263">
        <v>1353708.866818388</v>
      </c>
      <c r="FZ245" s="263">
        <v>15117391.041507646</v>
      </c>
      <c r="GA245" s="263">
        <v>1366450.3689103553</v>
      </c>
      <c r="GB245" s="263">
        <v>1349853.7761285119</v>
      </c>
      <c r="GC245" s="263">
        <v>1473897.1711697774</v>
      </c>
      <c r="GE245" s="446">
        <f>SUM(FS245:GD245)</f>
        <v>25378799.876793496</v>
      </c>
    </row>
    <row r="246" spans="1:188" ht="30">
      <c r="D246" s="72" t="str">
        <f t="shared" si="20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770985.9</v>
      </c>
      <c r="FS246" s="263">
        <v>1051133.5</v>
      </c>
      <c r="FT246" s="263">
        <v>852509.5</v>
      </c>
      <c r="FU246" s="263">
        <v>578139.14</v>
      </c>
      <c r="FV246" s="263">
        <v>681465.85</v>
      </c>
      <c r="FW246" s="263">
        <v>999640.81838258938</v>
      </c>
      <c r="FX246" s="263">
        <v>2493052.0602866462</v>
      </c>
      <c r="FY246" s="263">
        <v>2304202.018003854</v>
      </c>
      <c r="FZ246" s="263">
        <v>1424120.3438691662</v>
      </c>
      <c r="GA246" s="263">
        <v>1240752.8130440477</v>
      </c>
      <c r="GB246" s="263">
        <v>1013826.0724170696</v>
      </c>
      <c r="GC246" s="263">
        <v>1286188.1199866282</v>
      </c>
      <c r="GE246" s="446">
        <f t="shared" ref="GE246:GE248" si="34">SUM(FS246:GD246)</f>
        <v>13925030.235989999</v>
      </c>
    </row>
    <row r="247" spans="1:188" ht="30">
      <c r="D247" s="72" t="str">
        <f t="shared" si="20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170155.41</v>
      </c>
      <c r="FS247" s="263">
        <v>207689.67</v>
      </c>
      <c r="FT247" s="263">
        <v>151455.6</v>
      </c>
      <c r="FU247" s="263">
        <v>78991.53</v>
      </c>
      <c r="FV247" s="263">
        <v>187396.49</v>
      </c>
      <c r="FW247" s="263">
        <v>237974.25210547663</v>
      </c>
      <c r="FX247" s="263">
        <v>345294.23192196421</v>
      </c>
      <c r="FY247" s="263">
        <v>291312.91552778601</v>
      </c>
      <c r="FZ247" s="263">
        <v>294817.25436003634</v>
      </c>
      <c r="GA247" s="263">
        <v>293976.4002331621</v>
      </c>
      <c r="GB247" s="263">
        <v>286144.18478180293</v>
      </c>
      <c r="GC247" s="263">
        <v>349994.87318977172</v>
      </c>
      <c r="GE247" s="446">
        <f t="shared" si="34"/>
        <v>2725047.4021199998</v>
      </c>
    </row>
    <row r="248" spans="1:188">
      <c r="D248" s="72" t="str">
        <f t="shared" si="20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490213.19</v>
      </c>
      <c r="FS248" s="263">
        <v>623499.68000000005</v>
      </c>
      <c r="FT248" s="263">
        <v>1062145.1000000001</v>
      </c>
      <c r="FU248" s="263">
        <v>953642.8</v>
      </c>
      <c r="FV248" s="263">
        <v>300738.7</v>
      </c>
      <c r="FW248" s="263">
        <v>823563.29478099942</v>
      </c>
      <c r="FX248" s="263">
        <v>808013.99345427379</v>
      </c>
      <c r="FY248" s="263">
        <v>671979.56168860814</v>
      </c>
      <c r="FZ248" s="263">
        <v>700798.27548385947</v>
      </c>
      <c r="GA248" s="263">
        <v>930637.99140636483</v>
      </c>
      <c r="GB248" s="263">
        <v>969478.59272800619</v>
      </c>
      <c r="GC248" s="263">
        <v>1568503.3996078894</v>
      </c>
      <c r="GE248" s="446">
        <f t="shared" si="34"/>
        <v>9413001.3891500011</v>
      </c>
    </row>
    <row r="249" spans="1:188" s="9" customFormat="1">
      <c r="A249" s="118"/>
      <c r="B249" s="118">
        <v>72</v>
      </c>
      <c r="C249" s="118" t="s">
        <v>94</v>
      </c>
      <c r="D249" s="118" t="str">
        <f t="shared" si="20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R249" s="9">
        <v>62782.51</v>
      </c>
      <c r="FS249" s="367">
        <v>437988.22</v>
      </c>
      <c r="FT249" s="367">
        <v>603218.21</v>
      </c>
      <c r="FU249" s="367">
        <v>198578.39</v>
      </c>
      <c r="FV249" s="367">
        <v>270349.07</v>
      </c>
      <c r="FW249" s="367">
        <v>632440.5</v>
      </c>
      <c r="FX249" s="367">
        <v>632440.5</v>
      </c>
      <c r="FY249" s="367">
        <v>632440.5</v>
      </c>
      <c r="FZ249" s="367">
        <v>632440.5</v>
      </c>
      <c r="GA249" s="367">
        <v>632440.5</v>
      </c>
      <c r="GB249" s="367">
        <v>632440.5</v>
      </c>
      <c r="GC249" s="367">
        <v>632440.6</v>
      </c>
      <c r="GD249" s="367"/>
      <c r="GE249" s="445">
        <f>SUM(FR249:GD249)</f>
        <v>6000000</v>
      </c>
      <c r="GF249" s="367"/>
    </row>
    <row r="250" spans="1:188" ht="30">
      <c r="C250" s="72">
        <v>721</v>
      </c>
      <c r="D250" s="72" t="str">
        <f t="shared" si="20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8" ht="30">
      <c r="C251" s="72">
        <v>722</v>
      </c>
      <c r="D251" s="72" t="str">
        <f t="shared" si="20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8" s="9" customFormat="1" ht="45">
      <c r="A252" s="118"/>
      <c r="B252" s="118">
        <v>73</v>
      </c>
      <c r="C252" s="118"/>
      <c r="D252" s="118" t="str">
        <f t="shared" si="20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2">
        <v>80819.179999999993</v>
      </c>
      <c r="FS252" s="452">
        <v>813727.89</v>
      </c>
      <c r="FT252" s="452">
        <v>794561.22</v>
      </c>
      <c r="FU252" s="452">
        <v>561040.23</v>
      </c>
      <c r="FV252" s="452">
        <v>218800.94</v>
      </c>
      <c r="FW252" s="452">
        <v>172752.84814830567</v>
      </c>
      <c r="FX252" s="452">
        <v>621585.63801238476</v>
      </c>
      <c r="FY252" s="452">
        <v>1170088.8491047423</v>
      </c>
      <c r="FZ252" s="452">
        <v>665799.08079606481</v>
      </c>
      <c r="GA252" s="452">
        <v>9201611.3215604126</v>
      </c>
      <c r="GB252" s="452">
        <v>1305018.6190754015</v>
      </c>
      <c r="GC252" s="452">
        <v>1507066.6233026888</v>
      </c>
      <c r="GE252" s="445">
        <f>SUM(FR252:GD252)</f>
        <v>17112872.440000001</v>
      </c>
    </row>
    <row r="253" spans="1:188">
      <c r="B253" s="72" t="s">
        <v>94</v>
      </c>
      <c r="C253" s="72">
        <v>731</v>
      </c>
      <c r="D253" s="72" t="str">
        <f t="shared" si="20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8" ht="30">
      <c r="C254" s="72">
        <v>732</v>
      </c>
      <c r="D254" s="72" t="str">
        <f t="shared" si="20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8" s="9" customFormat="1">
      <c r="A255" s="118"/>
      <c r="B255" s="118">
        <v>74</v>
      </c>
      <c r="C255" s="118" t="s">
        <v>94</v>
      </c>
      <c r="D255" s="118" t="str">
        <f t="shared" si="20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2">
        <v>754264.83</v>
      </c>
      <c r="FS255" s="452">
        <v>1636489.54</v>
      </c>
      <c r="FT255" s="452">
        <v>3512551.56</v>
      </c>
      <c r="FU255" s="452">
        <v>2957605.59</v>
      </c>
      <c r="FV255" s="452">
        <v>1856477.6183333334</v>
      </c>
      <c r="FW255" s="452">
        <v>2156477.6183333299</v>
      </c>
      <c r="FX255" s="452">
        <v>1856477.6183333334</v>
      </c>
      <c r="FY255" s="452">
        <v>1856477.6183333334</v>
      </c>
      <c r="FZ255" s="452">
        <v>25000000</v>
      </c>
      <c r="GA255" s="452">
        <v>1856477.6183333334</v>
      </c>
      <c r="GB255" s="452">
        <v>1856477.6183333334</v>
      </c>
      <c r="GC255" s="452">
        <v>4700000</v>
      </c>
      <c r="GE255" s="445">
        <f>SUM(FR255:GD255)</f>
        <v>49999777.229999997</v>
      </c>
    </row>
    <row r="256" spans="1:188">
      <c r="C256" s="72">
        <v>741</v>
      </c>
      <c r="D256" s="72" t="str">
        <f t="shared" si="20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20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5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5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6">+SUM(CL260:CL261)</f>
        <v>0</v>
      </c>
      <c r="CM259" s="121">
        <f t="shared" si="36"/>
        <v>0</v>
      </c>
      <c r="CN259" s="121">
        <f t="shared" si="36"/>
        <v>0</v>
      </c>
      <c r="CO259" s="121">
        <f t="shared" si="36"/>
        <v>200000000</v>
      </c>
      <c r="CP259" s="121">
        <f t="shared" si="36"/>
        <v>0</v>
      </c>
      <c r="CQ259" s="121">
        <f t="shared" si="36"/>
        <v>0</v>
      </c>
      <c r="CR259" s="121">
        <f t="shared" si="36"/>
        <v>0</v>
      </c>
      <c r="CS259" s="121">
        <f t="shared" si="36"/>
        <v>0</v>
      </c>
      <c r="CT259" s="121">
        <f t="shared" si="36"/>
        <v>0</v>
      </c>
      <c r="CU259" s="121">
        <f t="shared" si="36"/>
        <v>50000000</v>
      </c>
      <c r="CV259" s="121">
        <f t="shared" si="36"/>
        <v>0</v>
      </c>
      <c r="CW259" s="122">
        <f t="shared" si="36"/>
        <v>0</v>
      </c>
      <c r="CX259" s="271">
        <f t="shared" si="36"/>
        <v>18997964.655235786</v>
      </c>
      <c r="CY259" s="274">
        <f t="shared" ref="CY259:DI259" si="37">+SUM(CY260:CY261)</f>
        <v>18997964.655235786</v>
      </c>
      <c r="CZ259" s="274">
        <f t="shared" si="37"/>
        <v>18997964.655235786</v>
      </c>
      <c r="DA259" s="274">
        <f t="shared" si="37"/>
        <v>18997964.655235786</v>
      </c>
      <c r="DB259" s="274">
        <f t="shared" si="37"/>
        <v>18997964.655235786</v>
      </c>
      <c r="DC259" s="274">
        <f t="shared" si="37"/>
        <v>18997964.655235786</v>
      </c>
      <c r="DD259" s="274">
        <f t="shared" si="37"/>
        <v>18997964.655235786</v>
      </c>
      <c r="DE259" s="274">
        <f t="shared" si="37"/>
        <v>18997964.655235786</v>
      </c>
      <c r="DF259" s="274">
        <f t="shared" si="37"/>
        <v>18997964.655235786</v>
      </c>
      <c r="DG259" s="274">
        <f t="shared" si="37"/>
        <v>18997964.655235786</v>
      </c>
      <c r="DH259" s="274">
        <f t="shared" si="37"/>
        <v>18997964.655235786</v>
      </c>
      <c r="DI259" s="272">
        <f t="shared" si="37"/>
        <v>18997964.655235786</v>
      </c>
      <c r="DJ259" s="120">
        <f>+SUM(DJ260:DJ261)</f>
        <v>52840136.569718093</v>
      </c>
      <c r="DK259" s="280">
        <f t="shared" ref="DK259:DU259" si="38">+SUM(DK260:DK261)</f>
        <v>52840136.569718093</v>
      </c>
      <c r="DL259" s="121">
        <f t="shared" si="38"/>
        <v>52840136.569718093</v>
      </c>
      <c r="DM259" s="121">
        <f t="shared" si="38"/>
        <v>52840136.569718093</v>
      </c>
      <c r="DN259" s="121">
        <f t="shared" si="38"/>
        <v>52840136.569718093</v>
      </c>
      <c r="DO259" s="121">
        <f t="shared" si="38"/>
        <v>52840136.569718093</v>
      </c>
      <c r="DP259" s="121">
        <f t="shared" si="38"/>
        <v>52840136.569718093</v>
      </c>
      <c r="DQ259" s="121">
        <f t="shared" si="38"/>
        <v>52840136.569718093</v>
      </c>
      <c r="DR259" s="121">
        <f t="shared" si="38"/>
        <v>52840136.569718093</v>
      </c>
      <c r="DS259" s="121">
        <f t="shared" si="38"/>
        <v>52840136.569718093</v>
      </c>
      <c r="DT259" s="121">
        <f t="shared" si="38"/>
        <v>52840136.569718093</v>
      </c>
      <c r="DU259" s="122">
        <f t="shared" si="38"/>
        <v>52840136.569718093</v>
      </c>
      <c r="DV259" s="285">
        <f>SUM(DV260:DV261)</f>
        <v>55595756.08804667</v>
      </c>
      <c r="DW259" s="285">
        <f t="shared" ref="DW259:EF259" si="39">SUM(DW260:DW261)</f>
        <v>55595756.08804667</v>
      </c>
      <c r="DX259" s="285">
        <f t="shared" si="39"/>
        <v>55595756.08804667</v>
      </c>
      <c r="DY259" s="285">
        <f t="shared" si="39"/>
        <v>55595756.08804667</v>
      </c>
      <c r="DZ259" s="285">
        <f t="shared" si="39"/>
        <v>55595756.08804667</v>
      </c>
      <c r="EA259" s="285">
        <f t="shared" si="39"/>
        <v>55595756.08804667</v>
      </c>
      <c r="EB259" s="285">
        <f t="shared" si="39"/>
        <v>55595756.08804667</v>
      </c>
      <c r="EC259" s="285">
        <f t="shared" si="39"/>
        <v>55595756.08804667</v>
      </c>
      <c r="ED259" s="285">
        <f t="shared" si="39"/>
        <v>55595756.08804667</v>
      </c>
      <c r="EE259" s="285">
        <f t="shared" si="39"/>
        <v>55595756.08804667</v>
      </c>
      <c r="EF259" s="285">
        <f t="shared" si="39"/>
        <v>55595756.08804667</v>
      </c>
      <c r="EG259" s="285">
        <f>SUM(EG260:EG261)</f>
        <v>55595756.08804667</v>
      </c>
      <c r="EH259" s="285">
        <f t="shared" ref="EH259:ES259" si="40">SUM(EH260:EH261)</f>
        <v>37847818.636239164</v>
      </c>
      <c r="EI259" s="285">
        <f t="shared" si="40"/>
        <v>37847818.636239164</v>
      </c>
      <c r="EJ259" s="285">
        <f t="shared" si="40"/>
        <v>37847818.636239164</v>
      </c>
      <c r="EK259" s="285">
        <f t="shared" si="40"/>
        <v>37847818.636239164</v>
      </c>
      <c r="EL259" s="285">
        <f t="shared" si="40"/>
        <v>37847818.636239164</v>
      </c>
      <c r="EM259" s="285">
        <f t="shared" si="40"/>
        <v>37847818.636239164</v>
      </c>
      <c r="EN259" s="285">
        <f t="shared" si="40"/>
        <v>37847818.636239164</v>
      </c>
      <c r="EO259" s="285">
        <f t="shared" si="40"/>
        <v>37847818.636239164</v>
      </c>
      <c r="EP259" s="285">
        <f t="shared" si="40"/>
        <v>37847818.636239164</v>
      </c>
      <c r="EQ259" s="285">
        <f t="shared" si="40"/>
        <v>37847818.636239164</v>
      </c>
      <c r="ER259" s="285">
        <f t="shared" si="40"/>
        <v>37847818.636239164</v>
      </c>
      <c r="ES259" s="285">
        <f t="shared" si="40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2">
        <f>SUM(FS260:FS263)</f>
        <v>1511136.76</v>
      </c>
      <c r="FT259" s="452">
        <f t="shared" ref="FT259:GC259" si="41">SUM(FT260:FT263)</f>
        <v>3834054.75</v>
      </c>
      <c r="FU259" s="452">
        <f t="shared" si="41"/>
        <v>4493810.3600000003</v>
      </c>
      <c r="FV259" s="452">
        <f t="shared" si="41"/>
        <v>250307576.15000001</v>
      </c>
      <c r="FW259" s="452">
        <f t="shared" si="41"/>
        <v>10146635.998571429</v>
      </c>
      <c r="FX259" s="452">
        <f t="shared" si="41"/>
        <v>10146635.998571429</v>
      </c>
      <c r="FY259" s="452">
        <f t="shared" si="41"/>
        <v>10146635.998571429</v>
      </c>
      <c r="FZ259" s="452">
        <f t="shared" si="41"/>
        <v>10146635.998571429</v>
      </c>
      <c r="GA259" s="452">
        <f t="shared" si="41"/>
        <v>10146635.998571429</v>
      </c>
      <c r="GB259" s="452">
        <f t="shared" si="41"/>
        <v>10146635.998571429</v>
      </c>
      <c r="GC259" s="452">
        <f t="shared" si="41"/>
        <v>10146635.998571429</v>
      </c>
      <c r="GE259" s="445">
        <f>SUM(FR259:GD259)</f>
        <v>331173030.01000017</v>
      </c>
    </row>
    <row r="260" spans="1:187" ht="30">
      <c r="D260" s="72" t="str">
        <f t="shared" si="35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5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316564.84000000003</v>
      </c>
      <c r="FS261" s="263">
        <v>1511136.76</v>
      </c>
      <c r="FT261" s="263">
        <v>3834054.75</v>
      </c>
      <c r="FU261" s="263">
        <v>4493810.3600000003</v>
      </c>
      <c r="FV261" s="263">
        <v>250307576.15000001</v>
      </c>
      <c r="FW261" s="263">
        <v>10146635.998571429</v>
      </c>
      <c r="FX261" s="263">
        <v>10146635.998571429</v>
      </c>
      <c r="FY261" s="263">
        <v>10146635.998571429</v>
      </c>
      <c r="FZ261" s="263">
        <v>10146635.998571429</v>
      </c>
      <c r="GA261" s="263">
        <v>10146635.998571429</v>
      </c>
      <c r="GB261" s="263">
        <v>10146635.998571429</v>
      </c>
      <c r="GC261" s="263">
        <v>10146635.998571429</v>
      </c>
      <c r="GE261" s="445">
        <f>SUM(FR261:GD261)</f>
        <v>331489594.8500002</v>
      </c>
    </row>
    <row r="262" spans="1:187">
      <c r="A262" s="72">
        <v>4</v>
      </c>
      <c r="B262" s="72" t="s">
        <v>94</v>
      </c>
      <c r="D262" s="72" t="str">
        <f t="shared" si="35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42">DV263+DV320+DV350+DV368+DV379+DV392+DV393</f>
        <v>#REF!</v>
      </c>
      <c r="DW262" s="284" t="e">
        <f t="shared" si="42"/>
        <v>#REF!</v>
      </c>
      <c r="DX262" s="284" t="e">
        <f t="shared" si="42"/>
        <v>#REF!</v>
      </c>
      <c r="DY262" s="284" t="e">
        <f t="shared" si="42"/>
        <v>#REF!</v>
      </c>
      <c r="DZ262" s="284" t="e">
        <f t="shared" si="42"/>
        <v>#REF!</v>
      </c>
      <c r="EA262" s="284" t="e">
        <f t="shared" si="42"/>
        <v>#REF!</v>
      </c>
      <c r="EB262" s="284" t="e">
        <f t="shared" si="42"/>
        <v>#REF!</v>
      </c>
      <c r="EC262" s="284" t="e">
        <f t="shared" si="42"/>
        <v>#REF!</v>
      </c>
      <c r="ED262" s="284" t="e">
        <f t="shared" si="42"/>
        <v>#REF!</v>
      </c>
      <c r="EE262" s="284" t="e">
        <f t="shared" si="42"/>
        <v>#REF!</v>
      </c>
      <c r="EF262" s="284" t="e">
        <f t="shared" si="42"/>
        <v>#REF!</v>
      </c>
      <c r="EG262" s="284" t="e">
        <f t="shared" si="42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5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5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43">+SUM(CL265:CL269)</f>
        <v>31010717.645833336</v>
      </c>
      <c r="CM264" s="121">
        <f t="shared" si="43"/>
        <v>31010717.645833336</v>
      </c>
      <c r="CN264" s="121">
        <f t="shared" si="43"/>
        <v>31010717.645833336</v>
      </c>
      <c r="CO264" s="121">
        <f t="shared" si="43"/>
        <v>31010717.645833336</v>
      </c>
      <c r="CP264" s="121">
        <f t="shared" si="43"/>
        <v>31010717.645833336</v>
      </c>
      <c r="CQ264" s="121">
        <f t="shared" si="43"/>
        <v>31010717.645833336</v>
      </c>
      <c r="CR264" s="121">
        <f t="shared" si="43"/>
        <v>31010717.645833336</v>
      </c>
      <c r="CS264" s="121">
        <f t="shared" si="43"/>
        <v>31010717.645833336</v>
      </c>
      <c r="CT264" s="121">
        <f t="shared" si="43"/>
        <v>31010717.645833336</v>
      </c>
      <c r="CU264" s="121">
        <f t="shared" si="43"/>
        <v>31010717.645833336</v>
      </c>
      <c r="CV264" s="121">
        <f t="shared" si="43"/>
        <v>31010717.645833336</v>
      </c>
      <c r="CW264" s="122">
        <f t="shared" si="43"/>
        <v>31010717.645833336</v>
      </c>
      <c r="CX264" s="271">
        <f t="shared" si="43"/>
        <v>32195307.643333331</v>
      </c>
      <c r="CY264" s="274">
        <f t="shared" ref="CY264:DI264" si="44">+SUM(CY265:CY269)</f>
        <v>32195307.643333331</v>
      </c>
      <c r="CZ264" s="274">
        <f t="shared" si="44"/>
        <v>32195307.643333331</v>
      </c>
      <c r="DA264" s="274">
        <f t="shared" si="44"/>
        <v>32195307.643333331</v>
      </c>
      <c r="DB264" s="274">
        <f t="shared" si="44"/>
        <v>32195307.643333331</v>
      </c>
      <c r="DC264" s="274">
        <f t="shared" si="44"/>
        <v>32195307.643333331</v>
      </c>
      <c r="DD264" s="274">
        <f t="shared" si="44"/>
        <v>32195307.643333331</v>
      </c>
      <c r="DE264" s="274">
        <f t="shared" si="44"/>
        <v>32195307.643333331</v>
      </c>
      <c r="DF264" s="274">
        <f t="shared" si="44"/>
        <v>32195307.643333331</v>
      </c>
      <c r="DG264" s="274">
        <f t="shared" si="44"/>
        <v>32195307.643333331</v>
      </c>
      <c r="DH264" s="274">
        <f t="shared" si="44"/>
        <v>32195307.643333331</v>
      </c>
      <c r="DI264" s="272">
        <f t="shared" si="44"/>
        <v>32195307.643333331</v>
      </c>
      <c r="DJ264" s="120">
        <f>+SUM(DJ265:DJ269)</f>
        <v>31613633.060833335</v>
      </c>
      <c r="DK264" s="121">
        <f t="shared" ref="DK264:DU264" si="45">+SUM(DK265:DK269)</f>
        <v>31613633.060833335</v>
      </c>
      <c r="DL264" s="121">
        <f t="shared" si="45"/>
        <v>31613633.060833335</v>
      </c>
      <c r="DM264" s="121">
        <f t="shared" si="45"/>
        <v>31613633.060833335</v>
      </c>
      <c r="DN264" s="121">
        <f t="shared" si="45"/>
        <v>31613633.060833335</v>
      </c>
      <c r="DO264" s="121">
        <f t="shared" si="45"/>
        <v>31613633.060833335</v>
      </c>
      <c r="DP264" s="121">
        <f t="shared" si="45"/>
        <v>31613633.060833335</v>
      </c>
      <c r="DQ264" s="121">
        <f t="shared" si="45"/>
        <v>31613633.060833335</v>
      </c>
      <c r="DR264" s="121">
        <f t="shared" si="45"/>
        <v>31613633.060833335</v>
      </c>
      <c r="DS264" s="121">
        <f t="shared" si="45"/>
        <v>31613633.060833335</v>
      </c>
      <c r="DT264" s="121">
        <f t="shared" si="45"/>
        <v>31613633.060833335</v>
      </c>
      <c r="DU264" s="122">
        <f t="shared" si="45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v>40884882.280000001</v>
      </c>
      <c r="FS264" s="341">
        <v>41362850.270000003</v>
      </c>
      <c r="FT264" s="341">
        <v>41444412.079999998</v>
      </c>
      <c r="FU264" s="341">
        <v>41745440.189999998</v>
      </c>
      <c r="FV264" s="341">
        <v>40757623.899999999</v>
      </c>
      <c r="FW264" s="341">
        <v>41753797.367142849</v>
      </c>
      <c r="FX264" s="341">
        <v>41753797.367142849</v>
      </c>
      <c r="FY264" s="341">
        <v>41753797.367142849</v>
      </c>
      <c r="FZ264" s="341">
        <v>41753797.367142849</v>
      </c>
      <c r="GA264" s="341">
        <v>41753797.367142849</v>
      </c>
      <c r="GB264" s="341">
        <v>41753797.367142849</v>
      </c>
      <c r="GC264" s="341">
        <v>41753797.367142849</v>
      </c>
      <c r="GE264" s="445">
        <f>SUM(FR264:GD264)</f>
        <v>498471790.28999996</v>
      </c>
    </row>
    <row r="265" spans="1:187">
      <c r="D265" s="72" t="str">
        <f t="shared" si="35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/>
      <c r="FS265" s="263"/>
      <c r="FT265" s="263"/>
      <c r="FU265" s="263"/>
      <c r="FV265" s="263"/>
      <c r="FW265" s="263"/>
      <c r="FX265" s="263"/>
      <c r="FY265" s="263"/>
      <c r="FZ265" s="263"/>
      <c r="GA265" s="263"/>
      <c r="GB265" s="263"/>
      <c r="GC265" s="263"/>
      <c r="GD265" s="263"/>
      <c r="GE265" s="446"/>
    </row>
    <row r="266" spans="1:187">
      <c r="D266" s="72" t="str">
        <f t="shared" si="35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/>
      <c r="FS266" s="263"/>
      <c r="FT266" s="263"/>
      <c r="FU266" s="263"/>
      <c r="FV266" s="263"/>
      <c r="FW266" s="263"/>
      <c r="FX266" s="263"/>
      <c r="FY266" s="263"/>
      <c r="FZ266" s="263"/>
      <c r="GA266" s="263"/>
      <c r="GB266" s="263"/>
      <c r="GC266" s="263"/>
      <c r="GD266" s="263"/>
      <c r="GE266" s="446"/>
    </row>
    <row r="267" spans="1:187">
      <c r="D267" s="72" t="str">
        <f t="shared" si="35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/>
      <c r="FS267" s="263"/>
      <c r="FT267" s="263"/>
      <c r="FU267" s="263"/>
      <c r="FV267" s="263"/>
      <c r="FW267" s="263"/>
      <c r="FX267" s="263"/>
      <c r="FY267" s="263"/>
      <c r="FZ267" s="263"/>
      <c r="GA267" s="263"/>
      <c r="GB267" s="263"/>
      <c r="GC267" s="263"/>
      <c r="GD267" s="263"/>
      <c r="GE267" s="446"/>
    </row>
    <row r="268" spans="1:187">
      <c r="D268" s="72" t="str">
        <f t="shared" si="35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/>
      <c r="FS268" s="263"/>
      <c r="FT268" s="263"/>
      <c r="FU268" s="263"/>
      <c r="FV268" s="263"/>
      <c r="FW268" s="263"/>
      <c r="FX268" s="263"/>
      <c r="FY268" s="263"/>
      <c r="FZ268" s="263"/>
      <c r="GA268" s="263"/>
      <c r="GB268" s="263"/>
      <c r="GC268" s="263"/>
      <c r="GD268" s="263"/>
      <c r="GE268" s="446"/>
    </row>
    <row r="269" spans="1:187">
      <c r="D269" s="72" t="str">
        <f t="shared" si="35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/>
      <c r="FS269" s="263"/>
      <c r="FT269" s="263"/>
      <c r="FU269" s="263"/>
      <c r="FV269" s="263"/>
      <c r="FW269" s="263"/>
      <c r="FX269" s="263"/>
      <c r="FY269" s="263"/>
      <c r="FZ269" s="263"/>
      <c r="GA269" s="263"/>
      <c r="GB269" s="263"/>
      <c r="GC269" s="263"/>
      <c r="GD269" s="263"/>
      <c r="GE269" s="446"/>
    </row>
    <row r="270" spans="1:187" s="9" customFormat="1">
      <c r="A270" s="118"/>
      <c r="B270" s="118"/>
      <c r="C270" s="118">
        <v>412</v>
      </c>
      <c r="D270" s="118" t="str">
        <f t="shared" si="35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6">+SUM(CL271:CL277)</f>
        <v>901608.53416666668</v>
      </c>
      <c r="CM270" s="121">
        <f t="shared" si="46"/>
        <v>901608.53416666668</v>
      </c>
      <c r="CN270" s="121">
        <f t="shared" si="46"/>
        <v>901608.53416666668</v>
      </c>
      <c r="CO270" s="121">
        <f t="shared" si="46"/>
        <v>901608.53416666668</v>
      </c>
      <c r="CP270" s="121">
        <f t="shared" si="46"/>
        <v>901608.53416666668</v>
      </c>
      <c r="CQ270" s="121">
        <f t="shared" si="46"/>
        <v>901608.53416666668</v>
      </c>
      <c r="CR270" s="121">
        <f t="shared" si="46"/>
        <v>901608.53416666668</v>
      </c>
      <c r="CS270" s="121">
        <f t="shared" si="46"/>
        <v>901608.53416666668</v>
      </c>
      <c r="CT270" s="121">
        <f t="shared" si="46"/>
        <v>901608.53416666668</v>
      </c>
      <c r="CU270" s="121">
        <f t="shared" si="46"/>
        <v>901608.53416666668</v>
      </c>
      <c r="CV270" s="121">
        <f t="shared" si="46"/>
        <v>901608.53416666668</v>
      </c>
      <c r="CW270" s="122">
        <f t="shared" si="46"/>
        <v>901608.53416666668</v>
      </c>
      <c r="CX270" s="271">
        <f t="shared" si="46"/>
        <v>956513.66333333333</v>
      </c>
      <c r="CY270" s="274">
        <f t="shared" ref="CY270:DI270" si="47">+SUM(CY271:CY277)</f>
        <v>956513.66333333333</v>
      </c>
      <c r="CZ270" s="274">
        <f t="shared" si="47"/>
        <v>956513.66333333333</v>
      </c>
      <c r="DA270" s="274">
        <f t="shared" si="47"/>
        <v>956513.66333333333</v>
      </c>
      <c r="DB270" s="274">
        <f t="shared" si="47"/>
        <v>956513.66333333333</v>
      </c>
      <c r="DC270" s="274">
        <f t="shared" si="47"/>
        <v>956513.66333333333</v>
      </c>
      <c r="DD270" s="274">
        <f t="shared" si="47"/>
        <v>956513.66333333333</v>
      </c>
      <c r="DE270" s="274">
        <f t="shared" si="47"/>
        <v>956513.66333333333</v>
      </c>
      <c r="DF270" s="274">
        <f t="shared" si="47"/>
        <v>956513.66333333333</v>
      </c>
      <c r="DG270" s="274">
        <f t="shared" si="47"/>
        <v>956513.66333333333</v>
      </c>
      <c r="DH270" s="274">
        <f t="shared" si="47"/>
        <v>956513.66333333333</v>
      </c>
      <c r="DI270" s="272">
        <f t="shared" si="47"/>
        <v>956513.66333333333</v>
      </c>
      <c r="DJ270" s="120">
        <f>+SUM(DJ271:DJ277)</f>
        <v>968300.41833333322</v>
      </c>
      <c r="DK270" s="121">
        <f t="shared" ref="DK270:DU270" si="48">+SUM(DK271:DK277)</f>
        <v>968300.41833333322</v>
      </c>
      <c r="DL270" s="121">
        <f t="shared" si="48"/>
        <v>968300.41833333322</v>
      </c>
      <c r="DM270" s="121">
        <f t="shared" si="48"/>
        <v>968300.41833333322</v>
      </c>
      <c r="DN270" s="121">
        <f t="shared" si="48"/>
        <v>968300.41833333322</v>
      </c>
      <c r="DO270" s="121">
        <f t="shared" si="48"/>
        <v>968300.41833333322</v>
      </c>
      <c r="DP270" s="121">
        <f t="shared" si="48"/>
        <v>968300.41833333322</v>
      </c>
      <c r="DQ270" s="121">
        <f t="shared" si="48"/>
        <v>968300.41833333322</v>
      </c>
      <c r="DR270" s="121">
        <f t="shared" si="48"/>
        <v>968300.41833333322</v>
      </c>
      <c r="DS270" s="121">
        <f t="shared" si="48"/>
        <v>968300.41833333322</v>
      </c>
      <c r="DT270" s="121">
        <f t="shared" si="48"/>
        <v>968300.41833333322</v>
      </c>
      <c r="DU270" s="122">
        <f t="shared" si="48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v>476603.42</v>
      </c>
      <c r="FS270" s="341">
        <v>1082169.6499999999</v>
      </c>
      <c r="FT270" s="341">
        <v>1109472.33</v>
      </c>
      <c r="FU270" s="341">
        <v>652598.81999999995</v>
      </c>
      <c r="FV270" s="341">
        <v>376000.24</v>
      </c>
      <c r="FW270" s="341">
        <v>1605574.7457142856</v>
      </c>
      <c r="FX270" s="341">
        <v>1605574.7457142856</v>
      </c>
      <c r="FY270" s="341">
        <v>1605574.7457142856</v>
      </c>
      <c r="FZ270" s="341">
        <v>1605574.7457142856</v>
      </c>
      <c r="GA270" s="341">
        <v>1605574.7457142856</v>
      </c>
      <c r="GB270" s="341">
        <v>1605574.7457142856</v>
      </c>
      <c r="GC270" s="341">
        <v>1605590.0757142901</v>
      </c>
      <c r="GE270" s="445">
        <f>SUM(FR270:GC270)</f>
        <v>14935883.010000005</v>
      </c>
    </row>
    <row r="271" spans="1:187">
      <c r="D271" s="72" t="str">
        <f t="shared" si="35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48"/>
      <c r="FS271" s="448"/>
      <c r="FT271" s="448"/>
      <c r="FU271" s="448"/>
      <c r="FV271" s="448"/>
      <c r="FW271" s="448"/>
      <c r="FX271" s="448"/>
      <c r="FY271" s="448"/>
      <c r="FZ271" s="448"/>
      <c r="GA271" s="448"/>
      <c r="GB271" s="448"/>
      <c r="GC271" s="448"/>
      <c r="GD271" s="42"/>
      <c r="GE271" s="446">
        <f>SUM(FR271:GD271)</f>
        <v>0</v>
      </c>
    </row>
    <row r="272" spans="1:187" ht="30">
      <c r="D272" s="72" t="str">
        <f t="shared" si="35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48"/>
      <c r="FS272" s="448"/>
      <c r="FT272" s="448"/>
      <c r="FU272" s="448"/>
      <c r="FV272" s="448"/>
      <c r="FW272" s="448"/>
      <c r="FX272" s="448"/>
      <c r="FY272" s="448"/>
      <c r="FZ272" s="448"/>
      <c r="GA272" s="448"/>
      <c r="GB272" s="448"/>
      <c r="GC272" s="448"/>
      <c r="GD272" s="42"/>
      <c r="GE272" s="446">
        <f t="shared" ref="GE272:GE277" si="49">SUM(FR272:GD272)</f>
        <v>0</v>
      </c>
    </row>
    <row r="273" spans="1:187">
      <c r="D273" s="72" t="str">
        <f t="shared" si="35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48"/>
      <c r="FS273" s="448"/>
      <c r="FT273" s="448"/>
      <c r="FU273" s="448"/>
      <c r="FV273" s="448"/>
      <c r="FW273" s="448"/>
      <c r="FX273" s="448"/>
      <c r="FY273" s="448"/>
      <c r="FZ273" s="448"/>
      <c r="GA273" s="448"/>
      <c r="GB273" s="448"/>
      <c r="GC273" s="448"/>
      <c r="GD273" s="42"/>
      <c r="GE273" s="446">
        <f t="shared" si="49"/>
        <v>0</v>
      </c>
    </row>
    <row r="274" spans="1:187">
      <c r="D274" s="72" t="str">
        <f t="shared" si="35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48"/>
      <c r="FS274" s="448"/>
      <c r="FT274" s="448"/>
      <c r="FU274" s="448"/>
      <c r="FV274" s="448"/>
      <c r="FW274" s="448"/>
      <c r="FX274" s="448"/>
      <c r="FY274" s="448"/>
      <c r="FZ274" s="448"/>
      <c r="GA274" s="448"/>
      <c r="GB274" s="448"/>
      <c r="GC274" s="448"/>
      <c r="GD274" s="42"/>
      <c r="GE274" s="446">
        <f t="shared" si="49"/>
        <v>0</v>
      </c>
    </row>
    <row r="275" spans="1:187">
      <c r="D275" s="72" t="str">
        <f t="shared" si="35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48"/>
      <c r="FS275" s="448"/>
      <c r="FT275" s="448"/>
      <c r="FU275" s="448"/>
      <c r="FV275" s="448"/>
      <c r="FW275" s="448"/>
      <c r="FX275" s="448"/>
      <c r="FY275" s="448"/>
      <c r="FZ275" s="448"/>
      <c r="GA275" s="448"/>
      <c r="GB275" s="448"/>
      <c r="GC275" s="448"/>
      <c r="GD275" s="42"/>
      <c r="GE275" s="446">
        <f t="shared" si="49"/>
        <v>0</v>
      </c>
    </row>
    <row r="276" spans="1:187" ht="30">
      <c r="D276" s="72" t="str">
        <f t="shared" si="35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6">
        <f t="shared" si="49"/>
        <v>0</v>
      </c>
    </row>
    <row r="277" spans="1:187">
      <c r="D277" s="72" t="str">
        <f t="shared" si="35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48"/>
      <c r="FS277" s="448"/>
      <c r="FT277" s="448"/>
      <c r="FU277" s="448"/>
      <c r="FV277" s="448"/>
      <c r="FW277" s="448"/>
      <c r="FX277" s="448"/>
      <c r="FY277" s="448"/>
      <c r="FZ277" s="448"/>
      <c r="GA277" s="448"/>
      <c r="GB277" s="448"/>
      <c r="GC277" s="448"/>
      <c r="GD277" s="42"/>
      <c r="GE277" s="446">
        <f t="shared" si="49"/>
        <v>0</v>
      </c>
    </row>
    <row r="278" spans="1:187" s="9" customFormat="1">
      <c r="A278" s="118"/>
      <c r="B278" s="118"/>
      <c r="C278" s="118">
        <v>413</v>
      </c>
      <c r="D278" s="118" t="str">
        <f t="shared" si="35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50">+SUM(CL279:CL284)</f>
        <v>2109966.5125000002</v>
      </c>
      <c r="CM278" s="121">
        <f t="shared" si="50"/>
        <v>2109966.5125000002</v>
      </c>
      <c r="CN278" s="121">
        <f t="shared" si="50"/>
        <v>2109966.5125000002</v>
      </c>
      <c r="CO278" s="121">
        <f t="shared" si="50"/>
        <v>2109966.5125000002</v>
      </c>
      <c r="CP278" s="121">
        <f t="shared" si="50"/>
        <v>2109966.5125000002</v>
      </c>
      <c r="CQ278" s="121">
        <f t="shared" si="50"/>
        <v>2109966.5125000002</v>
      </c>
      <c r="CR278" s="121">
        <f t="shared" si="50"/>
        <v>2109966.5125000002</v>
      </c>
      <c r="CS278" s="121">
        <f t="shared" si="50"/>
        <v>2109966.5125000002</v>
      </c>
      <c r="CT278" s="121">
        <f t="shared" si="50"/>
        <v>2109966.5125000002</v>
      </c>
      <c r="CU278" s="121">
        <f t="shared" si="50"/>
        <v>2109966.5125000002</v>
      </c>
      <c r="CV278" s="121">
        <f t="shared" si="50"/>
        <v>2109966.5125000002</v>
      </c>
      <c r="CW278" s="122">
        <f t="shared" si="50"/>
        <v>2109966.5125000002</v>
      </c>
      <c r="CX278" s="271">
        <f t="shared" si="50"/>
        <v>2567060.8260771562</v>
      </c>
      <c r="CY278" s="274">
        <f t="shared" ref="CY278:DI278" si="51">+SUM(CY279:CY284)</f>
        <v>2567060.8260771562</v>
      </c>
      <c r="CZ278" s="274">
        <f t="shared" si="51"/>
        <v>2567060.8260771562</v>
      </c>
      <c r="DA278" s="274">
        <f t="shared" si="51"/>
        <v>2567060.8260771562</v>
      </c>
      <c r="DB278" s="274">
        <f t="shared" si="51"/>
        <v>2567060.8260771562</v>
      </c>
      <c r="DC278" s="274">
        <f t="shared" si="51"/>
        <v>2567060.8260771562</v>
      </c>
      <c r="DD278" s="274">
        <f t="shared" si="51"/>
        <v>2567060.8260771562</v>
      </c>
      <c r="DE278" s="274">
        <f t="shared" si="51"/>
        <v>2567060.8260771562</v>
      </c>
      <c r="DF278" s="274">
        <f t="shared" si="51"/>
        <v>2567060.8260771562</v>
      </c>
      <c r="DG278" s="274">
        <f t="shared" si="51"/>
        <v>2567060.8260771562</v>
      </c>
      <c r="DH278" s="274">
        <f t="shared" si="51"/>
        <v>2567060.8260771562</v>
      </c>
      <c r="DI278" s="272">
        <f t="shared" si="51"/>
        <v>2567060.8260771562</v>
      </c>
      <c r="DJ278" s="120">
        <f>+SUM(DJ279:DJ284)</f>
        <v>2450506.84</v>
      </c>
      <c r="DK278" s="121">
        <f t="shared" ref="DK278:DU278" si="52">+SUM(DK279:DK284)</f>
        <v>2450506.84</v>
      </c>
      <c r="DL278" s="121">
        <f t="shared" si="52"/>
        <v>2450506.84</v>
      </c>
      <c r="DM278" s="121">
        <f t="shared" si="52"/>
        <v>2450506.84</v>
      </c>
      <c r="DN278" s="121">
        <f t="shared" si="52"/>
        <v>2450506.84</v>
      </c>
      <c r="DO278" s="121">
        <f t="shared" si="52"/>
        <v>2450506.84</v>
      </c>
      <c r="DP278" s="121">
        <f t="shared" si="52"/>
        <v>2450506.84</v>
      </c>
      <c r="DQ278" s="121">
        <f t="shared" si="52"/>
        <v>2450506.84</v>
      </c>
      <c r="DR278" s="121">
        <f t="shared" si="52"/>
        <v>2450506.84</v>
      </c>
      <c r="DS278" s="121">
        <f t="shared" si="52"/>
        <v>2450506.84</v>
      </c>
      <c r="DT278" s="121">
        <f t="shared" si="52"/>
        <v>2450506.84</v>
      </c>
      <c r="DU278" s="122">
        <f t="shared" si="52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v>845574.4</v>
      </c>
      <c r="FS278" s="341">
        <v>4271561.3099999996</v>
      </c>
      <c r="FT278" s="341">
        <v>2456800.5</v>
      </c>
      <c r="FU278" s="341">
        <v>3001224.56</v>
      </c>
      <c r="FV278" s="341">
        <v>1835726.56</v>
      </c>
      <c r="FW278" s="341">
        <v>3331584.2171428567</v>
      </c>
      <c r="FX278" s="341">
        <v>3331584.2171428567</v>
      </c>
      <c r="FY278" s="341">
        <v>2665267.3737142859</v>
      </c>
      <c r="FZ278" s="341">
        <v>3331584.2171428567</v>
      </c>
      <c r="GA278" s="341">
        <v>3331584.2171428567</v>
      </c>
      <c r="GB278" s="341">
        <v>3331584.2171428567</v>
      </c>
      <c r="GC278" s="341">
        <v>3997910.8964734701</v>
      </c>
      <c r="GE278" s="445">
        <f>SUM(FR278:GD278)</f>
        <v>35731986.685902044</v>
      </c>
    </row>
    <row r="279" spans="1:187">
      <c r="D279" s="72" t="str">
        <f t="shared" si="35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/>
      <c r="FS279" s="263"/>
      <c r="FT279" s="263"/>
      <c r="FU279" s="263"/>
      <c r="FV279" s="263"/>
      <c r="FW279" s="263"/>
      <c r="FX279" s="263"/>
      <c r="FY279" s="263"/>
      <c r="FZ279" s="263"/>
      <c r="GA279" s="263"/>
      <c r="GB279" s="263"/>
      <c r="GC279" s="263"/>
      <c r="GE279" s="446"/>
    </row>
    <row r="280" spans="1:187">
      <c r="D280" s="72" t="str">
        <f t="shared" si="35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/>
      <c r="FS280" s="263"/>
      <c r="FT280" s="263"/>
      <c r="FU280" s="263"/>
      <c r="FV280" s="263"/>
      <c r="FW280" s="263"/>
      <c r="FX280" s="263"/>
      <c r="FY280" s="263"/>
      <c r="FZ280" s="263"/>
      <c r="GA280" s="263"/>
      <c r="GB280" s="263"/>
      <c r="GC280" s="263"/>
      <c r="GE280" s="446"/>
    </row>
    <row r="281" spans="1:187">
      <c r="D281" s="72" t="str">
        <f t="shared" si="35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/>
      <c r="FS281" s="263"/>
      <c r="FT281" s="263"/>
      <c r="FU281" s="263"/>
      <c r="FV281" s="263"/>
      <c r="FW281" s="263"/>
      <c r="FX281" s="263"/>
      <c r="FY281" s="263"/>
      <c r="FZ281" s="263"/>
      <c r="GA281" s="263"/>
      <c r="GB281" s="263"/>
      <c r="GC281" s="263"/>
      <c r="GE281" s="446"/>
    </row>
    <row r="282" spans="1:187">
      <c r="D282" s="72" t="str">
        <f t="shared" si="35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/>
      <c r="FS282" s="263"/>
      <c r="FT282" s="263"/>
      <c r="FU282" s="263"/>
      <c r="FV282" s="263"/>
      <c r="FW282" s="263"/>
      <c r="FX282" s="263"/>
      <c r="FY282" s="263"/>
      <c r="FZ282" s="263"/>
      <c r="GA282" s="263"/>
      <c r="GB282" s="263"/>
      <c r="GC282" s="263"/>
      <c r="GE282" s="446"/>
    </row>
    <row r="283" spans="1:187">
      <c r="D283" s="72" t="str">
        <f t="shared" si="35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/>
      <c r="FS283" s="263"/>
      <c r="FT283" s="263"/>
      <c r="FU283" s="263"/>
      <c r="FV283" s="263"/>
      <c r="FW283" s="263"/>
      <c r="FX283" s="263"/>
      <c r="FY283" s="263"/>
      <c r="FZ283" s="263"/>
      <c r="GA283" s="263"/>
      <c r="GB283" s="263"/>
      <c r="GC283" s="263"/>
      <c r="GE283" s="446"/>
    </row>
    <row r="284" spans="1:187">
      <c r="D284" s="72" t="str">
        <f t="shared" si="35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/>
      <c r="FS284" s="263"/>
      <c r="FT284" s="263"/>
      <c r="FU284" s="263"/>
      <c r="FV284" s="263"/>
      <c r="FW284" s="263"/>
      <c r="FX284" s="263"/>
      <c r="FY284" s="263"/>
      <c r="FZ284" s="263"/>
      <c r="GA284" s="263"/>
      <c r="GB284" s="263"/>
      <c r="GC284" s="263"/>
      <c r="GE284" s="446"/>
    </row>
    <row r="285" spans="1:187" s="9" customFormat="1">
      <c r="A285" s="118"/>
      <c r="B285" s="118"/>
      <c r="C285" s="118">
        <v>414</v>
      </c>
      <c r="D285" s="118" t="str">
        <f t="shared" si="35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53">+SUM(CL286:CL294)</f>
        <v>3636728.03</v>
      </c>
      <c r="CM285" s="121">
        <f t="shared" si="53"/>
        <v>3636728.03</v>
      </c>
      <c r="CN285" s="121">
        <f t="shared" si="53"/>
        <v>3636728.03</v>
      </c>
      <c r="CO285" s="121">
        <f t="shared" si="53"/>
        <v>3636728.03</v>
      </c>
      <c r="CP285" s="121">
        <f t="shared" si="53"/>
        <v>3636728.03</v>
      </c>
      <c r="CQ285" s="121">
        <f t="shared" si="53"/>
        <v>3636728.03</v>
      </c>
      <c r="CR285" s="121">
        <f t="shared" si="53"/>
        <v>3636728.03</v>
      </c>
      <c r="CS285" s="121">
        <f t="shared" si="53"/>
        <v>3636728.03</v>
      </c>
      <c r="CT285" s="121">
        <f t="shared" si="53"/>
        <v>3636728.03</v>
      </c>
      <c r="CU285" s="121">
        <f t="shared" si="53"/>
        <v>3636728.03</v>
      </c>
      <c r="CV285" s="121">
        <f t="shared" si="53"/>
        <v>3636728.03</v>
      </c>
      <c r="CW285" s="122">
        <f t="shared" si="53"/>
        <v>3636728.03</v>
      </c>
      <c r="CX285" s="271">
        <f t="shared" si="53"/>
        <v>3555210.7859614557</v>
      </c>
      <c r="CY285" s="274">
        <f t="shared" ref="CY285:DI285" si="54">+SUM(CY286:CY294)</f>
        <v>3555210.7859614557</v>
      </c>
      <c r="CZ285" s="274">
        <f t="shared" si="54"/>
        <v>3555210.7859614557</v>
      </c>
      <c r="DA285" s="274">
        <f t="shared" si="54"/>
        <v>3555210.7859614557</v>
      </c>
      <c r="DB285" s="274">
        <f t="shared" si="54"/>
        <v>3555210.7859614557</v>
      </c>
      <c r="DC285" s="274">
        <f t="shared" si="54"/>
        <v>3555210.7859614557</v>
      </c>
      <c r="DD285" s="274">
        <f t="shared" si="54"/>
        <v>3555210.7859614557</v>
      </c>
      <c r="DE285" s="274">
        <f t="shared" si="54"/>
        <v>3555210.7859614557</v>
      </c>
      <c r="DF285" s="274">
        <f t="shared" si="54"/>
        <v>3555210.7859614557</v>
      </c>
      <c r="DG285" s="274">
        <f t="shared" si="54"/>
        <v>3555210.7859614557</v>
      </c>
      <c r="DH285" s="274">
        <f t="shared" si="54"/>
        <v>3555210.7859614557</v>
      </c>
      <c r="DI285" s="272">
        <f t="shared" si="54"/>
        <v>3555210.7859614557</v>
      </c>
      <c r="DJ285" s="120">
        <f>+SUM(DJ286:DJ294)</f>
        <v>3460881.1266666669</v>
      </c>
      <c r="DK285" s="121">
        <f t="shared" ref="DK285:DU285" si="55">+SUM(DK286:DK294)</f>
        <v>3460881.1266666669</v>
      </c>
      <c r="DL285" s="121">
        <f t="shared" si="55"/>
        <v>3460881.1266666669</v>
      </c>
      <c r="DM285" s="121">
        <f t="shared" si="55"/>
        <v>3460881.1266666669</v>
      </c>
      <c r="DN285" s="121">
        <f t="shared" si="55"/>
        <v>3460881.1266666669</v>
      </c>
      <c r="DO285" s="121">
        <f t="shared" si="55"/>
        <v>3460881.1266666669</v>
      </c>
      <c r="DP285" s="121">
        <f t="shared" si="55"/>
        <v>3460881.1266666669</v>
      </c>
      <c r="DQ285" s="121">
        <f t="shared" si="55"/>
        <v>3460881.1266666669</v>
      </c>
      <c r="DR285" s="121">
        <f t="shared" si="55"/>
        <v>3460881.1266666669</v>
      </c>
      <c r="DS285" s="121">
        <f t="shared" si="55"/>
        <v>3460881.1266666669</v>
      </c>
      <c r="DT285" s="121">
        <f t="shared" si="55"/>
        <v>3460881.1266666669</v>
      </c>
      <c r="DU285" s="122">
        <f t="shared" si="55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v>1526609.67</v>
      </c>
      <c r="FS285" s="341">
        <v>5800030.7699999996</v>
      </c>
      <c r="FT285" s="341">
        <v>6227024.2599999998</v>
      </c>
      <c r="FU285" s="341">
        <v>3735755.56</v>
      </c>
      <c r="FV285" s="341">
        <v>13077926.789999999</v>
      </c>
      <c r="FW285" s="341">
        <v>4490161.0014285715</v>
      </c>
      <c r="FX285" s="341">
        <v>4490161.0014285715</v>
      </c>
      <c r="FY285" s="341">
        <v>3592128.8011428574</v>
      </c>
      <c r="FZ285" s="341">
        <v>4490161.0014285715</v>
      </c>
      <c r="GA285" s="341">
        <v>4490161.0014285715</v>
      </c>
      <c r="GB285" s="341">
        <v>4490161.0014285715</v>
      </c>
      <c r="GC285" s="341">
        <v>5388158.5617142906</v>
      </c>
      <c r="GE285" s="445">
        <f>SUM(FR285:GC285)</f>
        <v>61798439.420000017</v>
      </c>
    </row>
    <row r="286" spans="1:187">
      <c r="D286" s="72" t="str">
        <f t="shared" si="35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/>
      <c r="FS286" s="263"/>
      <c r="FT286" s="263"/>
      <c r="FU286" s="263"/>
      <c r="FV286" s="263"/>
      <c r="FW286" s="263"/>
      <c r="FX286" s="263"/>
      <c r="FY286" s="263"/>
      <c r="FZ286" s="263"/>
      <c r="GA286" s="263"/>
      <c r="GB286" s="263"/>
      <c r="GC286" s="263"/>
      <c r="GE286" s="446"/>
    </row>
    <row r="287" spans="1:187">
      <c r="D287" s="72" t="str">
        <f t="shared" si="35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/>
      <c r="FS287" s="263"/>
      <c r="FT287" s="263"/>
      <c r="FU287" s="263"/>
      <c r="FV287" s="263"/>
      <c r="FW287" s="263"/>
      <c r="FX287" s="263"/>
      <c r="FY287" s="263"/>
      <c r="FZ287" s="263"/>
      <c r="GA287" s="263"/>
      <c r="GB287" s="263"/>
      <c r="GC287" s="263"/>
      <c r="GE287" s="446"/>
    </row>
    <row r="288" spans="1:187">
      <c r="D288" s="72" t="str">
        <f t="shared" si="35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/>
      <c r="FS288" s="263"/>
      <c r="FT288" s="263"/>
      <c r="FU288" s="263"/>
      <c r="FV288" s="263"/>
      <c r="FW288" s="263"/>
      <c r="FX288" s="263"/>
      <c r="FY288" s="263"/>
      <c r="FZ288" s="263"/>
      <c r="GA288" s="263"/>
      <c r="GB288" s="263"/>
      <c r="GC288" s="263"/>
      <c r="GE288" s="446"/>
    </row>
    <row r="289" spans="1:187" ht="30">
      <c r="D289" s="72" t="str">
        <f t="shared" si="35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/>
      <c r="FS289" s="263"/>
      <c r="FT289" s="263"/>
      <c r="FU289" s="263"/>
      <c r="FV289" s="263"/>
      <c r="FW289" s="263"/>
      <c r="FX289" s="263"/>
      <c r="FY289" s="263"/>
      <c r="FZ289" s="263"/>
      <c r="GA289" s="263"/>
      <c r="GB289" s="263"/>
      <c r="GC289" s="263"/>
      <c r="GE289" s="446"/>
    </row>
    <row r="290" spans="1:187">
      <c r="D290" s="72" t="str">
        <f t="shared" ref="D290:D321" si="56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/>
      <c r="FS290" s="263"/>
      <c r="FT290" s="263"/>
      <c r="FU290" s="263"/>
      <c r="FV290" s="263"/>
      <c r="FW290" s="263"/>
      <c r="FX290" s="263"/>
      <c r="FY290" s="263"/>
      <c r="FZ290" s="263"/>
      <c r="GA290" s="263"/>
      <c r="GB290" s="263"/>
      <c r="GC290" s="263"/>
      <c r="GE290" s="446"/>
    </row>
    <row r="291" spans="1:187" ht="30">
      <c r="D291" s="72" t="str">
        <f t="shared" si="56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/>
      <c r="FS291" s="263"/>
      <c r="FT291" s="263"/>
      <c r="FU291" s="263"/>
      <c r="FV291" s="263"/>
      <c r="FW291" s="263"/>
      <c r="FX291" s="263"/>
      <c r="FY291" s="263"/>
      <c r="FZ291" s="263"/>
      <c r="GA291" s="263"/>
      <c r="GB291" s="263"/>
      <c r="GC291" s="263"/>
      <c r="GE291" s="446"/>
    </row>
    <row r="292" spans="1:187" ht="30">
      <c r="D292" s="72" t="str">
        <f t="shared" si="56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/>
      <c r="FS292" s="263"/>
      <c r="FT292" s="263"/>
      <c r="FU292" s="263"/>
      <c r="FV292" s="263"/>
      <c r="FW292" s="263"/>
      <c r="FX292" s="263"/>
      <c r="FY292" s="263"/>
      <c r="FZ292" s="263"/>
      <c r="GA292" s="263"/>
      <c r="GB292" s="263"/>
      <c r="GC292" s="263"/>
      <c r="GE292" s="446"/>
    </row>
    <row r="293" spans="1:187">
      <c r="D293" s="72" t="str">
        <f t="shared" si="56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/>
      <c r="FS293" s="263"/>
      <c r="FT293" s="263"/>
      <c r="FU293" s="263"/>
      <c r="FV293" s="263"/>
      <c r="FW293" s="263"/>
      <c r="FX293" s="263"/>
      <c r="FY293" s="263"/>
      <c r="FZ293" s="263"/>
      <c r="GA293" s="263"/>
      <c r="GB293" s="263"/>
      <c r="GC293" s="263"/>
      <c r="GE293" s="446"/>
    </row>
    <row r="294" spans="1:187">
      <c r="D294" s="72" t="str">
        <f t="shared" si="56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/>
      <c r="FS294" s="263"/>
      <c r="FT294" s="263"/>
      <c r="FU294" s="263"/>
      <c r="FV294" s="263"/>
      <c r="FW294" s="263"/>
      <c r="FX294" s="263"/>
      <c r="FY294" s="263"/>
      <c r="FZ294" s="263"/>
      <c r="GA294" s="263"/>
      <c r="GB294" s="263"/>
      <c r="GC294" s="263"/>
      <c r="GE294" s="446"/>
    </row>
    <row r="295" spans="1:187" s="9" customFormat="1">
      <c r="A295" s="118"/>
      <c r="B295" s="118"/>
      <c r="C295" s="118">
        <v>415</v>
      </c>
      <c r="D295" s="118" t="str">
        <f t="shared" si="56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57">+SUM(CL296:CL298)</f>
        <v>1705556.6708333332</v>
      </c>
      <c r="CM295" s="121">
        <f t="shared" si="57"/>
        <v>1705556.6708333332</v>
      </c>
      <c r="CN295" s="121">
        <f t="shared" si="57"/>
        <v>1705556.6708333332</v>
      </c>
      <c r="CO295" s="121">
        <f t="shared" si="57"/>
        <v>1705556.6708333332</v>
      </c>
      <c r="CP295" s="121">
        <f t="shared" si="57"/>
        <v>1705556.6708333332</v>
      </c>
      <c r="CQ295" s="121">
        <f t="shared" si="57"/>
        <v>1705556.6708333332</v>
      </c>
      <c r="CR295" s="121">
        <f t="shared" si="57"/>
        <v>1705556.6708333332</v>
      </c>
      <c r="CS295" s="121">
        <f t="shared" si="57"/>
        <v>1705556.6708333332</v>
      </c>
      <c r="CT295" s="121">
        <f t="shared" si="57"/>
        <v>1705556.6708333332</v>
      </c>
      <c r="CU295" s="121">
        <f t="shared" si="57"/>
        <v>1705556.6708333332</v>
      </c>
      <c r="CV295" s="121">
        <f t="shared" si="57"/>
        <v>1705556.6708333332</v>
      </c>
      <c r="CW295" s="122">
        <f t="shared" si="57"/>
        <v>1705556.6708333332</v>
      </c>
      <c r="CX295" s="271">
        <f t="shared" si="57"/>
        <v>1804616.9333333331</v>
      </c>
      <c r="CY295" s="274">
        <f t="shared" ref="CY295:DI295" si="58">+SUM(CY296:CY298)</f>
        <v>1804616.9333333331</v>
      </c>
      <c r="CZ295" s="274">
        <f t="shared" si="58"/>
        <v>1804616.9333333331</v>
      </c>
      <c r="DA295" s="274">
        <f t="shared" si="58"/>
        <v>1804616.9333333331</v>
      </c>
      <c r="DB295" s="274">
        <f t="shared" si="58"/>
        <v>1804616.9333333331</v>
      </c>
      <c r="DC295" s="274">
        <f t="shared" si="58"/>
        <v>1804616.9333333331</v>
      </c>
      <c r="DD295" s="274">
        <f t="shared" si="58"/>
        <v>1804616.9333333331</v>
      </c>
      <c r="DE295" s="274">
        <f t="shared" si="58"/>
        <v>1804616.9333333331</v>
      </c>
      <c r="DF295" s="274">
        <f t="shared" si="58"/>
        <v>1804616.9333333331</v>
      </c>
      <c r="DG295" s="274">
        <f t="shared" si="58"/>
        <v>1804616.9333333331</v>
      </c>
      <c r="DH295" s="274">
        <f t="shared" si="58"/>
        <v>1804616.9333333331</v>
      </c>
      <c r="DI295" s="272">
        <f t="shared" si="58"/>
        <v>1804116.9333333331</v>
      </c>
      <c r="DJ295" s="120">
        <f>+SUM(DJ296:DJ298)</f>
        <v>1734268.4441666668</v>
      </c>
      <c r="DK295" s="121">
        <f t="shared" ref="DK295:DU295" si="59">+SUM(DK296:DK298)</f>
        <v>1734268.4441666668</v>
      </c>
      <c r="DL295" s="121">
        <f t="shared" si="59"/>
        <v>1734268.4441666668</v>
      </c>
      <c r="DM295" s="121">
        <f t="shared" si="59"/>
        <v>1734268.4441666668</v>
      </c>
      <c r="DN295" s="121">
        <f t="shared" si="59"/>
        <v>1734268.4441666668</v>
      </c>
      <c r="DO295" s="121">
        <f t="shared" si="59"/>
        <v>1734268.4441666668</v>
      </c>
      <c r="DP295" s="121">
        <f t="shared" si="59"/>
        <v>1734268.4441666668</v>
      </c>
      <c r="DQ295" s="121">
        <f t="shared" si="59"/>
        <v>1734268.4441666668</v>
      </c>
      <c r="DR295" s="121">
        <f t="shared" si="59"/>
        <v>1734268.4441666668</v>
      </c>
      <c r="DS295" s="121">
        <f t="shared" si="59"/>
        <v>1734268.4441666668</v>
      </c>
      <c r="DT295" s="121">
        <f t="shared" si="59"/>
        <v>1734268.4441666668</v>
      </c>
      <c r="DU295" s="122">
        <f t="shared" si="59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v>108691.98</v>
      </c>
      <c r="FS295" s="341">
        <v>2265483.7400000002</v>
      </c>
      <c r="FT295" s="341">
        <v>1016574.39</v>
      </c>
      <c r="FU295" s="341">
        <v>2804355.68</v>
      </c>
      <c r="FV295" s="341">
        <v>1877727.17</v>
      </c>
      <c r="FW295" s="341">
        <v>2564587.1557142856</v>
      </c>
      <c r="FX295" s="341">
        <v>2564587.1557142856</v>
      </c>
      <c r="FY295" s="341">
        <v>2051669.7245714283</v>
      </c>
      <c r="FZ295" s="341">
        <v>2564587.1557142856</v>
      </c>
      <c r="GA295" s="341">
        <v>2564587.1557142856</v>
      </c>
      <c r="GB295" s="341">
        <v>2564587.1557142856</v>
      </c>
      <c r="GC295" s="341">
        <v>3077495.2968571493</v>
      </c>
      <c r="GE295" s="445">
        <f>SUM(FR295:GD295)</f>
        <v>26024933.760000002</v>
      </c>
    </row>
    <row r="296" spans="1:187" ht="30">
      <c r="D296" s="72" t="str">
        <f t="shared" si="56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/>
      <c r="FS296" s="263"/>
      <c r="FT296" s="263"/>
      <c r="FU296" s="263"/>
      <c r="FV296" s="263"/>
      <c r="FW296" s="263"/>
      <c r="FX296" s="263"/>
      <c r="FY296" s="263"/>
      <c r="FZ296" s="263"/>
      <c r="GA296" s="263"/>
      <c r="GB296" s="263"/>
      <c r="GC296" s="263"/>
      <c r="GE296" s="446"/>
    </row>
    <row r="297" spans="1:187" ht="30">
      <c r="D297" s="72" t="str">
        <f t="shared" si="56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/>
      <c r="FS297" s="263"/>
      <c r="FT297" s="263"/>
      <c r="FU297" s="263"/>
      <c r="FV297" s="263"/>
      <c r="FW297" s="263"/>
      <c r="FX297" s="263"/>
      <c r="FY297" s="263"/>
      <c r="FZ297" s="263"/>
      <c r="GA297" s="263"/>
      <c r="GB297" s="263"/>
      <c r="GC297" s="263"/>
      <c r="GE297" s="446"/>
    </row>
    <row r="298" spans="1:187">
      <c r="D298" s="72" t="str">
        <f t="shared" si="56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/>
      <c r="FS298" s="263"/>
      <c r="FT298" s="263"/>
      <c r="FU298" s="263"/>
      <c r="FV298" s="263"/>
      <c r="FW298" s="263"/>
      <c r="FX298" s="263"/>
      <c r="FY298" s="263"/>
      <c r="FZ298" s="263"/>
      <c r="GA298" s="263"/>
      <c r="GB298" s="263"/>
      <c r="GC298" s="263"/>
      <c r="GE298" s="446"/>
    </row>
    <row r="299" spans="1:187" s="9" customFormat="1">
      <c r="A299" s="118"/>
      <c r="B299" s="118"/>
      <c r="C299" s="118">
        <v>416</v>
      </c>
      <c r="D299" s="118" t="str">
        <f t="shared" si="56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60">+SUM(CL300:CL301)</f>
        <v>5866967.2749999994</v>
      </c>
      <c r="CM299" s="121">
        <f t="shared" si="60"/>
        <v>5866967.2749999994</v>
      </c>
      <c r="CN299" s="121">
        <f t="shared" si="60"/>
        <v>5866967.2749999994</v>
      </c>
      <c r="CO299" s="121">
        <f t="shared" si="60"/>
        <v>5866967.2749999994</v>
      </c>
      <c r="CP299" s="121">
        <f t="shared" si="60"/>
        <v>5866967.2749999994</v>
      </c>
      <c r="CQ299" s="121">
        <f t="shared" si="60"/>
        <v>5866967.2749999994</v>
      </c>
      <c r="CR299" s="121">
        <f t="shared" si="60"/>
        <v>5866967.2749999994</v>
      </c>
      <c r="CS299" s="121">
        <f t="shared" si="60"/>
        <v>5866967.2749999994</v>
      </c>
      <c r="CT299" s="121">
        <f t="shared" si="60"/>
        <v>5866967.2749999994</v>
      </c>
      <c r="CU299" s="121">
        <f t="shared" si="60"/>
        <v>5866967.2749999994</v>
      </c>
      <c r="CV299" s="121">
        <f t="shared" si="60"/>
        <v>5866967.2749999994</v>
      </c>
      <c r="CW299" s="122">
        <f t="shared" si="60"/>
        <v>5866967.2749999994</v>
      </c>
      <c r="CX299" s="271">
        <f t="shared" si="60"/>
        <v>6297113.5108333332</v>
      </c>
      <c r="CY299" s="274">
        <f t="shared" ref="CY299:DI299" si="61">+SUM(CY300:CY301)</f>
        <v>6297113.5108333332</v>
      </c>
      <c r="CZ299" s="274">
        <f t="shared" si="61"/>
        <v>6297113.5108333332</v>
      </c>
      <c r="DA299" s="274">
        <f t="shared" si="61"/>
        <v>6297113.5108333332</v>
      </c>
      <c r="DB299" s="274">
        <f t="shared" si="61"/>
        <v>6297113.5108333332</v>
      </c>
      <c r="DC299" s="274">
        <f t="shared" si="61"/>
        <v>6297113.5108333332</v>
      </c>
      <c r="DD299" s="274">
        <f t="shared" si="61"/>
        <v>6297113.5108333332</v>
      </c>
      <c r="DE299" s="274">
        <f t="shared" si="61"/>
        <v>6297113.5108333332</v>
      </c>
      <c r="DF299" s="274">
        <f t="shared" si="61"/>
        <v>6297113.5108333332</v>
      </c>
      <c r="DG299" s="274">
        <f t="shared" si="61"/>
        <v>6297113.5108333332</v>
      </c>
      <c r="DH299" s="274">
        <f t="shared" si="61"/>
        <v>6297113.5108333332</v>
      </c>
      <c r="DI299" s="272">
        <f t="shared" si="61"/>
        <v>6297113.5108333332</v>
      </c>
      <c r="DJ299" s="120">
        <f>+SUM(DJ300:DJ301)</f>
        <v>6313823.6641666666</v>
      </c>
      <c r="DK299" s="121">
        <f t="shared" ref="DK299:DU299" si="62">+SUM(DK300:DK301)</f>
        <v>6313823.6641666666</v>
      </c>
      <c r="DL299" s="121">
        <f t="shared" si="62"/>
        <v>6313823.6641666666</v>
      </c>
      <c r="DM299" s="121">
        <f t="shared" si="62"/>
        <v>6313823.6641666666</v>
      </c>
      <c r="DN299" s="121">
        <f t="shared" si="62"/>
        <v>6313823.6641666666</v>
      </c>
      <c r="DO299" s="121">
        <f t="shared" si="62"/>
        <v>6313823.6641666666</v>
      </c>
      <c r="DP299" s="121">
        <f t="shared" si="62"/>
        <v>6313823.6641666666</v>
      </c>
      <c r="DQ299" s="121">
        <f t="shared" si="62"/>
        <v>6313823.6641666666</v>
      </c>
      <c r="DR299" s="121">
        <f t="shared" si="62"/>
        <v>6313823.6641666666</v>
      </c>
      <c r="DS299" s="121">
        <f t="shared" si="62"/>
        <v>6313823.6641666666</v>
      </c>
      <c r="DT299" s="121">
        <f t="shared" si="62"/>
        <v>6313823.6641666666</v>
      </c>
      <c r="DU299" s="122">
        <f t="shared" si="62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v>7654845.3899999997</v>
      </c>
      <c r="FS299" s="341">
        <v>1839801.88</v>
      </c>
      <c r="FT299" s="341">
        <v>27475960.399999999</v>
      </c>
      <c r="FU299" s="341">
        <v>22559197.739999998</v>
      </c>
      <c r="FV299" s="341">
        <v>1656916.58</v>
      </c>
      <c r="FW299" s="341">
        <v>5198232.47</v>
      </c>
      <c r="FX299" s="341">
        <v>7583026.2800000003</v>
      </c>
      <c r="FY299" s="341">
        <v>786949.86</v>
      </c>
      <c r="FZ299" s="341">
        <v>2190986</v>
      </c>
      <c r="GA299" s="341">
        <v>17371477.57</v>
      </c>
      <c r="GB299" s="341">
        <v>3971191.03</v>
      </c>
      <c r="GC299" s="341">
        <v>5055431.2400000077</v>
      </c>
      <c r="GE299" s="445">
        <f t="shared" ref="GE299:GE306" si="63">SUM(FR299:GD299)</f>
        <v>103344016.44</v>
      </c>
    </row>
    <row r="300" spans="1:187">
      <c r="D300" s="72" t="str">
        <f t="shared" si="56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/>
      <c r="FS300" s="263"/>
      <c r="FT300" s="263"/>
      <c r="FU300" s="263"/>
      <c r="FV300" s="263"/>
      <c r="FW300" s="263"/>
      <c r="FX300" s="263"/>
      <c r="FY300" s="263"/>
      <c r="FZ300" s="263"/>
      <c r="GA300" s="263"/>
      <c r="GB300" s="263"/>
      <c r="GC300" s="263"/>
      <c r="GE300" s="446"/>
    </row>
    <row r="301" spans="1:187">
      <c r="D301" s="72" t="str">
        <f t="shared" si="56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/>
      <c r="FS301" s="263"/>
      <c r="FT301" s="263"/>
      <c r="FU301" s="263"/>
      <c r="FV301" s="263"/>
      <c r="FW301" s="263"/>
      <c r="FX301" s="263"/>
      <c r="FY301" s="263"/>
      <c r="FZ301" s="263"/>
      <c r="GA301" s="263"/>
      <c r="GB301" s="263"/>
      <c r="GC301" s="263"/>
      <c r="GE301" s="446"/>
    </row>
    <row r="302" spans="1:187" s="9" customFormat="1">
      <c r="A302" s="118"/>
      <c r="B302" s="118"/>
      <c r="C302" s="118">
        <v>417</v>
      </c>
      <c r="D302" s="118" t="str">
        <f t="shared" si="56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64">+SUM(CL303:CL305)</f>
        <v>656311.6166666667</v>
      </c>
      <c r="CM302" s="121">
        <f t="shared" si="64"/>
        <v>656311.6166666667</v>
      </c>
      <c r="CN302" s="121">
        <f t="shared" si="64"/>
        <v>656311.6166666667</v>
      </c>
      <c r="CO302" s="121">
        <f t="shared" si="64"/>
        <v>656311.6166666667</v>
      </c>
      <c r="CP302" s="121">
        <f t="shared" si="64"/>
        <v>656311.6166666667</v>
      </c>
      <c r="CQ302" s="121">
        <f t="shared" si="64"/>
        <v>656311.6166666667</v>
      </c>
      <c r="CR302" s="121">
        <f t="shared" si="64"/>
        <v>656311.6166666667</v>
      </c>
      <c r="CS302" s="121">
        <f t="shared" si="64"/>
        <v>656311.6166666667</v>
      </c>
      <c r="CT302" s="121">
        <f t="shared" si="64"/>
        <v>656311.6166666667</v>
      </c>
      <c r="CU302" s="121">
        <f t="shared" si="64"/>
        <v>656311.6166666667</v>
      </c>
      <c r="CV302" s="121">
        <f t="shared" si="64"/>
        <v>656311.6166666667</v>
      </c>
      <c r="CW302" s="122">
        <f t="shared" si="64"/>
        <v>656311.6166666667</v>
      </c>
      <c r="CX302" s="271">
        <f t="shared" si="64"/>
        <v>678983.51166666672</v>
      </c>
      <c r="CY302" s="274">
        <f t="shared" ref="CY302:DI302" si="65">+SUM(CY303:CY305)</f>
        <v>678983.51166666672</v>
      </c>
      <c r="CZ302" s="274">
        <f t="shared" si="65"/>
        <v>678983.51166666672</v>
      </c>
      <c r="DA302" s="274">
        <f t="shared" si="65"/>
        <v>678983.51166666672</v>
      </c>
      <c r="DB302" s="274">
        <f t="shared" si="65"/>
        <v>678983.51166666672</v>
      </c>
      <c r="DC302" s="274">
        <f t="shared" si="65"/>
        <v>678983.51166666672</v>
      </c>
      <c r="DD302" s="274">
        <f t="shared" si="65"/>
        <v>678983.51166666672</v>
      </c>
      <c r="DE302" s="274">
        <f t="shared" si="65"/>
        <v>678983.51166666672</v>
      </c>
      <c r="DF302" s="274">
        <f t="shared" si="65"/>
        <v>678983.51166666672</v>
      </c>
      <c r="DG302" s="274">
        <f t="shared" si="65"/>
        <v>678983.51166666672</v>
      </c>
      <c r="DH302" s="274">
        <f t="shared" si="65"/>
        <v>678983.51166666672</v>
      </c>
      <c r="DI302" s="272">
        <f t="shared" si="65"/>
        <v>678983.51166666672</v>
      </c>
      <c r="DJ302" s="120">
        <f>+SUM(DJ303:DJ305)</f>
        <v>693996.7074999999</v>
      </c>
      <c r="DK302" s="121">
        <f t="shared" ref="DK302:DU302" si="66">+SUM(DK303:DK305)</f>
        <v>693996.7074999999</v>
      </c>
      <c r="DL302" s="121">
        <f t="shared" si="66"/>
        <v>693996.7074999999</v>
      </c>
      <c r="DM302" s="121">
        <f t="shared" si="66"/>
        <v>693996.7074999999</v>
      </c>
      <c r="DN302" s="121">
        <f t="shared" si="66"/>
        <v>693996.7074999999</v>
      </c>
      <c r="DO302" s="121">
        <f t="shared" si="66"/>
        <v>693996.7074999999</v>
      </c>
      <c r="DP302" s="121">
        <f t="shared" si="66"/>
        <v>693996.7074999999</v>
      </c>
      <c r="DQ302" s="121">
        <f t="shared" si="66"/>
        <v>693996.7074999999</v>
      </c>
      <c r="DR302" s="121">
        <f t="shared" si="66"/>
        <v>693996.7074999999</v>
      </c>
      <c r="DS302" s="121">
        <f t="shared" si="66"/>
        <v>693996.7074999999</v>
      </c>
      <c r="DT302" s="121">
        <f t="shared" si="66"/>
        <v>693996.7074999999</v>
      </c>
      <c r="DU302" s="122">
        <f t="shared" si="66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v>616777.93000000005</v>
      </c>
      <c r="FS302" s="341">
        <v>930050.26</v>
      </c>
      <c r="FT302" s="341">
        <v>896586.65</v>
      </c>
      <c r="FU302" s="341">
        <v>972131.72</v>
      </c>
      <c r="FV302" s="341">
        <v>769427.2</v>
      </c>
      <c r="FW302" s="341">
        <v>991607.47714285715</v>
      </c>
      <c r="FX302" s="341">
        <v>991607.47714285715</v>
      </c>
      <c r="FY302" s="341">
        <v>991607.47714285715</v>
      </c>
      <c r="FZ302" s="341">
        <v>991607.47714285715</v>
      </c>
      <c r="GA302" s="341">
        <v>991607.47714285715</v>
      </c>
      <c r="GB302" s="341">
        <v>991607.47714285715</v>
      </c>
      <c r="GC302" s="341">
        <v>991620.63714285719</v>
      </c>
      <c r="GE302" s="445">
        <f t="shared" si="63"/>
        <v>11126239.260000002</v>
      </c>
    </row>
    <row r="303" spans="1:187">
      <c r="D303" s="72" t="str">
        <f t="shared" si="56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/>
      <c r="FS303" s="263"/>
      <c r="FT303" s="263"/>
      <c r="FU303" s="263"/>
      <c r="FV303" s="263"/>
      <c r="FW303" s="263"/>
      <c r="FX303" s="263"/>
      <c r="FY303" s="263"/>
      <c r="FZ303" s="263"/>
      <c r="GA303" s="263"/>
      <c r="GB303" s="263"/>
      <c r="GC303" s="263"/>
      <c r="GE303" s="446"/>
    </row>
    <row r="304" spans="1:187">
      <c r="D304" s="72" t="str">
        <f t="shared" si="56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/>
      <c r="FS304" s="263"/>
      <c r="FT304" s="263"/>
      <c r="FU304" s="263"/>
      <c r="FV304" s="263"/>
      <c r="FW304" s="263"/>
      <c r="FX304" s="263"/>
      <c r="FY304" s="263"/>
      <c r="FZ304" s="263"/>
      <c r="GA304" s="263"/>
      <c r="GB304" s="263"/>
      <c r="GC304" s="263"/>
      <c r="GE304" s="446"/>
    </row>
    <row r="305" spans="1:187">
      <c r="D305" s="72" t="str">
        <f t="shared" si="56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/>
      <c r="FS305" s="263"/>
      <c r="FT305" s="263"/>
      <c r="FU305" s="263"/>
      <c r="FV305" s="263"/>
      <c r="FW305" s="263"/>
      <c r="FX305" s="263"/>
      <c r="FY305" s="263"/>
      <c r="FZ305" s="263"/>
      <c r="GA305" s="263"/>
      <c r="GB305" s="263"/>
      <c r="GC305" s="263"/>
      <c r="GE305" s="446"/>
    </row>
    <row r="306" spans="1:187" s="9" customFormat="1">
      <c r="A306" s="118"/>
      <c r="B306" s="118"/>
      <c r="C306" s="118">
        <v>418</v>
      </c>
      <c r="D306" s="118" t="str">
        <f t="shared" si="56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67">+SUM(CL307:CL309)</f>
        <v>1185833.3333333333</v>
      </c>
      <c r="CM306" s="121">
        <f t="shared" si="67"/>
        <v>1185833.3333333333</v>
      </c>
      <c r="CN306" s="121">
        <f t="shared" si="67"/>
        <v>1185833.3333333333</v>
      </c>
      <c r="CO306" s="121">
        <f t="shared" si="67"/>
        <v>1185833.3333333333</v>
      </c>
      <c r="CP306" s="121">
        <f t="shared" si="67"/>
        <v>1185833.3333333333</v>
      </c>
      <c r="CQ306" s="121">
        <f t="shared" si="67"/>
        <v>1185833.3333333333</v>
      </c>
      <c r="CR306" s="121">
        <f t="shared" si="67"/>
        <v>1185833.3333333333</v>
      </c>
      <c r="CS306" s="121">
        <f t="shared" si="67"/>
        <v>1185833.3333333333</v>
      </c>
      <c r="CT306" s="121">
        <f t="shared" si="67"/>
        <v>1185833.3333333333</v>
      </c>
      <c r="CU306" s="121">
        <f t="shared" si="67"/>
        <v>1185833.3333333333</v>
      </c>
      <c r="CV306" s="121">
        <f t="shared" si="67"/>
        <v>1185833.3333333333</v>
      </c>
      <c r="CW306" s="122">
        <f t="shared" si="67"/>
        <v>1185833.3333333333</v>
      </c>
      <c r="CX306" s="271">
        <f t="shared" si="67"/>
        <v>1572883.3333333333</v>
      </c>
      <c r="CY306" s="274">
        <f t="shared" ref="CY306:DI306" si="68">+SUM(CY307:CY309)</f>
        <v>1572883.3333333333</v>
      </c>
      <c r="CZ306" s="274">
        <f t="shared" si="68"/>
        <v>1572883.3333333333</v>
      </c>
      <c r="DA306" s="274">
        <f t="shared" si="68"/>
        <v>1572883.3333333333</v>
      </c>
      <c r="DB306" s="274">
        <f t="shared" si="68"/>
        <v>1572883.3333333333</v>
      </c>
      <c r="DC306" s="274">
        <f t="shared" si="68"/>
        <v>1572883.3333333333</v>
      </c>
      <c r="DD306" s="274">
        <f t="shared" si="68"/>
        <v>1572883.3333333333</v>
      </c>
      <c r="DE306" s="274">
        <f t="shared" si="68"/>
        <v>1572883.3333333333</v>
      </c>
      <c r="DF306" s="274">
        <f t="shared" si="68"/>
        <v>1572883.3333333333</v>
      </c>
      <c r="DG306" s="274">
        <f t="shared" si="68"/>
        <v>1572883.3333333333</v>
      </c>
      <c r="DH306" s="274">
        <f t="shared" si="68"/>
        <v>1572883.3333333333</v>
      </c>
      <c r="DI306" s="272">
        <f t="shared" si="68"/>
        <v>1572883.3333333333</v>
      </c>
      <c r="DJ306" s="120">
        <f>+SUM(DJ307:DJ309)</f>
        <v>1770966.6666666667</v>
      </c>
      <c r="DK306" s="121">
        <f t="shared" ref="DK306:DU306" si="69">+SUM(DK307:DK309)</f>
        <v>1770966.6666666667</v>
      </c>
      <c r="DL306" s="121">
        <f t="shared" si="69"/>
        <v>1770966.6666666667</v>
      </c>
      <c r="DM306" s="121">
        <f t="shared" si="69"/>
        <v>1770966.6666666667</v>
      </c>
      <c r="DN306" s="121">
        <f t="shared" si="69"/>
        <v>1770966.6666666667</v>
      </c>
      <c r="DO306" s="121">
        <f t="shared" si="69"/>
        <v>1770966.6666666667</v>
      </c>
      <c r="DP306" s="121">
        <f t="shared" si="69"/>
        <v>1770966.6666666667</v>
      </c>
      <c r="DQ306" s="121">
        <f t="shared" si="69"/>
        <v>1770966.6666666667</v>
      </c>
      <c r="DR306" s="121">
        <f t="shared" si="69"/>
        <v>1770966.6666666667</v>
      </c>
      <c r="DS306" s="121">
        <f t="shared" si="69"/>
        <v>1770966.6666666667</v>
      </c>
      <c r="DT306" s="121">
        <f t="shared" si="69"/>
        <v>1770966.6666666667</v>
      </c>
      <c r="DU306" s="122">
        <f t="shared" si="69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v>186907.92</v>
      </c>
      <c r="FS306" s="341">
        <v>1211715.27</v>
      </c>
      <c r="FT306" s="341">
        <v>1425211.49</v>
      </c>
      <c r="FU306" s="341">
        <v>5065576.53</v>
      </c>
      <c r="FV306" s="341">
        <v>1512180.75</v>
      </c>
      <c r="FW306" s="341">
        <v>4240435.0014285715</v>
      </c>
      <c r="FX306" s="341">
        <v>4240435.0014285715</v>
      </c>
      <c r="FY306" s="341">
        <v>4240435.0014285715</v>
      </c>
      <c r="FZ306" s="341">
        <v>4240435.0014285715</v>
      </c>
      <c r="GA306" s="341">
        <v>4240435.0014285715</v>
      </c>
      <c r="GB306" s="341">
        <v>4240435.0014285715</v>
      </c>
      <c r="GC306" s="341">
        <v>4240435.0014285715</v>
      </c>
      <c r="GE306" s="445">
        <f t="shared" si="63"/>
        <v>39084636.969999999</v>
      </c>
    </row>
    <row r="307" spans="1:187" ht="30">
      <c r="D307" s="72" t="str">
        <f t="shared" si="56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/>
      <c r="FS307" s="263"/>
      <c r="FT307" s="263"/>
      <c r="FU307" s="263"/>
      <c r="FV307" s="263"/>
      <c r="FW307" s="263"/>
      <c r="FX307" s="263"/>
      <c r="FY307" s="263"/>
      <c r="FZ307" s="263"/>
      <c r="GA307" s="263"/>
      <c r="GB307" s="263"/>
      <c r="GC307" s="263"/>
      <c r="GE307" s="446"/>
    </row>
    <row r="308" spans="1:187">
      <c r="D308" s="72" t="str">
        <f t="shared" si="56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6"/>
    </row>
    <row r="309" spans="1:187">
      <c r="D309" s="72" t="str">
        <f t="shared" si="56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6"/>
    </row>
    <row r="310" spans="1:187" s="9" customFormat="1">
      <c r="A310" s="118"/>
      <c r="B310" s="118"/>
      <c r="C310" s="118">
        <v>419</v>
      </c>
      <c r="D310" s="118" t="str">
        <f t="shared" si="56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70">+SUM(CL311:CL319)</f>
        <v>2119159.9008333334</v>
      </c>
      <c r="CM310" s="121">
        <f t="shared" si="70"/>
        <v>2119159.9008333334</v>
      </c>
      <c r="CN310" s="121">
        <f t="shared" si="70"/>
        <v>2119159.9008333334</v>
      </c>
      <c r="CO310" s="121">
        <f t="shared" si="70"/>
        <v>2119159.9008333334</v>
      </c>
      <c r="CP310" s="121">
        <f t="shared" si="70"/>
        <v>2119159.9008333334</v>
      </c>
      <c r="CQ310" s="121">
        <f t="shared" si="70"/>
        <v>2119159.9008333334</v>
      </c>
      <c r="CR310" s="121">
        <f t="shared" si="70"/>
        <v>2119159.9008333334</v>
      </c>
      <c r="CS310" s="121">
        <f t="shared" si="70"/>
        <v>2119159.9008333334</v>
      </c>
      <c r="CT310" s="121">
        <f t="shared" si="70"/>
        <v>2119159.9008333334</v>
      </c>
      <c r="CU310" s="121">
        <f t="shared" si="70"/>
        <v>2119159.9008333334</v>
      </c>
      <c r="CV310" s="121">
        <f t="shared" si="70"/>
        <v>2119159.9008333334</v>
      </c>
      <c r="CW310" s="122">
        <f t="shared" si="70"/>
        <v>2119159.9008333334</v>
      </c>
      <c r="CX310" s="271">
        <f t="shared" si="70"/>
        <v>2186482.9354613866</v>
      </c>
      <c r="CY310" s="274">
        <f t="shared" ref="CY310:DI310" si="71">+SUM(CY311:CY319)</f>
        <v>2186482.9354613866</v>
      </c>
      <c r="CZ310" s="274">
        <f t="shared" si="71"/>
        <v>2186482.9354613866</v>
      </c>
      <c r="DA310" s="274">
        <f t="shared" si="71"/>
        <v>2186482.9354613866</v>
      </c>
      <c r="DB310" s="274">
        <f t="shared" si="71"/>
        <v>2186482.9354613866</v>
      </c>
      <c r="DC310" s="274">
        <f t="shared" si="71"/>
        <v>2186482.9354613866</v>
      </c>
      <c r="DD310" s="274">
        <f t="shared" si="71"/>
        <v>2186482.9354613866</v>
      </c>
      <c r="DE310" s="274">
        <f t="shared" si="71"/>
        <v>2186482.9354613866</v>
      </c>
      <c r="DF310" s="274">
        <f t="shared" si="71"/>
        <v>2186482.9354613866</v>
      </c>
      <c r="DG310" s="274">
        <f t="shared" si="71"/>
        <v>2186482.9354613866</v>
      </c>
      <c r="DH310" s="274">
        <f t="shared" si="71"/>
        <v>2186482.9354613866</v>
      </c>
      <c r="DI310" s="272">
        <f t="shared" si="71"/>
        <v>2186482.9354613866</v>
      </c>
      <c r="DJ310" s="120">
        <f>+SUM(DJ311:DJ319)</f>
        <v>2491662.8099999996</v>
      </c>
      <c r="DK310" s="121">
        <f t="shared" ref="DK310:DU310" si="72">+SUM(DK311:DK319)</f>
        <v>2491662.8099999996</v>
      </c>
      <c r="DL310" s="121">
        <f t="shared" si="72"/>
        <v>2491662.8099999996</v>
      </c>
      <c r="DM310" s="121">
        <f t="shared" si="72"/>
        <v>2491662.8099999996</v>
      </c>
      <c r="DN310" s="121">
        <f t="shared" si="72"/>
        <v>2491662.8099999996</v>
      </c>
      <c r="DO310" s="121">
        <f t="shared" si="72"/>
        <v>2491662.8099999996</v>
      </c>
      <c r="DP310" s="121">
        <f t="shared" si="72"/>
        <v>2491662.8099999996</v>
      </c>
      <c r="DQ310" s="121">
        <f t="shared" si="72"/>
        <v>2491662.8099999996</v>
      </c>
      <c r="DR310" s="121">
        <f t="shared" si="72"/>
        <v>2491662.8099999996</v>
      </c>
      <c r="DS310" s="121">
        <f t="shared" si="72"/>
        <v>2491662.8099999996</v>
      </c>
      <c r="DT310" s="121">
        <f t="shared" si="72"/>
        <v>2491662.8099999996</v>
      </c>
      <c r="DU310" s="122">
        <f t="shared" si="72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v>1397051.29</v>
      </c>
      <c r="FS310" s="341">
        <v>3848578.53</v>
      </c>
      <c r="FT310" s="341">
        <v>3215082.08</v>
      </c>
      <c r="FU310" s="341">
        <v>3945513.03</v>
      </c>
      <c r="FV310" s="341">
        <v>3372954.89</v>
      </c>
      <c r="FW310" s="341">
        <v>6200000</v>
      </c>
      <c r="FX310" s="341">
        <v>4599715.6983333342</v>
      </c>
      <c r="FY310" s="341">
        <v>3679772.5586666674</v>
      </c>
      <c r="FZ310" s="341">
        <v>4599715.6983333342</v>
      </c>
      <c r="GA310" s="341">
        <v>4599715.6983333342</v>
      </c>
      <c r="GB310" s="341">
        <v>4599715.6983333342</v>
      </c>
      <c r="GC310" s="341">
        <v>5519658.8379999958</v>
      </c>
      <c r="GE310" s="445">
        <f>SUM(FR310:GD310)</f>
        <v>49577474.010000005</v>
      </c>
    </row>
    <row r="311" spans="1:187" ht="30">
      <c r="D311" s="72" t="str">
        <f t="shared" si="56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/>
      <c r="FS311" s="263"/>
      <c r="FT311" s="263"/>
      <c r="FU311" s="263"/>
      <c r="FV311" s="263"/>
      <c r="FW311" s="263"/>
      <c r="FX311" s="263"/>
      <c r="FY311" s="263"/>
      <c r="FZ311" s="263"/>
      <c r="GA311" s="263"/>
      <c r="GB311" s="263"/>
      <c r="GC311" s="263"/>
      <c r="GE311" s="446"/>
    </row>
    <row r="312" spans="1:187" ht="30">
      <c r="D312" s="72" t="str">
        <f t="shared" si="56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/>
      <c r="FS312" s="263"/>
      <c r="FT312" s="263"/>
      <c r="FU312" s="263"/>
      <c r="FV312" s="263"/>
      <c r="FW312" s="263"/>
      <c r="FX312" s="263"/>
      <c r="FY312" s="263"/>
      <c r="FZ312" s="263"/>
      <c r="GA312" s="263"/>
      <c r="GB312" s="263"/>
      <c r="GC312" s="263"/>
      <c r="GE312" s="446"/>
    </row>
    <row r="313" spans="1:187">
      <c r="D313" s="72" t="str">
        <f t="shared" si="56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/>
      <c r="FS313" s="263"/>
      <c r="FT313" s="263"/>
      <c r="FU313" s="263"/>
      <c r="FV313" s="263"/>
      <c r="FW313" s="263"/>
      <c r="FX313" s="263"/>
      <c r="FY313" s="263"/>
      <c r="FZ313" s="263"/>
      <c r="GA313" s="263"/>
      <c r="GB313" s="263"/>
      <c r="GC313" s="263"/>
      <c r="GE313" s="446"/>
    </row>
    <row r="314" spans="1:187">
      <c r="D314" s="72" t="str">
        <f t="shared" si="56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/>
      <c r="FS314" s="263"/>
      <c r="FT314" s="263"/>
      <c r="FU314" s="263"/>
      <c r="FV314" s="263"/>
      <c r="FW314" s="263"/>
      <c r="FX314" s="263"/>
      <c r="FY314" s="263"/>
      <c r="FZ314" s="263"/>
      <c r="GA314" s="263"/>
      <c r="GB314" s="263"/>
      <c r="GC314" s="263"/>
      <c r="GE314" s="446"/>
    </row>
    <row r="315" spans="1:187" ht="45">
      <c r="D315" s="72" t="str">
        <f t="shared" si="56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/>
      <c r="FS315" s="263"/>
      <c r="FT315" s="263"/>
      <c r="FU315" s="263"/>
      <c r="FV315" s="263"/>
      <c r="FW315" s="263"/>
      <c r="FX315" s="263"/>
      <c r="FY315" s="263"/>
      <c r="FZ315" s="263"/>
      <c r="GA315" s="263"/>
      <c r="GB315" s="263"/>
      <c r="GC315" s="263"/>
      <c r="GE315" s="446"/>
    </row>
    <row r="316" spans="1:187">
      <c r="D316" s="72" t="str">
        <f t="shared" si="56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/>
      <c r="FS316" s="263"/>
      <c r="FT316" s="263"/>
      <c r="FU316" s="263"/>
      <c r="FV316" s="263"/>
      <c r="FW316" s="263"/>
      <c r="FX316" s="263"/>
      <c r="FY316" s="263"/>
      <c r="FZ316" s="263"/>
      <c r="GA316" s="263"/>
      <c r="GB316" s="263"/>
      <c r="GC316" s="263"/>
      <c r="GE316" s="446"/>
    </row>
    <row r="317" spans="1:187">
      <c r="D317" s="72" t="str">
        <f t="shared" si="56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/>
      <c r="FS317" s="263"/>
      <c r="FT317" s="263"/>
      <c r="FU317" s="263"/>
      <c r="FV317" s="263"/>
      <c r="FW317" s="263"/>
      <c r="FX317" s="263"/>
      <c r="FY317" s="263"/>
      <c r="FZ317" s="263"/>
      <c r="GA317" s="263"/>
      <c r="GB317" s="263"/>
      <c r="GC317" s="263"/>
      <c r="GE317" s="446"/>
    </row>
    <row r="318" spans="1:187">
      <c r="D318" s="72" t="str">
        <f t="shared" si="56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/>
      <c r="FS318" s="263"/>
      <c r="FT318" s="263"/>
      <c r="FU318" s="263"/>
      <c r="FV318" s="263"/>
      <c r="FW318" s="263"/>
      <c r="FX318" s="263"/>
      <c r="FY318" s="263"/>
      <c r="FZ318" s="263"/>
      <c r="GA318" s="263"/>
      <c r="GB318" s="263"/>
      <c r="GC318" s="263"/>
      <c r="GE318" s="446"/>
    </row>
    <row r="319" spans="1:187">
      <c r="D319" s="72" t="str">
        <f t="shared" si="56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/>
      <c r="FS319" s="263"/>
      <c r="FT319" s="263"/>
      <c r="FU319" s="263"/>
      <c r="FV319" s="263"/>
      <c r="FW319" s="263"/>
      <c r="FX319" s="263"/>
      <c r="FY319" s="263"/>
      <c r="FZ319" s="263"/>
      <c r="GA319" s="263"/>
      <c r="GB319" s="263"/>
      <c r="GC319" s="263"/>
      <c r="GE319" s="446"/>
    </row>
    <row r="320" spans="1:187" s="9" customFormat="1">
      <c r="A320" s="118"/>
      <c r="B320" s="118">
        <v>42</v>
      </c>
      <c r="C320" s="118" t="s">
        <v>94</v>
      </c>
      <c r="D320" s="118" t="str">
        <f t="shared" si="56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73">+CL321+CL330+CL336+CL344+CL346</f>
        <v>41489393.925000004</v>
      </c>
      <c r="CM320" s="121">
        <f t="shared" si="73"/>
        <v>41489393.925000004</v>
      </c>
      <c r="CN320" s="121">
        <f t="shared" si="73"/>
        <v>41489393.925000004</v>
      </c>
      <c r="CO320" s="121">
        <f t="shared" si="73"/>
        <v>41489393.925000004</v>
      </c>
      <c r="CP320" s="121">
        <f t="shared" si="73"/>
        <v>41489393.925000004</v>
      </c>
      <c r="CQ320" s="121">
        <f t="shared" si="73"/>
        <v>41489393.925000004</v>
      </c>
      <c r="CR320" s="121">
        <f t="shared" si="73"/>
        <v>41489393.925000004</v>
      </c>
      <c r="CS320" s="121">
        <f t="shared" si="73"/>
        <v>41489393.925000004</v>
      </c>
      <c r="CT320" s="121">
        <f t="shared" si="73"/>
        <v>41489393.925000004</v>
      </c>
      <c r="CU320" s="121">
        <f t="shared" si="73"/>
        <v>41489393.925000004</v>
      </c>
      <c r="CV320" s="121">
        <f t="shared" si="73"/>
        <v>41489393.925000004</v>
      </c>
      <c r="CW320" s="122">
        <f t="shared" si="73"/>
        <v>41489393.925000004</v>
      </c>
      <c r="CX320" s="271">
        <f t="shared" si="73"/>
        <v>41226949.914166674</v>
      </c>
      <c r="CY320" s="274">
        <f t="shared" si="73"/>
        <v>41226949.914166674</v>
      </c>
      <c r="CZ320" s="274">
        <f t="shared" si="73"/>
        <v>41226949.914166674</v>
      </c>
      <c r="DA320" s="274">
        <f t="shared" si="73"/>
        <v>41226949.914166674</v>
      </c>
      <c r="DB320" s="274">
        <f t="shared" si="73"/>
        <v>41226949.914166674</v>
      </c>
      <c r="DC320" s="274">
        <f t="shared" si="73"/>
        <v>41226949.914166674</v>
      </c>
      <c r="DD320" s="274">
        <f t="shared" si="73"/>
        <v>41226949.914166674</v>
      </c>
      <c r="DE320" s="274">
        <f t="shared" si="73"/>
        <v>41226949.914166674</v>
      </c>
      <c r="DF320" s="274">
        <f t="shared" si="73"/>
        <v>41226949.914166674</v>
      </c>
      <c r="DG320" s="274">
        <f t="shared" si="73"/>
        <v>41226949.914166674</v>
      </c>
      <c r="DH320" s="274">
        <f t="shared" si="73"/>
        <v>41226949.914166674</v>
      </c>
      <c r="DI320" s="272">
        <f t="shared" si="73"/>
        <v>41226949.914166674</v>
      </c>
      <c r="DJ320" s="120">
        <f t="shared" si="73"/>
        <v>42070460.416666664</v>
      </c>
      <c r="DK320" s="121">
        <f t="shared" si="73"/>
        <v>42070460.416666664</v>
      </c>
      <c r="DL320" s="121">
        <f t="shared" si="73"/>
        <v>42070460.416666664</v>
      </c>
      <c r="DM320" s="121">
        <f t="shared" si="73"/>
        <v>42070460.416666664</v>
      </c>
      <c r="DN320" s="121">
        <f t="shared" si="73"/>
        <v>42070460.416666664</v>
      </c>
      <c r="DO320" s="121">
        <f t="shared" si="73"/>
        <v>42070460.416666664</v>
      </c>
      <c r="DP320" s="121">
        <f t="shared" si="73"/>
        <v>42070460.416666664</v>
      </c>
      <c r="DQ320" s="121">
        <f t="shared" si="73"/>
        <v>42070460.416666664</v>
      </c>
      <c r="DR320" s="121">
        <f t="shared" si="73"/>
        <v>42070460.416666664</v>
      </c>
      <c r="DS320" s="121">
        <f t="shared" si="73"/>
        <v>42070460.416666664</v>
      </c>
      <c r="DT320" s="121">
        <f t="shared" si="73"/>
        <v>42070460.416666664</v>
      </c>
      <c r="DU320" s="122">
        <f t="shared" si="73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v>43744418.239999995</v>
      </c>
      <c r="FS320" s="341">
        <v>46796687.629999995</v>
      </c>
      <c r="FT320" s="341">
        <v>46377214.320000008</v>
      </c>
      <c r="FU320" s="341">
        <v>46828214.329999998</v>
      </c>
      <c r="FV320" s="341">
        <v>44861859.969999999</v>
      </c>
      <c r="FW320" s="341">
        <v>49868571.824285723</v>
      </c>
      <c r="FX320" s="341">
        <v>49868571.824285723</v>
      </c>
      <c r="FY320" s="341">
        <v>49868571.824285723</v>
      </c>
      <c r="FZ320" s="341">
        <v>49868571.824285723</v>
      </c>
      <c r="GA320" s="341">
        <v>49868571.824285723</v>
      </c>
      <c r="GB320" s="341">
        <v>49868571.824285723</v>
      </c>
      <c r="GC320" s="341">
        <v>49868571.824285723</v>
      </c>
      <c r="GE320" s="445">
        <f>SUM(FR320:GD320)</f>
        <v>577688397.26000011</v>
      </c>
    </row>
    <row r="321" spans="1:187" s="9" customFormat="1">
      <c r="A321" s="118"/>
      <c r="B321" s="118"/>
      <c r="C321" s="118">
        <v>421</v>
      </c>
      <c r="D321" s="118" t="str">
        <f t="shared" si="56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74">+SUM(CL322:CL328)</f>
        <v>5084083.333333333</v>
      </c>
      <c r="CM321" s="121">
        <f t="shared" si="74"/>
        <v>5084083.333333333</v>
      </c>
      <c r="CN321" s="121">
        <f t="shared" si="74"/>
        <v>5084083.333333333</v>
      </c>
      <c r="CO321" s="121">
        <f t="shared" si="74"/>
        <v>5084083.333333333</v>
      </c>
      <c r="CP321" s="121">
        <f t="shared" si="74"/>
        <v>5084083.333333333</v>
      </c>
      <c r="CQ321" s="121">
        <f t="shared" si="74"/>
        <v>5084083.333333333</v>
      </c>
      <c r="CR321" s="121">
        <f t="shared" si="74"/>
        <v>5084083.333333333</v>
      </c>
      <c r="CS321" s="121">
        <f t="shared" si="74"/>
        <v>5084083.333333333</v>
      </c>
      <c r="CT321" s="121">
        <f t="shared" si="74"/>
        <v>5084083.333333333</v>
      </c>
      <c r="CU321" s="121">
        <f t="shared" si="74"/>
        <v>5084083.333333333</v>
      </c>
      <c r="CV321" s="121">
        <f t="shared" si="74"/>
        <v>5084083.333333333</v>
      </c>
      <c r="CW321" s="122">
        <f t="shared" si="74"/>
        <v>5084083.333333333</v>
      </c>
      <c r="CX321" s="271">
        <f t="shared" si="74"/>
        <v>4887083.333333333</v>
      </c>
      <c r="CY321" s="274">
        <f t="shared" ref="CY321:DI321" si="75">+SUM(CY322:CY328)</f>
        <v>4887083.333333333</v>
      </c>
      <c r="CZ321" s="274">
        <f t="shared" si="75"/>
        <v>4887083.333333333</v>
      </c>
      <c r="DA321" s="274">
        <f t="shared" si="75"/>
        <v>4887083.333333333</v>
      </c>
      <c r="DB321" s="274">
        <f t="shared" si="75"/>
        <v>4887083.333333333</v>
      </c>
      <c r="DC321" s="274">
        <f t="shared" si="75"/>
        <v>4887083.333333333</v>
      </c>
      <c r="DD321" s="274">
        <f t="shared" si="75"/>
        <v>4887083.333333333</v>
      </c>
      <c r="DE321" s="274">
        <f t="shared" si="75"/>
        <v>4887083.333333333</v>
      </c>
      <c r="DF321" s="274">
        <f t="shared" si="75"/>
        <v>4887083.333333333</v>
      </c>
      <c r="DG321" s="274">
        <f t="shared" si="75"/>
        <v>4887083.333333333</v>
      </c>
      <c r="DH321" s="274">
        <f t="shared" si="75"/>
        <v>4887083.333333333</v>
      </c>
      <c r="DI321" s="272">
        <f t="shared" si="75"/>
        <v>4887083.333333333</v>
      </c>
      <c r="DJ321" s="120">
        <f>+SUM(DJ322:DJ328)</f>
        <v>5044218.75</v>
      </c>
      <c r="DK321" s="121">
        <f t="shared" ref="DK321:DU321" si="76">+SUM(DK322:DK328)</f>
        <v>5044218.75</v>
      </c>
      <c r="DL321" s="121">
        <f t="shared" si="76"/>
        <v>5044218.75</v>
      </c>
      <c r="DM321" s="121">
        <f t="shared" si="76"/>
        <v>5044218.75</v>
      </c>
      <c r="DN321" s="121">
        <f t="shared" si="76"/>
        <v>5044218.75</v>
      </c>
      <c r="DO321" s="121">
        <f t="shared" si="76"/>
        <v>5044218.75</v>
      </c>
      <c r="DP321" s="121">
        <f t="shared" si="76"/>
        <v>5044218.75</v>
      </c>
      <c r="DQ321" s="121">
        <f t="shared" si="76"/>
        <v>5044218.75</v>
      </c>
      <c r="DR321" s="121">
        <f t="shared" si="76"/>
        <v>5044218.75</v>
      </c>
      <c r="DS321" s="121">
        <f t="shared" si="76"/>
        <v>5044218.75</v>
      </c>
      <c r="DT321" s="121">
        <f t="shared" si="76"/>
        <v>5044218.75</v>
      </c>
      <c r="DU321" s="122">
        <f t="shared" si="76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v>6448137.3300000001</v>
      </c>
      <c r="FS321" s="341">
        <v>7174722.5199999996</v>
      </c>
      <c r="FT321" s="341">
        <v>6752335.3300000001</v>
      </c>
      <c r="FU321" s="341">
        <v>6378584.3399999999</v>
      </c>
      <c r="FV321" s="341">
        <v>5976072.2199999997</v>
      </c>
      <c r="FW321" s="341">
        <v>7400021.1800000006</v>
      </c>
      <c r="FX321" s="341">
        <v>7400021.1800000006</v>
      </c>
      <c r="FY321" s="341">
        <v>7400021.1800000006</v>
      </c>
      <c r="FZ321" s="341">
        <v>7400021.1800000006</v>
      </c>
      <c r="GA321" s="341">
        <v>7400021.1800000006</v>
      </c>
      <c r="GB321" s="341">
        <v>7400021.1800000006</v>
      </c>
      <c r="GC321" s="341">
        <v>7400021.1800000006</v>
      </c>
      <c r="GE321" s="445">
        <f>SUM(FR321:GD321)</f>
        <v>84530000.000000015</v>
      </c>
    </row>
    <row r="322" spans="1:187">
      <c r="C322" s="72" t="s">
        <v>94</v>
      </c>
      <c r="D322" s="72" t="str">
        <f t="shared" ref="D322:D328" si="77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/>
      <c r="FS322" s="263"/>
      <c r="FT322" s="263"/>
      <c r="FU322" s="263"/>
      <c r="FV322" s="263"/>
      <c r="FW322" s="263"/>
      <c r="FX322" s="263"/>
      <c r="FY322" s="263"/>
      <c r="FZ322" s="263"/>
      <c r="GA322" s="263"/>
      <c r="GB322" s="263"/>
      <c r="GC322" s="263"/>
      <c r="GE322" s="446"/>
    </row>
    <row r="323" spans="1:187">
      <c r="D323" s="72" t="str">
        <f t="shared" si="77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/>
      <c r="FS323" s="263"/>
      <c r="FT323" s="263"/>
      <c r="FU323" s="263"/>
      <c r="FV323" s="263"/>
      <c r="FW323" s="263"/>
      <c r="FX323" s="263"/>
      <c r="FY323" s="263"/>
      <c r="FZ323" s="263"/>
      <c r="GA323" s="263"/>
      <c r="GB323" s="263"/>
      <c r="GC323" s="263"/>
      <c r="GE323" s="446"/>
    </row>
    <row r="324" spans="1:187" ht="30">
      <c r="D324" s="72" t="str">
        <f t="shared" si="77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/>
      <c r="FS324" s="263"/>
      <c r="FT324" s="263"/>
      <c r="FU324" s="263"/>
      <c r="FV324" s="263"/>
      <c r="FW324" s="263"/>
      <c r="FX324" s="263"/>
      <c r="FY324" s="263"/>
      <c r="FZ324" s="263"/>
      <c r="GA324" s="263"/>
      <c r="GB324" s="263"/>
      <c r="GC324" s="263"/>
      <c r="GE324" s="446"/>
    </row>
    <row r="325" spans="1:187">
      <c r="D325" s="72" t="str">
        <f t="shared" si="77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/>
      <c r="FS325" s="263"/>
      <c r="FT325" s="263"/>
      <c r="FU325" s="263"/>
      <c r="FV325" s="263"/>
      <c r="FW325" s="263"/>
      <c r="FX325" s="263"/>
      <c r="FY325" s="263"/>
      <c r="FZ325" s="263"/>
      <c r="GA325" s="263"/>
      <c r="GB325" s="263"/>
      <c r="GC325" s="263"/>
      <c r="GE325" s="446"/>
    </row>
    <row r="326" spans="1:187">
      <c r="D326" s="72" t="str">
        <f t="shared" si="77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/>
      <c r="FS326" s="263"/>
      <c r="FT326" s="263"/>
      <c r="FU326" s="263"/>
      <c r="FV326" s="263"/>
      <c r="FW326" s="263"/>
      <c r="FX326" s="263"/>
      <c r="FY326" s="263"/>
      <c r="FZ326" s="263"/>
      <c r="GA326" s="263"/>
      <c r="GB326" s="263"/>
      <c r="GC326" s="263"/>
      <c r="GE326" s="446"/>
    </row>
    <row r="327" spans="1:187" ht="30">
      <c r="D327" s="72" t="str">
        <f t="shared" si="77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/>
      <c r="FS327" s="263"/>
      <c r="FT327" s="263"/>
      <c r="FU327" s="263"/>
      <c r="FV327" s="263"/>
      <c r="FW327" s="263"/>
      <c r="FX327" s="263"/>
      <c r="FY327" s="263"/>
      <c r="FZ327" s="263"/>
      <c r="GA327" s="263"/>
      <c r="GB327" s="263"/>
      <c r="GC327" s="263"/>
      <c r="GE327" s="446"/>
    </row>
    <row r="328" spans="1:187" ht="30">
      <c r="D328" s="72" t="str">
        <f t="shared" si="77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/>
      <c r="FS328" s="263"/>
      <c r="FT328" s="263"/>
      <c r="FU328" s="263"/>
      <c r="FV328" s="263"/>
      <c r="FW328" s="263"/>
      <c r="FX328" s="263"/>
      <c r="FY328" s="263"/>
      <c r="FZ328" s="263"/>
      <c r="GA328" s="263"/>
      <c r="GB328" s="263"/>
      <c r="GC328" s="263"/>
      <c r="GE328" s="446"/>
    </row>
    <row r="329" spans="1:187" s="368" customFormat="1" ht="30">
      <c r="A329" s="72"/>
      <c r="B329" s="72"/>
      <c r="C329" s="72"/>
      <c r="D329" s="72" t="s">
        <v>797</v>
      </c>
      <c r="E329" s="76" t="s">
        <v>721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/>
      <c r="FS329" s="263"/>
      <c r="FT329" s="263"/>
      <c r="FU329" s="263"/>
      <c r="FV329" s="263"/>
      <c r="FW329" s="263"/>
      <c r="FX329" s="263"/>
      <c r="FY329" s="263"/>
      <c r="FZ329" s="263"/>
      <c r="GA329" s="263"/>
      <c r="GB329" s="263"/>
      <c r="GC329" s="263"/>
      <c r="GE329" s="446"/>
    </row>
    <row r="330" spans="1:187" s="9" customFormat="1">
      <c r="A330" s="118"/>
      <c r="B330" s="118"/>
      <c r="C330" s="118">
        <v>422</v>
      </c>
      <c r="D330" s="118" t="str">
        <f t="shared" ref="D330:D361" si="78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79">+SUM(CL331:CL335)</f>
        <v>1280004.1666666665</v>
      </c>
      <c r="CM330" s="121">
        <f t="shared" si="79"/>
        <v>1280004.1666666665</v>
      </c>
      <c r="CN330" s="121">
        <f t="shared" si="79"/>
        <v>1280004.1666666665</v>
      </c>
      <c r="CO330" s="121">
        <f t="shared" si="79"/>
        <v>1280004.1666666665</v>
      </c>
      <c r="CP330" s="121">
        <f t="shared" si="79"/>
        <v>1280004.1666666665</v>
      </c>
      <c r="CQ330" s="121">
        <f t="shared" si="79"/>
        <v>1280004.1666666665</v>
      </c>
      <c r="CR330" s="121">
        <f t="shared" si="79"/>
        <v>1280004.1666666665</v>
      </c>
      <c r="CS330" s="121">
        <f t="shared" si="79"/>
        <v>1280004.1666666665</v>
      </c>
      <c r="CT330" s="121">
        <f t="shared" si="79"/>
        <v>1280004.1666666665</v>
      </c>
      <c r="CU330" s="121">
        <f t="shared" si="79"/>
        <v>1280004.1666666665</v>
      </c>
      <c r="CV330" s="121">
        <f t="shared" si="79"/>
        <v>1280004.1666666665</v>
      </c>
      <c r="CW330" s="122">
        <f t="shared" si="79"/>
        <v>1280004.1666666665</v>
      </c>
      <c r="CX330" s="271">
        <f t="shared" si="79"/>
        <v>1438177</v>
      </c>
      <c r="CY330" s="274">
        <f t="shared" ref="CY330:DI330" si="80">+SUM(CY331:CY335)</f>
        <v>1438177</v>
      </c>
      <c r="CZ330" s="274">
        <f t="shared" si="80"/>
        <v>1438177</v>
      </c>
      <c r="DA330" s="274">
        <f t="shared" si="80"/>
        <v>1438177</v>
      </c>
      <c r="DB330" s="274">
        <f t="shared" si="80"/>
        <v>1438177</v>
      </c>
      <c r="DC330" s="274">
        <f t="shared" si="80"/>
        <v>1438177</v>
      </c>
      <c r="DD330" s="274">
        <f t="shared" si="80"/>
        <v>1438177</v>
      </c>
      <c r="DE330" s="274">
        <f t="shared" si="80"/>
        <v>1438177</v>
      </c>
      <c r="DF330" s="274">
        <f t="shared" si="80"/>
        <v>1438177</v>
      </c>
      <c r="DG330" s="274">
        <f t="shared" si="80"/>
        <v>1438177</v>
      </c>
      <c r="DH330" s="274">
        <f t="shared" si="80"/>
        <v>1438177</v>
      </c>
      <c r="DI330" s="272">
        <f t="shared" si="80"/>
        <v>1438177</v>
      </c>
      <c r="DJ330" s="120">
        <f>+SUM(DJ331:DJ335)</f>
        <v>1620000</v>
      </c>
      <c r="DK330" s="121">
        <f t="shared" ref="DK330:DU330" si="81">+SUM(DK331:DK335)</f>
        <v>1620000</v>
      </c>
      <c r="DL330" s="121">
        <f t="shared" si="81"/>
        <v>1620000</v>
      </c>
      <c r="DM330" s="121">
        <f t="shared" si="81"/>
        <v>1620000</v>
      </c>
      <c r="DN330" s="121">
        <f t="shared" si="81"/>
        <v>1620000</v>
      </c>
      <c r="DO330" s="121">
        <f t="shared" si="81"/>
        <v>1620000</v>
      </c>
      <c r="DP330" s="121">
        <f t="shared" si="81"/>
        <v>1620000</v>
      </c>
      <c r="DQ330" s="121">
        <f t="shared" si="81"/>
        <v>1620000</v>
      </c>
      <c r="DR330" s="121">
        <f t="shared" si="81"/>
        <v>1620000</v>
      </c>
      <c r="DS330" s="121">
        <f t="shared" si="81"/>
        <v>1620000</v>
      </c>
      <c r="DT330" s="121">
        <f t="shared" si="81"/>
        <v>1620000</v>
      </c>
      <c r="DU330" s="122">
        <f t="shared" si="81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v>54255.6</v>
      </c>
      <c r="FS330" s="341">
        <v>1607182</v>
      </c>
      <c r="FT330" s="341">
        <v>1602703.45</v>
      </c>
      <c r="FU330" s="341">
        <v>1448885.74</v>
      </c>
      <c r="FV330" s="341">
        <v>1413828.93</v>
      </c>
      <c r="FW330" s="341">
        <v>2033020.7142857143</v>
      </c>
      <c r="FX330" s="341">
        <v>2033020.7142857143</v>
      </c>
      <c r="FY330" s="341">
        <v>2033020.7142857143</v>
      </c>
      <c r="FZ330" s="341">
        <v>2033020.7142857143</v>
      </c>
      <c r="GA330" s="341">
        <v>2033020.7142857143</v>
      </c>
      <c r="GB330" s="341">
        <v>2033020.7142857143</v>
      </c>
      <c r="GC330" s="341">
        <v>2033020.7142857143</v>
      </c>
      <c r="GE330" s="445">
        <f>SUM(FR330:GD330)</f>
        <v>20358000.719999999</v>
      </c>
    </row>
    <row r="331" spans="1:187">
      <c r="D331" s="72" t="str">
        <f t="shared" si="78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/>
      <c r="FS331" s="263"/>
      <c r="FT331" s="263"/>
      <c r="FU331" s="263"/>
      <c r="FV331" s="263"/>
      <c r="FW331" s="263"/>
      <c r="FX331" s="263"/>
      <c r="FY331" s="263"/>
      <c r="FZ331" s="263"/>
      <c r="GA331" s="263"/>
      <c r="GB331" s="263"/>
      <c r="GC331" s="263"/>
      <c r="GE331" s="446"/>
    </row>
    <row r="332" spans="1:187" ht="30">
      <c r="D332" s="72" t="str">
        <f t="shared" si="78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/>
      <c r="FS332" s="263"/>
      <c r="FT332" s="263"/>
      <c r="FU332" s="263"/>
      <c r="FV332" s="263"/>
      <c r="FW332" s="263"/>
      <c r="FX332" s="263"/>
      <c r="FY332" s="263"/>
      <c r="FZ332" s="263"/>
      <c r="GA332" s="263"/>
      <c r="GB332" s="263"/>
      <c r="GC332" s="263"/>
      <c r="GE332" s="446"/>
    </row>
    <row r="333" spans="1:187">
      <c r="D333" s="72" t="str">
        <f t="shared" si="78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6"/>
    </row>
    <row r="334" spans="1:187">
      <c r="D334" s="72" t="str">
        <f t="shared" si="78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/>
      <c r="FS334" s="263"/>
      <c r="FT334" s="263"/>
      <c r="FU334" s="263"/>
      <c r="FV334" s="263"/>
      <c r="FW334" s="263"/>
      <c r="FX334" s="263"/>
      <c r="FY334" s="263"/>
      <c r="FZ334" s="263"/>
      <c r="GA334" s="263"/>
      <c r="GB334" s="263"/>
      <c r="GC334" s="263"/>
      <c r="GE334" s="446"/>
    </row>
    <row r="335" spans="1:187">
      <c r="D335" s="72" t="str">
        <f t="shared" si="78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/>
      <c r="FS335" s="263"/>
      <c r="FT335" s="263"/>
      <c r="FU335" s="263"/>
      <c r="FV335" s="263"/>
      <c r="FW335" s="263"/>
      <c r="FX335" s="263"/>
      <c r="FY335" s="263"/>
      <c r="FZ335" s="263"/>
      <c r="GA335" s="263"/>
      <c r="GB335" s="263"/>
      <c r="GC335" s="263"/>
      <c r="GE335" s="446"/>
    </row>
    <row r="336" spans="1:187" s="9" customFormat="1" ht="30">
      <c r="A336" s="118"/>
      <c r="B336" s="118"/>
      <c r="C336" s="118">
        <v>423</v>
      </c>
      <c r="D336" s="118" t="str">
        <f t="shared" si="78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82">+SUM(CL337:CL343)</f>
        <v>33408639.758333333</v>
      </c>
      <c r="CM336" s="121">
        <f t="shared" si="82"/>
        <v>33408639.758333333</v>
      </c>
      <c r="CN336" s="121">
        <f t="shared" si="82"/>
        <v>33408639.758333333</v>
      </c>
      <c r="CO336" s="121">
        <f t="shared" si="82"/>
        <v>33408639.758333333</v>
      </c>
      <c r="CP336" s="121">
        <f t="shared" si="82"/>
        <v>33408639.758333333</v>
      </c>
      <c r="CQ336" s="121">
        <f t="shared" si="82"/>
        <v>33408639.758333333</v>
      </c>
      <c r="CR336" s="121">
        <f t="shared" si="82"/>
        <v>33408639.758333333</v>
      </c>
      <c r="CS336" s="121">
        <f t="shared" si="82"/>
        <v>33408639.758333333</v>
      </c>
      <c r="CT336" s="121">
        <f t="shared" si="82"/>
        <v>33408639.758333333</v>
      </c>
      <c r="CU336" s="121">
        <f t="shared" si="82"/>
        <v>33408639.758333333</v>
      </c>
      <c r="CV336" s="121">
        <f t="shared" si="82"/>
        <v>33408639.758333333</v>
      </c>
      <c r="CW336" s="122">
        <f t="shared" si="82"/>
        <v>33408639.758333333</v>
      </c>
      <c r="CX336" s="271">
        <f t="shared" si="82"/>
        <v>33110022.91416667</v>
      </c>
      <c r="CY336" s="274">
        <f t="shared" ref="CY336:DI336" si="83">+SUM(CY337:CY343)</f>
        <v>33110022.91416667</v>
      </c>
      <c r="CZ336" s="274">
        <f t="shared" si="83"/>
        <v>33110022.91416667</v>
      </c>
      <c r="DA336" s="274">
        <f t="shared" si="83"/>
        <v>33110022.91416667</v>
      </c>
      <c r="DB336" s="274">
        <f t="shared" si="83"/>
        <v>33110022.91416667</v>
      </c>
      <c r="DC336" s="274">
        <f t="shared" si="83"/>
        <v>33110022.91416667</v>
      </c>
      <c r="DD336" s="274">
        <f t="shared" si="83"/>
        <v>33110022.91416667</v>
      </c>
      <c r="DE336" s="274">
        <f t="shared" si="83"/>
        <v>33110022.91416667</v>
      </c>
      <c r="DF336" s="274">
        <f t="shared" si="83"/>
        <v>33110022.91416667</v>
      </c>
      <c r="DG336" s="274">
        <f t="shared" si="83"/>
        <v>33110022.91416667</v>
      </c>
      <c r="DH336" s="274">
        <f t="shared" si="83"/>
        <v>33110022.91416667</v>
      </c>
      <c r="DI336" s="272">
        <f t="shared" si="83"/>
        <v>33110022.91416667</v>
      </c>
      <c r="DJ336" s="120">
        <f>+SUM(DJ337:DJ343)</f>
        <v>33537908.333333332</v>
      </c>
      <c r="DK336" s="121">
        <f t="shared" ref="DK336:DU336" si="84">+SUM(DK337:DK343)</f>
        <v>33537908.333333332</v>
      </c>
      <c r="DL336" s="121">
        <f t="shared" si="84"/>
        <v>33537908.333333332</v>
      </c>
      <c r="DM336" s="121">
        <f t="shared" si="84"/>
        <v>33537908.333333332</v>
      </c>
      <c r="DN336" s="121">
        <f t="shared" si="84"/>
        <v>33537908.333333332</v>
      </c>
      <c r="DO336" s="121">
        <f t="shared" si="84"/>
        <v>33537908.333333332</v>
      </c>
      <c r="DP336" s="121">
        <f t="shared" si="84"/>
        <v>33537908.333333332</v>
      </c>
      <c r="DQ336" s="121">
        <f t="shared" si="84"/>
        <v>33537908.333333332</v>
      </c>
      <c r="DR336" s="121">
        <f t="shared" si="84"/>
        <v>33537908.333333332</v>
      </c>
      <c r="DS336" s="121">
        <f t="shared" si="84"/>
        <v>33537908.333333332</v>
      </c>
      <c r="DT336" s="121">
        <f t="shared" si="84"/>
        <v>33537908.333333332</v>
      </c>
      <c r="DU336" s="122">
        <f t="shared" si="84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v>34875207.159999996</v>
      </c>
      <c r="FS336" s="341">
        <v>35344644.090000004</v>
      </c>
      <c r="FT336" s="341">
        <v>35520020</v>
      </c>
      <c r="FU336" s="341">
        <v>36212765.539999999</v>
      </c>
      <c r="FV336" s="341">
        <v>35322836.950000003</v>
      </c>
      <c r="FW336" s="341">
        <v>37842845.828571431</v>
      </c>
      <c r="FX336" s="341">
        <v>37842845.828571431</v>
      </c>
      <c r="FY336" s="341">
        <v>37842845.828571431</v>
      </c>
      <c r="FZ336" s="341">
        <v>37842845.828571431</v>
      </c>
      <c r="GA336" s="341">
        <v>37842845.828571431</v>
      </c>
      <c r="GB336" s="341">
        <v>37842845.828571431</v>
      </c>
      <c r="GC336" s="341">
        <v>37842845.828571431</v>
      </c>
      <c r="GE336" s="445">
        <f>SUM(FR336:GD336)</f>
        <v>442175394.54000008</v>
      </c>
    </row>
    <row r="337" spans="1:187">
      <c r="D337" s="72" t="str">
        <f t="shared" si="78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/>
      <c r="FS337" s="263"/>
      <c r="FT337" s="263"/>
      <c r="FU337" s="263"/>
      <c r="FV337" s="263"/>
      <c r="FW337" s="263"/>
      <c r="FX337" s="263"/>
      <c r="FY337" s="263"/>
      <c r="FZ337" s="263"/>
      <c r="GA337" s="263"/>
      <c r="GB337" s="263"/>
      <c r="GC337" s="263"/>
      <c r="GE337" s="446"/>
    </row>
    <row r="338" spans="1:187">
      <c r="D338" s="72" t="str">
        <f t="shared" si="78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/>
      <c r="FS338" s="263"/>
      <c r="FT338" s="263"/>
      <c r="FU338" s="263"/>
      <c r="FV338" s="263"/>
      <c r="FW338" s="263"/>
      <c r="FX338" s="263"/>
      <c r="FY338" s="263"/>
      <c r="FZ338" s="263"/>
      <c r="GA338" s="263"/>
      <c r="GB338" s="263"/>
      <c r="GC338" s="263"/>
      <c r="GE338" s="446"/>
    </row>
    <row r="339" spans="1:187">
      <c r="D339" s="72" t="str">
        <f t="shared" si="78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/>
      <c r="FS339" s="263"/>
      <c r="FT339" s="263"/>
      <c r="FU339" s="263"/>
      <c r="FV339" s="263"/>
      <c r="FW339" s="263"/>
      <c r="FX339" s="263"/>
      <c r="FY339" s="263"/>
      <c r="FZ339" s="263"/>
      <c r="GA339" s="263"/>
      <c r="GB339" s="263"/>
      <c r="GC339" s="263"/>
      <c r="GE339" s="446"/>
    </row>
    <row r="340" spans="1:187">
      <c r="D340" s="72" t="str">
        <f t="shared" si="78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/>
      <c r="FS340" s="263"/>
      <c r="FT340" s="263"/>
      <c r="FU340" s="263"/>
      <c r="FV340" s="263"/>
      <c r="FW340" s="263"/>
      <c r="FX340" s="263"/>
      <c r="FY340" s="263"/>
      <c r="FZ340" s="263"/>
      <c r="GA340" s="263"/>
      <c r="GB340" s="263"/>
      <c r="GC340" s="263"/>
      <c r="GE340" s="446"/>
    </row>
    <row r="341" spans="1:187">
      <c r="D341" s="72" t="str">
        <f t="shared" si="78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/>
      <c r="FS341" s="263"/>
      <c r="FT341" s="263"/>
      <c r="FU341" s="263"/>
      <c r="FV341" s="263"/>
      <c r="FW341" s="263"/>
      <c r="FX341" s="263"/>
      <c r="FY341" s="263"/>
      <c r="FZ341" s="263"/>
      <c r="GA341" s="263"/>
      <c r="GB341" s="263"/>
      <c r="GC341" s="263"/>
      <c r="GE341" s="446"/>
    </row>
    <row r="342" spans="1:187">
      <c r="D342" s="72" t="str">
        <f t="shared" si="78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/>
      <c r="FS342" s="263"/>
      <c r="FT342" s="263"/>
      <c r="FU342" s="263"/>
      <c r="FV342" s="263"/>
      <c r="FW342" s="263"/>
      <c r="FX342" s="263"/>
      <c r="FY342" s="263"/>
      <c r="FZ342" s="263"/>
      <c r="GA342" s="263"/>
      <c r="GB342" s="263"/>
      <c r="GC342" s="263"/>
      <c r="GE342" s="446"/>
    </row>
    <row r="343" spans="1:187" ht="30">
      <c r="D343" s="72" t="str">
        <f t="shared" si="78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/>
      <c r="FS343" s="263"/>
      <c r="FT343" s="263"/>
      <c r="FU343" s="263"/>
      <c r="FV343" s="263"/>
      <c r="FW343" s="263"/>
      <c r="FX343" s="263"/>
      <c r="FY343" s="263"/>
      <c r="FZ343" s="263"/>
      <c r="GA343" s="263"/>
      <c r="GB343" s="263"/>
      <c r="GC343" s="263"/>
      <c r="GE343" s="446"/>
    </row>
    <row r="344" spans="1:187" s="9" customFormat="1" ht="30">
      <c r="A344" s="118"/>
      <c r="B344" s="118"/>
      <c r="C344" s="118">
        <v>424</v>
      </c>
      <c r="D344" s="118" t="str">
        <f t="shared" si="78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85">+CL345</f>
        <v>1133333.3333333333</v>
      </c>
      <c r="CM344" s="121">
        <f t="shared" si="85"/>
        <v>1133333.3333333333</v>
      </c>
      <c r="CN344" s="121">
        <f t="shared" si="85"/>
        <v>1133333.3333333333</v>
      </c>
      <c r="CO344" s="121">
        <f t="shared" si="85"/>
        <v>1133333.3333333333</v>
      </c>
      <c r="CP344" s="121">
        <f t="shared" si="85"/>
        <v>1133333.3333333333</v>
      </c>
      <c r="CQ344" s="121">
        <f t="shared" si="85"/>
        <v>1133333.3333333333</v>
      </c>
      <c r="CR344" s="121">
        <f t="shared" si="85"/>
        <v>1133333.3333333333</v>
      </c>
      <c r="CS344" s="121">
        <f t="shared" si="85"/>
        <v>1133333.3333333333</v>
      </c>
      <c r="CT344" s="121">
        <f t="shared" si="85"/>
        <v>1133333.3333333333</v>
      </c>
      <c r="CU344" s="121">
        <f t="shared" si="85"/>
        <v>1133333.3333333333</v>
      </c>
      <c r="CV344" s="121">
        <f t="shared" si="85"/>
        <v>1133333.3333333333</v>
      </c>
      <c r="CW344" s="122">
        <f t="shared" si="85"/>
        <v>1133333.3333333333</v>
      </c>
      <c r="CX344" s="271">
        <f t="shared" si="85"/>
        <v>1208333.3333333333</v>
      </c>
      <c r="CY344" s="274">
        <f t="shared" ref="CY344:DI344" si="86">+CY345</f>
        <v>1208333.3333333333</v>
      </c>
      <c r="CZ344" s="274">
        <f t="shared" si="86"/>
        <v>1208333.3333333333</v>
      </c>
      <c r="DA344" s="274">
        <f t="shared" si="86"/>
        <v>1208333.3333333333</v>
      </c>
      <c r="DB344" s="274">
        <f t="shared" si="86"/>
        <v>1208333.3333333333</v>
      </c>
      <c r="DC344" s="274">
        <f t="shared" si="86"/>
        <v>1208333.3333333333</v>
      </c>
      <c r="DD344" s="274">
        <f t="shared" si="86"/>
        <v>1208333.3333333333</v>
      </c>
      <c r="DE344" s="274">
        <f t="shared" si="86"/>
        <v>1208333.3333333333</v>
      </c>
      <c r="DF344" s="274">
        <f t="shared" si="86"/>
        <v>1208333.3333333333</v>
      </c>
      <c r="DG344" s="274">
        <f t="shared" si="86"/>
        <v>1208333.3333333333</v>
      </c>
      <c r="DH344" s="274">
        <f t="shared" si="86"/>
        <v>1208333.3333333333</v>
      </c>
      <c r="DI344" s="272">
        <f t="shared" si="86"/>
        <v>1208333.3333333333</v>
      </c>
      <c r="DJ344" s="120">
        <f>+DJ345</f>
        <v>1250000</v>
      </c>
      <c r="DK344" s="121">
        <f t="shared" ref="DK344:DU344" si="87">+DK345</f>
        <v>1250000</v>
      </c>
      <c r="DL344" s="121">
        <f t="shared" si="87"/>
        <v>1250000</v>
      </c>
      <c r="DM344" s="121">
        <f t="shared" si="87"/>
        <v>1250000</v>
      </c>
      <c r="DN344" s="121">
        <f t="shared" si="87"/>
        <v>1250000</v>
      </c>
      <c r="DO344" s="121">
        <f t="shared" si="87"/>
        <v>1250000</v>
      </c>
      <c r="DP344" s="121">
        <f t="shared" si="87"/>
        <v>1250000</v>
      </c>
      <c r="DQ344" s="121">
        <f t="shared" si="87"/>
        <v>1250000</v>
      </c>
      <c r="DR344" s="121">
        <f t="shared" si="87"/>
        <v>1250000</v>
      </c>
      <c r="DS344" s="121">
        <f t="shared" si="87"/>
        <v>1250000</v>
      </c>
      <c r="DT344" s="121">
        <f t="shared" si="87"/>
        <v>1250000</v>
      </c>
      <c r="DU344" s="122">
        <f t="shared" si="87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v>1621388.9</v>
      </c>
      <c r="FS344" s="341">
        <v>1831428.58</v>
      </c>
      <c r="FT344" s="341">
        <v>1595368.45</v>
      </c>
      <c r="FU344" s="341">
        <v>2107330.88</v>
      </c>
      <c r="FV344" s="341">
        <v>1443795.73</v>
      </c>
      <c r="FW344" s="341">
        <v>1628669.78</v>
      </c>
      <c r="FX344" s="341">
        <v>1628669.78</v>
      </c>
      <c r="FY344" s="341">
        <v>1628669.78</v>
      </c>
      <c r="FZ344" s="341">
        <v>1628669.78</v>
      </c>
      <c r="GA344" s="341">
        <v>1628669.78</v>
      </c>
      <c r="GB344" s="341">
        <v>1628669.78</v>
      </c>
      <c r="GC344" s="341">
        <v>1628669.78</v>
      </c>
      <c r="GE344" s="445">
        <f>SUM(FR344:GD344)</f>
        <v>20000000.999999996</v>
      </c>
    </row>
    <row r="345" spans="1:187">
      <c r="D345" s="72" t="str">
        <f t="shared" si="78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/>
      <c r="FS345" s="263"/>
      <c r="FT345" s="263"/>
      <c r="FU345" s="263"/>
      <c r="FV345" s="263"/>
      <c r="FW345" s="263"/>
      <c r="FX345" s="263"/>
      <c r="FY345" s="263"/>
      <c r="FZ345" s="263"/>
      <c r="GA345" s="263"/>
      <c r="GB345" s="263"/>
      <c r="GC345" s="263"/>
      <c r="GE345" s="446"/>
    </row>
    <row r="346" spans="1:187" s="9" customFormat="1" ht="30">
      <c r="A346" s="118"/>
      <c r="B346" s="118"/>
      <c r="C346" s="118">
        <v>425</v>
      </c>
      <c r="D346" s="118" t="str">
        <f t="shared" si="78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88">+SUM(CL347:CL349)</f>
        <v>583333.33333333326</v>
      </c>
      <c r="CM346" s="121">
        <f t="shared" si="88"/>
        <v>583333.33333333326</v>
      </c>
      <c r="CN346" s="121">
        <f t="shared" si="88"/>
        <v>583333.33333333326</v>
      </c>
      <c r="CO346" s="121">
        <f t="shared" si="88"/>
        <v>583333.33333333326</v>
      </c>
      <c r="CP346" s="121">
        <f t="shared" si="88"/>
        <v>583333.33333333326</v>
      </c>
      <c r="CQ346" s="121">
        <f t="shared" si="88"/>
        <v>583333.33333333326</v>
      </c>
      <c r="CR346" s="121">
        <f t="shared" si="88"/>
        <v>583333.33333333326</v>
      </c>
      <c r="CS346" s="121">
        <f t="shared" si="88"/>
        <v>583333.33333333326</v>
      </c>
      <c r="CT346" s="121">
        <f t="shared" si="88"/>
        <v>583333.33333333326</v>
      </c>
      <c r="CU346" s="121">
        <f t="shared" si="88"/>
        <v>583333.33333333326</v>
      </c>
      <c r="CV346" s="121">
        <f t="shared" si="88"/>
        <v>583333.33333333326</v>
      </c>
      <c r="CW346" s="122">
        <f t="shared" si="88"/>
        <v>583333.33333333326</v>
      </c>
      <c r="CX346" s="271">
        <f t="shared" si="88"/>
        <v>583333.33333333326</v>
      </c>
      <c r="CY346" s="274">
        <f t="shared" ref="CY346:DI346" si="89">+SUM(CY347:CY349)</f>
        <v>583333.33333333326</v>
      </c>
      <c r="CZ346" s="274">
        <f t="shared" si="89"/>
        <v>583333.33333333326</v>
      </c>
      <c r="DA346" s="274">
        <f t="shared" si="89"/>
        <v>583333.33333333326</v>
      </c>
      <c r="DB346" s="274">
        <f t="shared" si="89"/>
        <v>583333.33333333326</v>
      </c>
      <c r="DC346" s="274">
        <f t="shared" si="89"/>
        <v>583333.33333333326</v>
      </c>
      <c r="DD346" s="274">
        <f t="shared" si="89"/>
        <v>583333.33333333326</v>
      </c>
      <c r="DE346" s="274">
        <f t="shared" si="89"/>
        <v>583333.33333333326</v>
      </c>
      <c r="DF346" s="274">
        <f t="shared" si="89"/>
        <v>583333.33333333326</v>
      </c>
      <c r="DG346" s="274">
        <f t="shared" si="89"/>
        <v>583333.33333333326</v>
      </c>
      <c r="DH346" s="274">
        <f t="shared" si="89"/>
        <v>583333.33333333326</v>
      </c>
      <c r="DI346" s="272">
        <f t="shared" si="89"/>
        <v>583333.33333333326</v>
      </c>
      <c r="DJ346" s="120">
        <f>+SUM(DJ347:DJ349)</f>
        <v>618333.33333333326</v>
      </c>
      <c r="DK346" s="121">
        <f t="shared" ref="DK346:DU346" si="90">+SUM(DK347:DK349)</f>
        <v>618333.33333333326</v>
      </c>
      <c r="DL346" s="121">
        <f t="shared" si="90"/>
        <v>618333.33333333326</v>
      </c>
      <c r="DM346" s="121">
        <f t="shared" si="90"/>
        <v>618333.33333333326</v>
      </c>
      <c r="DN346" s="121">
        <f t="shared" si="90"/>
        <v>618333.33333333326</v>
      </c>
      <c r="DO346" s="121">
        <f t="shared" si="90"/>
        <v>618333.33333333326</v>
      </c>
      <c r="DP346" s="121">
        <f t="shared" si="90"/>
        <v>618333.33333333326</v>
      </c>
      <c r="DQ346" s="121">
        <f t="shared" si="90"/>
        <v>618333.33333333326</v>
      </c>
      <c r="DR346" s="121">
        <f t="shared" si="90"/>
        <v>618333.33333333326</v>
      </c>
      <c r="DS346" s="121">
        <f t="shared" si="90"/>
        <v>618333.33333333326</v>
      </c>
      <c r="DT346" s="121">
        <f t="shared" si="90"/>
        <v>618333.33333333326</v>
      </c>
      <c r="DU346" s="122">
        <f t="shared" si="90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v>745429.25</v>
      </c>
      <c r="FS346" s="341">
        <v>838710.44</v>
      </c>
      <c r="FT346" s="341">
        <v>906787.09</v>
      </c>
      <c r="FU346" s="341">
        <v>680647.83</v>
      </c>
      <c r="FV346" s="341">
        <v>705326.14</v>
      </c>
      <c r="FW346" s="341">
        <v>964014.32142857148</v>
      </c>
      <c r="FX346" s="341">
        <v>964014.32142857148</v>
      </c>
      <c r="FY346" s="341">
        <v>964014.32142857148</v>
      </c>
      <c r="FZ346" s="341">
        <v>964014.32142857148</v>
      </c>
      <c r="GA346" s="341">
        <v>964014.32142857148</v>
      </c>
      <c r="GB346" s="341">
        <v>964014.32142857148</v>
      </c>
      <c r="GC346" s="341">
        <v>964014.32142857148</v>
      </c>
      <c r="GE346" s="445">
        <f>SUM(FR346:GD346)</f>
        <v>10625001</v>
      </c>
    </row>
    <row r="347" spans="1:187">
      <c r="D347" s="72" t="str">
        <f t="shared" si="78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/>
      <c r="FS347" s="263"/>
      <c r="FT347" s="263"/>
      <c r="FU347" s="263"/>
      <c r="FV347" s="263"/>
      <c r="FW347" s="263"/>
      <c r="FX347" s="263"/>
      <c r="FY347" s="263"/>
      <c r="FZ347" s="263"/>
      <c r="GA347" s="263"/>
      <c r="GB347" s="263"/>
      <c r="GC347" s="263"/>
      <c r="GE347" s="446"/>
    </row>
    <row r="348" spans="1:187" ht="30">
      <c r="D348" s="72" t="str">
        <f t="shared" si="78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/>
      <c r="FS348" s="263"/>
      <c r="FT348" s="263"/>
      <c r="FU348" s="263"/>
      <c r="FV348" s="263"/>
      <c r="FW348" s="263"/>
      <c r="FX348" s="263"/>
      <c r="FY348" s="263"/>
      <c r="FZ348" s="263"/>
      <c r="GA348" s="263"/>
      <c r="GB348" s="263"/>
      <c r="GC348" s="263"/>
      <c r="GE348" s="446"/>
    </row>
    <row r="349" spans="1:187" ht="30">
      <c r="D349" s="72" t="str">
        <f t="shared" si="78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/>
      <c r="FS349" s="263"/>
      <c r="FT349" s="263"/>
      <c r="FU349" s="263"/>
      <c r="FV349" s="263"/>
      <c r="FW349" s="263"/>
      <c r="FX349" s="263"/>
      <c r="FY349" s="263"/>
      <c r="FZ349" s="263"/>
      <c r="GA349" s="263"/>
      <c r="GB349" s="263"/>
      <c r="GC349" s="263"/>
      <c r="GE349" s="446"/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78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91">+CL351+CL361</f>
        <v>7656724.8525</v>
      </c>
      <c r="CM350" s="121">
        <f t="shared" si="91"/>
        <v>7656724.8525</v>
      </c>
      <c r="CN350" s="121">
        <f t="shared" si="91"/>
        <v>7656724.8525</v>
      </c>
      <c r="CO350" s="121">
        <f t="shared" si="91"/>
        <v>7656724.8525</v>
      </c>
      <c r="CP350" s="121">
        <f t="shared" si="91"/>
        <v>7656724.8525</v>
      </c>
      <c r="CQ350" s="121">
        <f t="shared" si="91"/>
        <v>7656724.8525</v>
      </c>
      <c r="CR350" s="121">
        <f t="shared" si="91"/>
        <v>7656724.8525</v>
      </c>
      <c r="CS350" s="121">
        <f t="shared" si="91"/>
        <v>7656724.8525</v>
      </c>
      <c r="CT350" s="121">
        <f t="shared" si="91"/>
        <v>7656724.8525</v>
      </c>
      <c r="CU350" s="121">
        <f t="shared" si="91"/>
        <v>7656724.8525</v>
      </c>
      <c r="CV350" s="121">
        <f t="shared" si="91"/>
        <v>7656724.8525</v>
      </c>
      <c r="CW350" s="122">
        <f t="shared" si="91"/>
        <v>7656724.8525</v>
      </c>
      <c r="CX350" s="271">
        <f t="shared" si="91"/>
        <v>8288399.6951821186</v>
      </c>
      <c r="CY350" s="274">
        <f t="shared" ref="CY350:DH350" si="92">+CY351+CY361</f>
        <v>8288399.6951821186</v>
      </c>
      <c r="CZ350" s="274">
        <f t="shared" si="92"/>
        <v>8288399.6951821186</v>
      </c>
      <c r="DA350" s="274">
        <f t="shared" si="92"/>
        <v>8288399.6951821186</v>
      </c>
      <c r="DB350" s="274">
        <f t="shared" si="92"/>
        <v>8288399.6951821186</v>
      </c>
      <c r="DC350" s="274">
        <f t="shared" si="92"/>
        <v>8288399.6951821186</v>
      </c>
      <c r="DD350" s="274">
        <f t="shared" si="92"/>
        <v>8288399.6951821186</v>
      </c>
      <c r="DE350" s="274">
        <f t="shared" si="92"/>
        <v>8288399.6951821186</v>
      </c>
      <c r="DF350" s="274">
        <f t="shared" si="92"/>
        <v>8288399.6951821186</v>
      </c>
      <c r="DG350" s="274">
        <f t="shared" si="92"/>
        <v>8288399.6951821186</v>
      </c>
      <c r="DH350" s="274">
        <f t="shared" si="92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93">+DK351+DK361</f>
        <v>10691224.718333334</v>
      </c>
      <c r="DL350" s="121">
        <f t="shared" si="93"/>
        <v>10691224.718333334</v>
      </c>
      <c r="DM350" s="121">
        <f t="shared" si="93"/>
        <v>10691224.718333334</v>
      </c>
      <c r="DN350" s="121">
        <f t="shared" si="93"/>
        <v>10691224.718333334</v>
      </c>
      <c r="DO350" s="121">
        <f t="shared" si="93"/>
        <v>10691224.718333334</v>
      </c>
      <c r="DP350" s="121">
        <f t="shared" si="93"/>
        <v>10691224.718333334</v>
      </c>
      <c r="DQ350" s="121">
        <f t="shared" si="93"/>
        <v>10691224.718333334</v>
      </c>
      <c r="DR350" s="121">
        <f t="shared" si="93"/>
        <v>10691224.718333334</v>
      </c>
      <c r="DS350" s="121">
        <f t="shared" si="93"/>
        <v>10691224.718333334</v>
      </c>
      <c r="DT350" s="121">
        <f t="shared" si="93"/>
        <v>10691224.718333334</v>
      </c>
      <c r="DU350" s="122">
        <f t="shared" si="93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v>23631566.68</v>
      </c>
      <c r="FS350" s="341">
        <v>23914749.120000001</v>
      </c>
      <c r="FT350" s="341">
        <v>31910693.890000001</v>
      </c>
      <c r="FU350" s="341">
        <v>17331295.199999999</v>
      </c>
      <c r="FV350" s="341">
        <v>15552980.33</v>
      </c>
      <c r="FW350" s="341">
        <v>23483872.51285715</v>
      </c>
      <c r="FX350" s="341">
        <v>19317205.846190531</v>
      </c>
      <c r="FY350" s="341">
        <v>19317205.846190531</v>
      </c>
      <c r="FZ350" s="341">
        <v>19317205.846190531</v>
      </c>
      <c r="GA350" s="341">
        <v>44317205.846190527</v>
      </c>
      <c r="GB350" s="341">
        <v>19317205.846190531</v>
      </c>
      <c r="GC350" s="341">
        <v>19317205.846190531</v>
      </c>
      <c r="GE350" s="445">
        <f>SUM(FR350:GD350)</f>
        <v>276728392.81000036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78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94">+SUM(CL352:CL360)</f>
        <v>7635891.519166667</v>
      </c>
      <c r="CM351" s="121">
        <f t="shared" si="94"/>
        <v>7635891.519166667</v>
      </c>
      <c r="CN351" s="121">
        <f t="shared" si="94"/>
        <v>7635891.519166667</v>
      </c>
      <c r="CO351" s="121">
        <f t="shared" si="94"/>
        <v>7635891.519166667</v>
      </c>
      <c r="CP351" s="121">
        <f t="shared" si="94"/>
        <v>7635891.519166667</v>
      </c>
      <c r="CQ351" s="121">
        <f t="shared" si="94"/>
        <v>7635891.519166667</v>
      </c>
      <c r="CR351" s="121">
        <f t="shared" si="94"/>
        <v>7635891.519166667</v>
      </c>
      <c r="CS351" s="121">
        <f t="shared" si="94"/>
        <v>7635891.519166667</v>
      </c>
      <c r="CT351" s="121">
        <f t="shared" si="94"/>
        <v>7635891.519166667</v>
      </c>
      <c r="CU351" s="121">
        <f t="shared" si="94"/>
        <v>7635891.519166667</v>
      </c>
      <c r="CV351" s="121">
        <f t="shared" si="94"/>
        <v>7635891.519166667</v>
      </c>
      <c r="CW351" s="122">
        <f t="shared" si="94"/>
        <v>7635891.519166667</v>
      </c>
      <c r="CX351" s="271">
        <f t="shared" si="94"/>
        <v>8102373.0414896114</v>
      </c>
      <c r="CY351" s="274">
        <f t="shared" ref="CY351:DI351" si="95">+SUM(CY352:CY360)</f>
        <v>8102373.0414896114</v>
      </c>
      <c r="CZ351" s="274">
        <f t="shared" si="95"/>
        <v>8102373.0414896114</v>
      </c>
      <c r="DA351" s="274">
        <f t="shared" si="95"/>
        <v>8102373.0414896114</v>
      </c>
      <c r="DB351" s="274">
        <f t="shared" si="95"/>
        <v>8102373.0414896114</v>
      </c>
      <c r="DC351" s="274">
        <f t="shared" si="95"/>
        <v>8102373.0414896114</v>
      </c>
      <c r="DD351" s="274">
        <f t="shared" si="95"/>
        <v>8102373.0414896114</v>
      </c>
      <c r="DE351" s="274">
        <f t="shared" si="95"/>
        <v>8102373.0414896114</v>
      </c>
      <c r="DF351" s="274">
        <f t="shared" si="95"/>
        <v>8102373.0414896114</v>
      </c>
      <c r="DG351" s="274">
        <f t="shared" si="95"/>
        <v>8102373.0414896114</v>
      </c>
      <c r="DH351" s="274">
        <f t="shared" si="95"/>
        <v>8102373.0414896114</v>
      </c>
      <c r="DI351" s="272">
        <f t="shared" si="95"/>
        <v>8101624.3214896088</v>
      </c>
      <c r="DJ351" s="120">
        <f>+SUM(DJ352:DJ360)</f>
        <v>10655599.718333334</v>
      </c>
      <c r="DK351" s="121">
        <f t="shared" ref="DK351:DU351" si="96">+SUM(DK352:DK360)</f>
        <v>10655599.718333334</v>
      </c>
      <c r="DL351" s="121">
        <f t="shared" si="96"/>
        <v>10655599.718333334</v>
      </c>
      <c r="DM351" s="121">
        <f t="shared" si="96"/>
        <v>10655599.718333334</v>
      </c>
      <c r="DN351" s="121">
        <f t="shared" si="96"/>
        <v>10655599.718333334</v>
      </c>
      <c r="DO351" s="121">
        <f t="shared" si="96"/>
        <v>10655599.718333334</v>
      </c>
      <c r="DP351" s="121">
        <f t="shared" si="96"/>
        <v>10655599.718333334</v>
      </c>
      <c r="DQ351" s="121">
        <f t="shared" si="96"/>
        <v>10655599.718333334</v>
      </c>
      <c r="DR351" s="121">
        <f t="shared" si="96"/>
        <v>10655599.718333334</v>
      </c>
      <c r="DS351" s="121">
        <f t="shared" si="96"/>
        <v>10655599.718333334</v>
      </c>
      <c r="DT351" s="121">
        <f t="shared" si="96"/>
        <v>10655599.718333334</v>
      </c>
      <c r="DU351" s="122">
        <f t="shared" si="96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f>SUM(FR352:FR360)</f>
        <v>0</v>
      </c>
      <c r="FS351" s="341">
        <f t="shared" ref="FS351:GC351" si="97">SUM(FS352:FS360)</f>
        <v>0</v>
      </c>
      <c r="FT351" s="341">
        <f t="shared" si="97"/>
        <v>0</v>
      </c>
      <c r="FU351" s="341">
        <f t="shared" si="97"/>
        <v>0</v>
      </c>
      <c r="FV351" s="341">
        <f t="shared" si="97"/>
        <v>0</v>
      </c>
      <c r="FW351" s="341">
        <f t="shared" si="97"/>
        <v>0</v>
      </c>
      <c r="FX351" s="341">
        <f t="shared" si="97"/>
        <v>0</v>
      </c>
      <c r="FY351" s="341">
        <f t="shared" si="97"/>
        <v>0</v>
      </c>
      <c r="FZ351" s="341">
        <f t="shared" si="97"/>
        <v>0</v>
      </c>
      <c r="GA351" s="341">
        <f t="shared" si="97"/>
        <v>0</v>
      </c>
      <c r="GB351" s="341">
        <f t="shared" si="97"/>
        <v>0</v>
      </c>
      <c r="GC351" s="341">
        <f t="shared" si="97"/>
        <v>0</v>
      </c>
      <c r="GE351" s="445">
        <f>SUM(FR351:GD351)</f>
        <v>0</v>
      </c>
    </row>
    <row r="352" spans="1:187">
      <c r="D352" s="72" t="str">
        <f t="shared" si="78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/>
      <c r="FS352" s="263"/>
      <c r="FT352" s="263"/>
      <c r="FU352" s="263"/>
      <c r="FV352" s="263"/>
      <c r="FW352" s="263"/>
      <c r="FX352" s="263"/>
      <c r="FY352" s="263"/>
      <c r="FZ352" s="263"/>
      <c r="GA352" s="263"/>
      <c r="GB352" s="263"/>
      <c r="GC352" s="263"/>
      <c r="GE352" s="446"/>
    </row>
    <row r="353" spans="1:187">
      <c r="D353" s="72" t="str">
        <f t="shared" si="78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/>
      <c r="FS353" s="263"/>
      <c r="FT353" s="263"/>
      <c r="FU353" s="263"/>
      <c r="FV353" s="263"/>
      <c r="FW353" s="263"/>
      <c r="FX353" s="263"/>
      <c r="FY353" s="263"/>
      <c r="FZ353" s="263"/>
      <c r="GA353" s="263"/>
      <c r="GB353" s="263"/>
      <c r="GC353" s="263"/>
      <c r="GE353" s="446"/>
    </row>
    <row r="354" spans="1:187" ht="30">
      <c r="D354" s="72" t="str">
        <f t="shared" si="78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/>
      <c r="FS354" s="263"/>
      <c r="FT354" s="263"/>
      <c r="FU354" s="263"/>
      <c r="FV354" s="263"/>
      <c r="FW354" s="263"/>
      <c r="FX354" s="263"/>
      <c r="FY354" s="263"/>
      <c r="FZ354" s="263"/>
      <c r="GA354" s="263"/>
      <c r="GB354" s="263"/>
      <c r="GC354" s="263"/>
      <c r="GE354" s="446"/>
    </row>
    <row r="355" spans="1:187" ht="30">
      <c r="D355" s="72" t="str">
        <f t="shared" si="78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/>
      <c r="FS355" s="263"/>
      <c r="FT355" s="263"/>
      <c r="FU355" s="263"/>
      <c r="FV355" s="263"/>
      <c r="FW355" s="263"/>
      <c r="FX355" s="263"/>
      <c r="FY355" s="263"/>
      <c r="FZ355" s="263"/>
      <c r="GA355" s="263"/>
      <c r="GB355" s="263"/>
      <c r="GC355" s="263"/>
      <c r="GE355" s="446"/>
    </row>
    <row r="356" spans="1:187" ht="30">
      <c r="D356" s="72" t="str">
        <f t="shared" si="78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/>
      <c r="FS356" s="263"/>
      <c r="FT356" s="263"/>
      <c r="FU356" s="263"/>
      <c r="FV356" s="263"/>
      <c r="FW356" s="263"/>
      <c r="FX356" s="263"/>
      <c r="FY356" s="263"/>
      <c r="FZ356" s="263"/>
      <c r="GA356" s="263"/>
      <c r="GB356" s="263"/>
      <c r="GC356" s="263"/>
      <c r="GE356" s="446"/>
    </row>
    <row r="357" spans="1:187" ht="30">
      <c r="D357" s="72" t="str">
        <f t="shared" si="78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/>
      <c r="FS357" s="263"/>
      <c r="FT357" s="263"/>
      <c r="FU357" s="263"/>
      <c r="FV357" s="263"/>
      <c r="FW357" s="263"/>
      <c r="FX357" s="263"/>
      <c r="FY357" s="263"/>
      <c r="FZ357" s="263"/>
      <c r="GA357" s="263"/>
      <c r="GB357" s="263"/>
      <c r="GC357" s="263"/>
      <c r="GE357" s="446"/>
    </row>
    <row r="358" spans="1:187" ht="30">
      <c r="D358" s="72" t="str">
        <f t="shared" si="78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/>
      <c r="FS358" s="263"/>
      <c r="FT358" s="263"/>
      <c r="FU358" s="263"/>
      <c r="FV358" s="263"/>
      <c r="FW358" s="263"/>
      <c r="FX358" s="263"/>
      <c r="FY358" s="263"/>
      <c r="FZ358" s="263"/>
      <c r="GA358" s="263"/>
      <c r="GB358" s="263"/>
      <c r="GC358" s="263"/>
      <c r="GE358" s="446"/>
    </row>
    <row r="359" spans="1:187">
      <c r="D359" s="72" t="str">
        <f t="shared" si="78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/>
      <c r="FS359" s="263"/>
      <c r="FT359" s="263"/>
      <c r="FU359" s="263"/>
      <c r="FV359" s="263"/>
      <c r="FW359" s="263"/>
      <c r="FX359" s="263"/>
      <c r="FY359" s="263"/>
      <c r="FZ359" s="263"/>
      <c r="GA359" s="263"/>
      <c r="GB359" s="263"/>
      <c r="GC359" s="263"/>
      <c r="GE359" s="446"/>
    </row>
    <row r="360" spans="1:187">
      <c r="D360" s="72" t="str">
        <f t="shared" si="78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/>
      <c r="FS360" s="263"/>
      <c r="FT360" s="263"/>
      <c r="FU360" s="263"/>
      <c r="FV360" s="263"/>
      <c r="FW360" s="263"/>
      <c r="FX360" s="263"/>
      <c r="FY360" s="263"/>
      <c r="FZ360" s="263"/>
      <c r="GA360" s="263"/>
      <c r="GB360" s="263"/>
      <c r="GC360" s="263"/>
      <c r="GE360" s="446"/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78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98">+SUM(CL362:CL367)</f>
        <v>20833.333333333332</v>
      </c>
      <c r="CM361" s="121">
        <f t="shared" si="98"/>
        <v>20833.333333333332</v>
      </c>
      <c r="CN361" s="121">
        <f t="shared" si="98"/>
        <v>20833.333333333332</v>
      </c>
      <c r="CO361" s="121">
        <f t="shared" si="98"/>
        <v>20833.333333333332</v>
      </c>
      <c r="CP361" s="121">
        <f t="shared" si="98"/>
        <v>20833.333333333332</v>
      </c>
      <c r="CQ361" s="121">
        <f t="shared" si="98"/>
        <v>20833.333333333332</v>
      </c>
      <c r="CR361" s="121">
        <f t="shared" si="98"/>
        <v>20833.333333333332</v>
      </c>
      <c r="CS361" s="121">
        <f t="shared" si="98"/>
        <v>20833.333333333332</v>
      </c>
      <c r="CT361" s="121">
        <f t="shared" si="98"/>
        <v>20833.333333333332</v>
      </c>
      <c r="CU361" s="121">
        <f t="shared" si="98"/>
        <v>20833.333333333332</v>
      </c>
      <c r="CV361" s="121">
        <f t="shared" si="98"/>
        <v>20833.333333333332</v>
      </c>
      <c r="CW361" s="122">
        <f t="shared" si="98"/>
        <v>20833.333333333332</v>
      </c>
      <c r="CX361" s="271">
        <f t="shared" si="98"/>
        <v>186026.65369250745</v>
      </c>
      <c r="CY361" s="274">
        <f t="shared" ref="CY361:DI361" si="99">+SUM(CY362:CY367)</f>
        <v>186026.65369250745</v>
      </c>
      <c r="CZ361" s="274">
        <f t="shared" si="99"/>
        <v>186026.65369250745</v>
      </c>
      <c r="DA361" s="274">
        <f t="shared" si="99"/>
        <v>186026.65369250745</v>
      </c>
      <c r="DB361" s="274">
        <f t="shared" si="99"/>
        <v>186026.65369250745</v>
      </c>
      <c r="DC361" s="274">
        <f t="shared" si="99"/>
        <v>186026.65369250745</v>
      </c>
      <c r="DD361" s="274">
        <f t="shared" si="99"/>
        <v>186026.65369250745</v>
      </c>
      <c r="DE361" s="274">
        <f t="shared" si="99"/>
        <v>186026.65369250745</v>
      </c>
      <c r="DF361" s="274">
        <f t="shared" si="99"/>
        <v>186026.65369250745</v>
      </c>
      <c r="DG361" s="274">
        <f t="shared" si="99"/>
        <v>186026.65369250745</v>
      </c>
      <c r="DH361" s="274">
        <f t="shared" si="99"/>
        <v>186026.65369250745</v>
      </c>
      <c r="DI361" s="272">
        <f t="shared" si="99"/>
        <v>186026.65369250745</v>
      </c>
      <c r="DJ361" s="120">
        <f>+SUM(DJ362:DJ367)</f>
        <v>35625</v>
      </c>
      <c r="DK361" s="121">
        <f t="shared" ref="DK361:DU361" si="100">+SUM(DK362:DK367)</f>
        <v>35625</v>
      </c>
      <c r="DL361" s="121">
        <f t="shared" si="100"/>
        <v>35625</v>
      </c>
      <c r="DM361" s="121">
        <f t="shared" si="100"/>
        <v>35625</v>
      </c>
      <c r="DN361" s="121">
        <f t="shared" si="100"/>
        <v>35625</v>
      </c>
      <c r="DO361" s="121">
        <f t="shared" si="100"/>
        <v>35625</v>
      </c>
      <c r="DP361" s="121">
        <f t="shared" si="100"/>
        <v>35625</v>
      </c>
      <c r="DQ361" s="121">
        <f t="shared" si="100"/>
        <v>35625</v>
      </c>
      <c r="DR361" s="121">
        <f t="shared" si="100"/>
        <v>35625</v>
      </c>
      <c r="DS361" s="121">
        <f t="shared" si="100"/>
        <v>35625</v>
      </c>
      <c r="DT361" s="121">
        <f t="shared" si="100"/>
        <v>35625</v>
      </c>
      <c r="DU361" s="122">
        <f t="shared" si="100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f>SUM(FR362:FR367)</f>
        <v>0</v>
      </c>
      <c r="FS361" s="341">
        <f t="shared" ref="FS361:GC361" si="101">SUM(FS362:FS367)</f>
        <v>0</v>
      </c>
      <c r="FT361" s="341">
        <f t="shared" si="101"/>
        <v>0</v>
      </c>
      <c r="FU361" s="341">
        <f t="shared" si="101"/>
        <v>0</v>
      </c>
      <c r="FV361" s="341">
        <f t="shared" si="101"/>
        <v>0</v>
      </c>
      <c r="FW361" s="341">
        <f t="shared" si="101"/>
        <v>0</v>
      </c>
      <c r="FX361" s="341">
        <f t="shared" si="101"/>
        <v>0</v>
      </c>
      <c r="FY361" s="341">
        <f t="shared" si="101"/>
        <v>0</v>
      </c>
      <c r="FZ361" s="341">
        <f t="shared" si="101"/>
        <v>0</v>
      </c>
      <c r="GA361" s="341">
        <f t="shared" si="101"/>
        <v>0</v>
      </c>
      <c r="GB361" s="341">
        <f t="shared" si="101"/>
        <v>0</v>
      </c>
      <c r="GC361" s="341">
        <f t="shared" si="101"/>
        <v>0</v>
      </c>
      <c r="GE361" s="445">
        <f>SUM(FR361:GD361)</f>
        <v>0</v>
      </c>
    </row>
    <row r="362" spans="1:187" ht="30">
      <c r="D362" s="72" t="str">
        <f t="shared" ref="D362:D393" si="102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/>
      <c r="FS362" s="263"/>
      <c r="FT362" s="263"/>
      <c r="FU362" s="263"/>
      <c r="FV362" s="263"/>
      <c r="FW362" s="263"/>
      <c r="FX362" s="263"/>
      <c r="FY362" s="263"/>
      <c r="FZ362" s="263"/>
      <c r="GA362" s="263"/>
      <c r="GB362" s="263"/>
      <c r="GC362" s="263"/>
      <c r="GD362" s="263"/>
      <c r="GE362" s="446"/>
    </row>
    <row r="363" spans="1:187">
      <c r="D363" s="72" t="str">
        <f t="shared" si="102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6"/>
    </row>
    <row r="364" spans="1:187" ht="30">
      <c r="D364" s="72" t="str">
        <f t="shared" si="102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6"/>
    </row>
    <row r="365" spans="1:187">
      <c r="D365" s="72" t="str">
        <f t="shared" si="102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/>
      <c r="FS365" s="263"/>
      <c r="FT365" s="263"/>
      <c r="FU365" s="263"/>
      <c r="FV365" s="263"/>
      <c r="FW365" s="263"/>
      <c r="FX365" s="263"/>
      <c r="FY365" s="263"/>
      <c r="FZ365" s="263"/>
      <c r="GA365" s="263"/>
      <c r="GB365" s="263"/>
      <c r="GC365" s="263"/>
      <c r="GE365" s="446"/>
    </row>
    <row r="366" spans="1:187">
      <c r="D366" s="72" t="str">
        <f t="shared" si="102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6"/>
    </row>
    <row r="367" spans="1:187">
      <c r="D367" s="72" t="str">
        <f t="shared" si="102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/>
      <c r="FS367" s="263"/>
      <c r="FT367" s="263"/>
      <c r="FU367" s="263"/>
      <c r="FV367" s="263"/>
      <c r="FW367" s="263"/>
      <c r="FX367" s="263"/>
      <c r="FY367" s="263"/>
      <c r="FZ367" s="263"/>
      <c r="GA367" s="263"/>
      <c r="GB367" s="263"/>
      <c r="GC367" s="263"/>
      <c r="GE367" s="446"/>
    </row>
    <row r="368" spans="1:187" s="9" customFormat="1">
      <c r="A368" s="118"/>
      <c r="B368" s="118"/>
      <c r="C368" s="118">
        <v>441</v>
      </c>
      <c r="D368" s="118" t="str">
        <f t="shared" si="102"/>
        <v>44p</v>
      </c>
      <c r="E368" s="449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v>4153095.62</v>
      </c>
      <c r="FS368" s="341">
        <v>8919354.2899999991</v>
      </c>
      <c r="FT368" s="341">
        <v>13085415.970000001</v>
      </c>
      <c r="FU368" s="341">
        <v>17943688.25</v>
      </c>
      <c r="FV368" s="341">
        <v>15872563.539999999</v>
      </c>
      <c r="FW368" s="341">
        <v>25000000</v>
      </c>
      <c r="FX368" s="341">
        <v>20000000</v>
      </c>
      <c r="FY368" s="341">
        <v>20000000</v>
      </c>
      <c r="FZ368" s="341">
        <v>20000000</v>
      </c>
      <c r="GA368" s="341">
        <v>17295648.326666653</v>
      </c>
      <c r="GB368" s="341">
        <v>17295648.326666653</v>
      </c>
      <c r="GC368" s="341">
        <f>17295648.3266667-2010000</f>
        <v>15285648.326666702</v>
      </c>
      <c r="GE368" s="445">
        <f>SUM(FR368:GD368)</f>
        <v>194851062.65000004</v>
      </c>
    </row>
    <row r="369" spans="1:187" ht="30">
      <c r="D369" s="72" t="str">
        <f t="shared" si="102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/>
      <c r="FS369" s="263"/>
      <c r="FT369" s="263"/>
      <c r="FU369" s="263"/>
      <c r="FV369" s="263"/>
      <c r="FW369" s="263"/>
      <c r="FX369" s="263"/>
      <c r="FY369" s="263"/>
      <c r="FZ369" s="263"/>
      <c r="GA369" s="263"/>
      <c r="GB369" s="263"/>
      <c r="GC369" s="263"/>
      <c r="GE369" s="446"/>
    </row>
    <row r="370" spans="1:187">
      <c r="D370" s="72" t="str">
        <f t="shared" si="102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/>
      <c r="FS370" s="263"/>
      <c r="FT370" s="263"/>
      <c r="FU370" s="263"/>
      <c r="FV370" s="263"/>
      <c r="FW370" s="263"/>
      <c r="FX370" s="263"/>
      <c r="FY370" s="263"/>
      <c r="FZ370" s="263"/>
      <c r="GA370" s="263"/>
      <c r="GB370" s="263"/>
      <c r="GC370" s="263"/>
      <c r="GE370" s="446"/>
    </row>
    <row r="371" spans="1:187">
      <c r="D371" s="72" t="str">
        <f t="shared" si="102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/>
      <c r="FS371" s="263"/>
      <c r="FT371" s="263"/>
      <c r="FU371" s="263"/>
      <c r="FV371" s="263"/>
      <c r="FW371" s="263"/>
      <c r="FX371" s="263"/>
      <c r="FY371" s="263"/>
      <c r="FZ371" s="263"/>
      <c r="GA371" s="263"/>
      <c r="GB371" s="263"/>
      <c r="GC371" s="263"/>
      <c r="GE371" s="446"/>
    </row>
    <row r="372" spans="1:187">
      <c r="D372" s="72" t="str">
        <f t="shared" si="102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/>
      <c r="FS372" s="263"/>
      <c r="FT372" s="263"/>
      <c r="FU372" s="263"/>
      <c r="FV372" s="263"/>
      <c r="FW372" s="263"/>
      <c r="FX372" s="263"/>
      <c r="FY372" s="263"/>
      <c r="FZ372" s="263"/>
      <c r="GA372" s="263"/>
      <c r="GB372" s="263"/>
      <c r="GC372" s="263"/>
      <c r="GE372" s="446"/>
    </row>
    <row r="373" spans="1:187">
      <c r="D373" s="72" t="str">
        <f t="shared" si="102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/>
      <c r="FS373" s="263"/>
      <c r="FT373" s="263"/>
      <c r="FU373" s="263"/>
      <c r="FV373" s="263"/>
      <c r="FW373" s="263"/>
      <c r="FX373" s="263"/>
      <c r="FY373" s="263"/>
      <c r="FZ373" s="263"/>
      <c r="GA373" s="263"/>
      <c r="GB373" s="263"/>
      <c r="GC373" s="263"/>
      <c r="GE373" s="446"/>
    </row>
    <row r="374" spans="1:187">
      <c r="D374" s="72" t="str">
        <f t="shared" si="102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/>
      <c r="FS374" s="263"/>
      <c r="FT374" s="263"/>
      <c r="FU374" s="263"/>
      <c r="FV374" s="263"/>
      <c r="FW374" s="263"/>
      <c r="FX374" s="263"/>
      <c r="FY374" s="263"/>
      <c r="FZ374" s="263"/>
      <c r="GA374" s="263"/>
      <c r="GB374" s="263"/>
      <c r="GC374" s="263"/>
      <c r="GE374" s="446"/>
    </row>
    <row r="375" spans="1:187">
      <c r="D375" s="72" t="str">
        <f t="shared" si="102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/>
      <c r="FS375" s="263"/>
      <c r="FT375" s="263"/>
      <c r="FU375" s="263"/>
      <c r="FV375" s="263"/>
      <c r="FW375" s="263"/>
      <c r="FX375" s="263"/>
      <c r="FY375" s="263"/>
      <c r="FZ375" s="263"/>
      <c r="GA375" s="263"/>
      <c r="GB375" s="263"/>
      <c r="GC375" s="263"/>
      <c r="GE375" s="446"/>
    </row>
    <row r="376" spans="1:187" ht="30">
      <c r="D376" s="72" t="str">
        <f t="shared" si="102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>
        <v>0</v>
      </c>
      <c r="FS376" s="263">
        <v>0</v>
      </c>
      <c r="FT376" s="263">
        <v>0</v>
      </c>
      <c r="FU376" s="263">
        <v>0</v>
      </c>
      <c r="FV376" s="263">
        <v>0</v>
      </c>
      <c r="FW376" s="263">
        <v>0</v>
      </c>
      <c r="FX376" s="263">
        <v>335000</v>
      </c>
      <c r="FY376" s="263">
        <v>335000</v>
      </c>
      <c r="FZ376" s="263">
        <v>335000</v>
      </c>
      <c r="GA376" s="263">
        <v>335000</v>
      </c>
      <c r="GB376" s="263">
        <v>335000</v>
      </c>
      <c r="GC376" s="263">
        <v>335000</v>
      </c>
      <c r="GE376" s="445">
        <f>SUM(FR376:GD376)</f>
        <v>2010000</v>
      </c>
    </row>
    <row r="377" spans="1:187">
      <c r="D377" s="72" t="str">
        <f t="shared" si="102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/>
      <c r="FS377" s="263"/>
      <c r="FT377" s="263"/>
      <c r="FU377" s="263"/>
      <c r="FV377" s="263"/>
      <c r="FW377" s="263"/>
      <c r="FX377" s="263"/>
      <c r="FY377" s="263"/>
      <c r="FZ377" s="263"/>
      <c r="GA377" s="263"/>
      <c r="GB377" s="263"/>
      <c r="GC377" s="263"/>
      <c r="GE377" s="446"/>
    </row>
    <row r="378" spans="1:187" s="9" customFormat="1">
      <c r="A378" s="118" t="s">
        <v>94</v>
      </c>
      <c r="B378" s="118">
        <v>45</v>
      </c>
      <c r="C378" s="118"/>
      <c r="D378" s="118" t="str">
        <f t="shared" si="102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103">+CM379</f>
        <v>143333.33333333334</v>
      </c>
      <c r="CN378" s="121">
        <f t="shared" si="103"/>
        <v>143333.33333333334</v>
      </c>
      <c r="CO378" s="121">
        <f t="shared" si="103"/>
        <v>143333.33333333334</v>
      </c>
      <c r="CP378" s="121">
        <f t="shared" si="103"/>
        <v>143333.33333333334</v>
      </c>
      <c r="CQ378" s="121">
        <f t="shared" si="103"/>
        <v>143333.33333333334</v>
      </c>
      <c r="CR378" s="121">
        <f t="shared" si="103"/>
        <v>143333.33333333334</v>
      </c>
      <c r="CS378" s="121">
        <f t="shared" si="103"/>
        <v>143333.33333333334</v>
      </c>
      <c r="CT378" s="121">
        <f t="shared" si="103"/>
        <v>143333.33333333334</v>
      </c>
      <c r="CU378" s="121">
        <f t="shared" si="103"/>
        <v>143333.33333333334</v>
      </c>
      <c r="CV378" s="121">
        <f t="shared" si="103"/>
        <v>143333.33333333334</v>
      </c>
      <c r="CW378" s="122">
        <f t="shared" si="103"/>
        <v>143333.33333333334</v>
      </c>
      <c r="CX378" s="271">
        <f t="shared" si="103"/>
        <v>178333.33333333334</v>
      </c>
      <c r="CY378" s="274">
        <f t="shared" si="103"/>
        <v>178333.33333333334</v>
      </c>
      <c r="CZ378" s="274">
        <f t="shared" si="103"/>
        <v>178333.33333333334</v>
      </c>
      <c r="DA378" s="274">
        <f t="shared" si="103"/>
        <v>178333.33333333334</v>
      </c>
      <c r="DB378" s="274">
        <f t="shared" si="103"/>
        <v>178333.33333333334</v>
      </c>
      <c r="DC378" s="274">
        <f t="shared" si="103"/>
        <v>178333.33333333334</v>
      </c>
      <c r="DD378" s="274">
        <f t="shared" si="103"/>
        <v>178333.33333333334</v>
      </c>
      <c r="DE378" s="274">
        <f t="shared" si="103"/>
        <v>178333.33333333334</v>
      </c>
      <c r="DF378" s="274">
        <f t="shared" si="103"/>
        <v>178333.33333333334</v>
      </c>
      <c r="DG378" s="274">
        <f t="shared" si="103"/>
        <v>178333.33333333334</v>
      </c>
      <c r="DH378" s="274">
        <f t="shared" si="103"/>
        <v>178333.33333333334</v>
      </c>
      <c r="DI378" s="272">
        <f t="shared" si="103"/>
        <v>178333.33333333334</v>
      </c>
      <c r="DJ378" s="120">
        <f>+DJ379</f>
        <v>187500</v>
      </c>
      <c r="DK378" s="121">
        <f t="shared" ref="DK378:DU378" si="104">+DK379</f>
        <v>187500</v>
      </c>
      <c r="DL378" s="121">
        <f t="shared" si="104"/>
        <v>187500</v>
      </c>
      <c r="DM378" s="121">
        <f t="shared" si="104"/>
        <v>187500</v>
      </c>
      <c r="DN378" s="121">
        <f t="shared" si="104"/>
        <v>187500</v>
      </c>
      <c r="DO378" s="121">
        <f t="shared" si="104"/>
        <v>187500</v>
      </c>
      <c r="DP378" s="121">
        <f t="shared" si="104"/>
        <v>187500</v>
      </c>
      <c r="DQ378" s="121">
        <f t="shared" si="104"/>
        <v>187500</v>
      </c>
      <c r="DR378" s="121">
        <f t="shared" si="104"/>
        <v>187500</v>
      </c>
      <c r="DS378" s="121">
        <f t="shared" si="104"/>
        <v>187500</v>
      </c>
      <c r="DT378" s="121">
        <f t="shared" si="104"/>
        <v>187500</v>
      </c>
      <c r="DU378" s="122">
        <f t="shared" si="104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v>0</v>
      </c>
      <c r="FS378" s="341">
        <v>277634</v>
      </c>
      <c r="FT378" s="341">
        <v>0</v>
      </c>
      <c r="FU378" s="341">
        <v>268014</v>
      </c>
      <c r="FV378" s="341">
        <v>5000</v>
      </c>
      <c r="FW378" s="341">
        <v>147050.57142857142</v>
      </c>
      <c r="FX378" s="341">
        <v>147050.57142857142</v>
      </c>
      <c r="FY378" s="341">
        <v>147050.57142857142</v>
      </c>
      <c r="FZ378" s="341">
        <v>147050.57142857142</v>
      </c>
      <c r="GA378" s="341">
        <v>147050.57142857142</v>
      </c>
      <c r="GB378" s="341">
        <v>147050.57142857142</v>
      </c>
      <c r="GC378" s="341">
        <v>147050.57142857142</v>
      </c>
      <c r="GE378" s="445">
        <f>SUM(FR378:GD378)</f>
        <v>1580001.9999999995</v>
      </c>
    </row>
    <row r="379" spans="1:187">
      <c r="C379" s="72">
        <v>451</v>
      </c>
      <c r="D379" s="72" t="str">
        <f t="shared" si="102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105">++SUM(CM380:CM384)</f>
        <v>143333.33333333334</v>
      </c>
      <c r="CN379" s="101">
        <f t="shared" si="105"/>
        <v>143333.33333333334</v>
      </c>
      <c r="CO379" s="101">
        <f t="shared" si="105"/>
        <v>143333.33333333334</v>
      </c>
      <c r="CP379" s="101">
        <f t="shared" si="105"/>
        <v>143333.33333333334</v>
      </c>
      <c r="CQ379" s="101">
        <f t="shared" si="105"/>
        <v>143333.33333333334</v>
      </c>
      <c r="CR379" s="101">
        <f t="shared" si="105"/>
        <v>143333.33333333334</v>
      </c>
      <c r="CS379" s="101">
        <f t="shared" si="105"/>
        <v>143333.33333333334</v>
      </c>
      <c r="CT379" s="101">
        <f t="shared" si="105"/>
        <v>143333.33333333334</v>
      </c>
      <c r="CU379" s="101">
        <f t="shared" si="105"/>
        <v>143333.33333333334</v>
      </c>
      <c r="CV379" s="101">
        <f t="shared" si="105"/>
        <v>143333.33333333334</v>
      </c>
      <c r="CW379" s="102">
        <f t="shared" si="105"/>
        <v>143333.33333333334</v>
      </c>
      <c r="CX379" s="270">
        <f t="shared" si="105"/>
        <v>178333.33333333334</v>
      </c>
      <c r="CY379" s="273">
        <f t="shared" si="105"/>
        <v>178333.33333333334</v>
      </c>
      <c r="CZ379" s="273">
        <f t="shared" si="105"/>
        <v>178333.33333333334</v>
      </c>
      <c r="DA379" s="273">
        <f t="shared" si="105"/>
        <v>178333.33333333334</v>
      </c>
      <c r="DB379" s="273">
        <f t="shared" si="105"/>
        <v>178333.33333333334</v>
      </c>
      <c r="DC379" s="273">
        <f t="shared" si="105"/>
        <v>178333.33333333334</v>
      </c>
      <c r="DD379" s="273">
        <f t="shared" si="105"/>
        <v>178333.33333333334</v>
      </c>
      <c r="DE379" s="273">
        <f t="shared" si="105"/>
        <v>178333.33333333334</v>
      </c>
      <c r="DF379" s="273">
        <f t="shared" si="105"/>
        <v>178333.33333333334</v>
      </c>
      <c r="DG379" s="273">
        <f t="shared" si="105"/>
        <v>178333.33333333334</v>
      </c>
      <c r="DH379" s="273">
        <f t="shared" si="105"/>
        <v>178333.33333333334</v>
      </c>
      <c r="DI379" s="269">
        <f t="shared" si="105"/>
        <v>178333.33333333334</v>
      </c>
      <c r="DJ379" s="100">
        <f>+SUM(DJ380:DJ384)</f>
        <v>187500</v>
      </c>
      <c r="DK379" s="101">
        <f t="shared" ref="DK379:DU379" si="106">+SUM(DK380:DK384)</f>
        <v>187500</v>
      </c>
      <c r="DL379" s="101">
        <f t="shared" si="106"/>
        <v>187500</v>
      </c>
      <c r="DM379" s="101">
        <f t="shared" si="106"/>
        <v>187500</v>
      </c>
      <c r="DN379" s="101">
        <f t="shared" si="106"/>
        <v>187500</v>
      </c>
      <c r="DO379" s="101">
        <f t="shared" si="106"/>
        <v>187500</v>
      </c>
      <c r="DP379" s="101">
        <f t="shared" si="106"/>
        <v>187500</v>
      </c>
      <c r="DQ379" s="101">
        <f t="shared" si="106"/>
        <v>187500</v>
      </c>
      <c r="DR379" s="101">
        <f t="shared" si="106"/>
        <v>187500</v>
      </c>
      <c r="DS379" s="101">
        <f t="shared" si="106"/>
        <v>187500</v>
      </c>
      <c r="DT379" s="101">
        <f t="shared" si="106"/>
        <v>187500</v>
      </c>
      <c r="DU379" s="102">
        <f t="shared" si="106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/>
      <c r="FS379" s="263"/>
      <c r="FT379" s="263"/>
      <c r="FU379" s="263"/>
      <c r="FV379" s="263"/>
      <c r="FW379" s="263"/>
      <c r="FX379" s="263"/>
      <c r="FY379" s="263"/>
      <c r="FZ379" s="263"/>
      <c r="GA379" s="263"/>
      <c r="GB379" s="263"/>
      <c r="GC379" s="263"/>
      <c r="GD379" s="263"/>
      <c r="GE379" s="451"/>
    </row>
    <row r="380" spans="1:187" ht="30">
      <c r="D380" s="72" t="str">
        <f t="shared" si="102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6"/>
    </row>
    <row r="381" spans="1:187" ht="30">
      <c r="D381" s="72" t="str">
        <f t="shared" si="102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6"/>
    </row>
    <row r="382" spans="1:187">
      <c r="D382" s="72" t="str">
        <f t="shared" si="102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/>
      <c r="FS382" s="263"/>
      <c r="FT382" s="263"/>
      <c r="FU382" s="263"/>
      <c r="FV382" s="263"/>
      <c r="FW382" s="263"/>
      <c r="FX382" s="263"/>
      <c r="FY382" s="263"/>
      <c r="FZ382" s="263"/>
      <c r="GA382" s="263"/>
      <c r="GB382" s="263"/>
      <c r="GC382" s="263"/>
      <c r="GE382" s="446"/>
    </row>
    <row r="383" spans="1:187" ht="45">
      <c r="D383" s="72" t="str">
        <f t="shared" si="102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6"/>
    </row>
    <row r="384" spans="1:187">
      <c r="D384" s="72" t="str">
        <f t="shared" si="102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/>
      <c r="FS384" s="263"/>
      <c r="FT384" s="263"/>
      <c r="FU384" s="263"/>
      <c r="FV384" s="263"/>
      <c r="FW384" s="263"/>
      <c r="FX384" s="263"/>
      <c r="FY384" s="263"/>
      <c r="FZ384" s="263"/>
      <c r="GA384" s="263"/>
      <c r="GB384" s="263"/>
      <c r="GC384" s="263"/>
      <c r="GE384" s="446"/>
    </row>
    <row r="385" spans="1:187" s="9" customFormat="1">
      <c r="A385" s="118" t="s">
        <v>94</v>
      </c>
      <c r="B385" s="118">
        <v>46</v>
      </c>
      <c r="C385" s="118"/>
      <c r="D385" s="118" t="str">
        <f t="shared" si="102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107">+CL386+CL389+CL392</f>
        <v>9889761</v>
      </c>
      <c r="CM385" s="121">
        <f t="shared" si="107"/>
        <v>9889761</v>
      </c>
      <c r="CN385" s="121">
        <f t="shared" si="107"/>
        <v>9889761</v>
      </c>
      <c r="CO385" s="121">
        <f t="shared" si="107"/>
        <v>9889761</v>
      </c>
      <c r="CP385" s="121">
        <f t="shared" si="107"/>
        <v>9889761</v>
      </c>
      <c r="CQ385" s="121">
        <f t="shared" si="107"/>
        <v>9889761</v>
      </c>
      <c r="CR385" s="121">
        <f t="shared" si="107"/>
        <v>9889761</v>
      </c>
      <c r="CS385" s="121">
        <f t="shared" si="107"/>
        <v>9889761</v>
      </c>
      <c r="CT385" s="121">
        <f t="shared" si="107"/>
        <v>9889761</v>
      </c>
      <c r="CU385" s="121">
        <f t="shared" si="107"/>
        <v>9889761</v>
      </c>
      <c r="CV385" s="121">
        <f t="shared" si="107"/>
        <v>9889761</v>
      </c>
      <c r="CW385" s="122">
        <f t="shared" si="107"/>
        <v>9889761</v>
      </c>
      <c r="CX385" s="271">
        <f t="shared" si="107"/>
        <v>14285575.4575</v>
      </c>
      <c r="CY385" s="274">
        <f t="shared" ref="CY385:DI385" si="108">+CY386+CY389+CY392</f>
        <v>14285575.4575</v>
      </c>
      <c r="CZ385" s="274">
        <f t="shared" si="108"/>
        <v>14285575.4575</v>
      </c>
      <c r="DA385" s="274">
        <f t="shared" si="108"/>
        <v>14285575.4575</v>
      </c>
      <c r="DB385" s="274">
        <f t="shared" si="108"/>
        <v>14285575.4575</v>
      </c>
      <c r="DC385" s="274">
        <f t="shared" si="108"/>
        <v>14285575.4575</v>
      </c>
      <c r="DD385" s="274">
        <f t="shared" si="108"/>
        <v>14285575.4575</v>
      </c>
      <c r="DE385" s="274">
        <f t="shared" si="108"/>
        <v>14285575.4575</v>
      </c>
      <c r="DF385" s="274">
        <f t="shared" si="108"/>
        <v>14285575.4575</v>
      </c>
      <c r="DG385" s="274">
        <f t="shared" si="108"/>
        <v>14285575.4575</v>
      </c>
      <c r="DH385" s="274">
        <f t="shared" si="108"/>
        <v>14285575.4575</v>
      </c>
      <c r="DI385" s="272">
        <f t="shared" si="108"/>
        <v>14285575.4575</v>
      </c>
      <c r="DJ385" s="120">
        <f>+DJ386+DJ389+DJ392</f>
        <v>33191007.030833334</v>
      </c>
      <c r="DK385" s="121">
        <f t="shared" ref="DK385:DU385" si="109">+DK386+DK389+DK392</f>
        <v>33191007.030833334</v>
      </c>
      <c r="DL385" s="121">
        <f t="shared" si="109"/>
        <v>33191007.030833334</v>
      </c>
      <c r="DM385" s="121">
        <f t="shared" si="109"/>
        <v>33191007.030833334</v>
      </c>
      <c r="DN385" s="121">
        <f t="shared" si="109"/>
        <v>33191007.030833334</v>
      </c>
      <c r="DO385" s="121">
        <f t="shared" si="109"/>
        <v>33191007.030833334</v>
      </c>
      <c r="DP385" s="121">
        <f t="shared" si="109"/>
        <v>33191007.030833334</v>
      </c>
      <c r="DQ385" s="121">
        <f t="shared" si="109"/>
        <v>33191007.030833334</v>
      </c>
      <c r="DR385" s="121">
        <f t="shared" si="109"/>
        <v>33191007.030833334</v>
      </c>
      <c r="DS385" s="121">
        <f t="shared" si="109"/>
        <v>33191007.030833334</v>
      </c>
      <c r="DT385" s="121">
        <f t="shared" si="109"/>
        <v>33191007.030833334</v>
      </c>
      <c r="DU385" s="121">
        <f t="shared" si="109"/>
        <v>33191007.030833334</v>
      </c>
      <c r="DV385" s="330">
        <f>DV386+DV389+DV392</f>
        <v>32768615.2925</v>
      </c>
      <c r="DW385" s="330">
        <f t="shared" ref="DW385:ES385" si="110">DW386+DW389+DW392</f>
        <v>32768615.2925</v>
      </c>
      <c r="DX385" s="330">
        <f t="shared" si="110"/>
        <v>32768615.2925</v>
      </c>
      <c r="DY385" s="330">
        <f t="shared" si="110"/>
        <v>32768615.2925</v>
      </c>
      <c r="DZ385" s="330">
        <f t="shared" si="110"/>
        <v>32768615.2925</v>
      </c>
      <c r="EA385" s="330">
        <f t="shared" si="110"/>
        <v>32768615.2925</v>
      </c>
      <c r="EB385" s="330">
        <f t="shared" si="110"/>
        <v>32768615.2925</v>
      </c>
      <c r="EC385" s="330">
        <f t="shared" si="110"/>
        <v>32768615.2925</v>
      </c>
      <c r="ED385" s="330">
        <f t="shared" si="110"/>
        <v>32768615.2925</v>
      </c>
      <c r="EE385" s="330">
        <f t="shared" si="110"/>
        <v>32768615.2925</v>
      </c>
      <c r="EF385" s="330">
        <f t="shared" si="110"/>
        <v>32768615.2925</v>
      </c>
      <c r="EG385" s="330">
        <f t="shared" si="110"/>
        <v>32768615.2925</v>
      </c>
      <c r="EH385" s="330">
        <f t="shared" si="110"/>
        <v>4617467.5633333325</v>
      </c>
      <c r="EI385" s="330">
        <f t="shared" si="110"/>
        <v>5248180.4533333331</v>
      </c>
      <c r="EJ385" s="330">
        <f t="shared" si="110"/>
        <v>18465645.143333334</v>
      </c>
      <c r="EK385" s="330">
        <f t="shared" si="110"/>
        <v>67460865.603333324</v>
      </c>
      <c r="EL385" s="330">
        <f t="shared" si="110"/>
        <v>10247541.783333333</v>
      </c>
      <c r="EM385" s="330">
        <f t="shared" si="110"/>
        <v>16046343.563333331</v>
      </c>
      <c r="EN385" s="330">
        <f t="shared" si="110"/>
        <v>23103608.363333337</v>
      </c>
      <c r="EO385" s="330">
        <f t="shared" si="110"/>
        <v>16877006.883333333</v>
      </c>
      <c r="EP385" s="330">
        <f t="shared" si="110"/>
        <v>17318908.093333334</v>
      </c>
      <c r="EQ385" s="330">
        <f t="shared" si="110"/>
        <v>9686739.4033333324</v>
      </c>
      <c r="ER385" s="330">
        <f t="shared" si="110"/>
        <v>11714826.133333333</v>
      </c>
      <c r="ES385" s="330">
        <f t="shared" si="110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f>+FR386+FR389</f>
        <v>1725839.0999999999</v>
      </c>
      <c r="FS385" s="341">
        <f t="shared" ref="FS385:GC385" si="111">+FS386+FS389</f>
        <v>3305317.26</v>
      </c>
      <c r="FT385" s="341">
        <f t="shared" si="111"/>
        <v>339468444.25999999</v>
      </c>
      <c r="FU385" s="341">
        <f t="shared" si="111"/>
        <v>17477408.559999999</v>
      </c>
      <c r="FV385" s="341">
        <f t="shared" si="111"/>
        <v>15441444.539999999</v>
      </c>
      <c r="FW385" s="341">
        <f t="shared" si="111"/>
        <v>12046825.949999999</v>
      </c>
      <c r="FX385" s="341">
        <f t="shared" si="111"/>
        <v>11726652.870000001</v>
      </c>
      <c r="FY385" s="341">
        <f t="shared" si="111"/>
        <v>8624889.1799999997</v>
      </c>
      <c r="FZ385" s="341">
        <f t="shared" si="111"/>
        <v>18011093.800000001</v>
      </c>
      <c r="GA385" s="341">
        <f t="shared" si="111"/>
        <v>9855652.5999999996</v>
      </c>
      <c r="GB385" s="341">
        <f t="shared" si="111"/>
        <v>89792355.439999998</v>
      </c>
      <c r="GC385" s="341">
        <f t="shared" si="111"/>
        <v>12114076.439999999</v>
      </c>
      <c r="GE385" s="445">
        <f t="shared" ref="GE385:GE391" si="112">SUM(FR385:GD385)</f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102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13">+SUM(CL387:CL388)</f>
        <v>7208333.333333333</v>
      </c>
      <c r="CM386" s="121">
        <f t="shared" si="113"/>
        <v>7208333.333333333</v>
      </c>
      <c r="CN386" s="121">
        <f t="shared" si="113"/>
        <v>7208333.333333333</v>
      </c>
      <c r="CO386" s="121">
        <f t="shared" si="113"/>
        <v>7208333.333333333</v>
      </c>
      <c r="CP386" s="121">
        <f t="shared" si="113"/>
        <v>7208333.333333333</v>
      </c>
      <c r="CQ386" s="121">
        <f t="shared" si="113"/>
        <v>7208333.333333333</v>
      </c>
      <c r="CR386" s="121">
        <f t="shared" si="113"/>
        <v>7208333.333333333</v>
      </c>
      <c r="CS386" s="121">
        <f t="shared" si="113"/>
        <v>7208333.333333333</v>
      </c>
      <c r="CT386" s="121">
        <f t="shared" si="113"/>
        <v>7208333.333333333</v>
      </c>
      <c r="CU386" s="121">
        <f t="shared" si="113"/>
        <v>7208333.333333333</v>
      </c>
      <c r="CV386" s="121">
        <f t="shared" si="113"/>
        <v>7208333.333333333</v>
      </c>
      <c r="CW386" s="122">
        <f t="shared" si="113"/>
        <v>7208333.333333333</v>
      </c>
      <c r="CX386" s="271">
        <f t="shared" si="113"/>
        <v>11507395.460000001</v>
      </c>
      <c r="CY386" s="274">
        <f t="shared" ref="CY386:DI386" si="114">+SUM(CY387:CY388)</f>
        <v>11507395.460000001</v>
      </c>
      <c r="CZ386" s="274">
        <f t="shared" si="114"/>
        <v>11507395.460000001</v>
      </c>
      <c r="DA386" s="274">
        <f t="shared" si="114"/>
        <v>11507395.460000001</v>
      </c>
      <c r="DB386" s="274">
        <f t="shared" si="114"/>
        <v>11507395.460000001</v>
      </c>
      <c r="DC386" s="274">
        <f t="shared" si="114"/>
        <v>11507395.460000001</v>
      </c>
      <c r="DD386" s="274">
        <f t="shared" si="114"/>
        <v>11507395.460000001</v>
      </c>
      <c r="DE386" s="274">
        <f t="shared" si="114"/>
        <v>11507395.460000001</v>
      </c>
      <c r="DF386" s="274">
        <f t="shared" si="114"/>
        <v>11507395.460000001</v>
      </c>
      <c r="DG386" s="274">
        <f t="shared" si="114"/>
        <v>11507395.460000001</v>
      </c>
      <c r="DH386" s="274">
        <f t="shared" si="114"/>
        <v>11507395.460000001</v>
      </c>
      <c r="DI386" s="272">
        <f t="shared" si="114"/>
        <v>11507395.460000001</v>
      </c>
      <c r="DJ386" s="120">
        <f>+SUM(DJ387:DJ388)</f>
        <v>30373417.030833334</v>
      </c>
      <c r="DK386" s="121">
        <f t="shared" ref="DK386:ES386" si="115">+SUM(DK387:DK388)</f>
        <v>30373417.030833334</v>
      </c>
      <c r="DL386" s="121">
        <f t="shared" si="115"/>
        <v>30373417.030833334</v>
      </c>
      <c r="DM386" s="121">
        <f t="shared" si="115"/>
        <v>30373417.030833334</v>
      </c>
      <c r="DN386" s="121">
        <f t="shared" si="115"/>
        <v>30373417.030833334</v>
      </c>
      <c r="DO386" s="121">
        <f t="shared" si="115"/>
        <v>30373417.030833334</v>
      </c>
      <c r="DP386" s="121">
        <f t="shared" si="115"/>
        <v>30373417.030833334</v>
      </c>
      <c r="DQ386" s="121">
        <f t="shared" si="115"/>
        <v>30373417.030833334</v>
      </c>
      <c r="DR386" s="121">
        <f t="shared" si="115"/>
        <v>30373417.030833334</v>
      </c>
      <c r="DS386" s="121">
        <f t="shared" si="115"/>
        <v>30373417.030833334</v>
      </c>
      <c r="DT386" s="121">
        <f t="shared" si="115"/>
        <v>30373417.030833334</v>
      </c>
      <c r="DU386" s="121">
        <f t="shared" si="115"/>
        <v>30373417.030833334</v>
      </c>
      <c r="DV386" s="121">
        <f t="shared" si="115"/>
        <v>29487385.678333335</v>
      </c>
      <c r="DW386" s="121">
        <f t="shared" si="115"/>
        <v>29487385.678333335</v>
      </c>
      <c r="DX386" s="121">
        <f t="shared" si="115"/>
        <v>29487385.678333335</v>
      </c>
      <c r="DY386" s="121">
        <f t="shared" si="115"/>
        <v>29487385.678333335</v>
      </c>
      <c r="DZ386" s="121">
        <f t="shared" si="115"/>
        <v>29487385.678333335</v>
      </c>
      <c r="EA386" s="121">
        <f t="shared" si="115"/>
        <v>29487385.678333335</v>
      </c>
      <c r="EB386" s="121">
        <f t="shared" si="115"/>
        <v>29487385.678333335</v>
      </c>
      <c r="EC386" s="121">
        <f t="shared" si="115"/>
        <v>29487385.678333335</v>
      </c>
      <c r="ED386" s="121">
        <f t="shared" si="115"/>
        <v>29487385.678333335</v>
      </c>
      <c r="EE386" s="121">
        <f>+SUM(EE387:EE388)</f>
        <v>29487385.678333335</v>
      </c>
      <c r="EF386" s="121">
        <f t="shared" si="115"/>
        <v>29487385.678333335</v>
      </c>
      <c r="EG386" s="121">
        <f t="shared" si="115"/>
        <v>29487385.678333335</v>
      </c>
      <c r="EH386" s="121">
        <f t="shared" si="115"/>
        <v>1807759.33</v>
      </c>
      <c r="EI386" s="121">
        <f t="shared" si="115"/>
        <v>2438472.2200000002</v>
      </c>
      <c r="EJ386" s="121">
        <f t="shared" si="115"/>
        <v>15655936.91</v>
      </c>
      <c r="EK386" s="121">
        <f t="shared" si="115"/>
        <v>64651157.369999997</v>
      </c>
      <c r="EL386" s="121">
        <f t="shared" si="115"/>
        <v>7437833.5500000007</v>
      </c>
      <c r="EM386" s="121">
        <f t="shared" si="115"/>
        <v>13236635.329999998</v>
      </c>
      <c r="EN386" s="121">
        <f t="shared" si="115"/>
        <v>20293900.130000003</v>
      </c>
      <c r="EO386" s="121">
        <f t="shared" si="115"/>
        <v>14067298.649999999</v>
      </c>
      <c r="EP386" s="121">
        <f t="shared" si="115"/>
        <v>14509199.859999999</v>
      </c>
      <c r="EQ386" s="121">
        <f t="shared" si="115"/>
        <v>6877031.1699999999</v>
      </c>
      <c r="ER386" s="121">
        <f t="shared" si="115"/>
        <v>8905117.9000000004</v>
      </c>
      <c r="ES386" s="121">
        <f t="shared" si="115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f>SUM(FR387:FR388)</f>
        <v>1725839.0999999999</v>
      </c>
      <c r="FS386" s="341">
        <f t="shared" ref="FS386:GC386" si="116">SUM(FS387:FS388)</f>
        <v>3305317.26</v>
      </c>
      <c r="FT386" s="341">
        <f t="shared" si="116"/>
        <v>339468444.25999999</v>
      </c>
      <c r="FU386" s="341">
        <f t="shared" si="116"/>
        <v>17477408.559999999</v>
      </c>
      <c r="FV386" s="341">
        <f t="shared" si="116"/>
        <v>15441444.539999999</v>
      </c>
      <c r="FW386" s="341">
        <f t="shared" si="116"/>
        <v>12046825.949999999</v>
      </c>
      <c r="FX386" s="341">
        <f t="shared" si="116"/>
        <v>11726652.870000001</v>
      </c>
      <c r="FY386" s="341">
        <f t="shared" si="116"/>
        <v>8624889.1799999997</v>
      </c>
      <c r="FZ386" s="341">
        <f t="shared" si="116"/>
        <v>18011093.800000001</v>
      </c>
      <c r="GA386" s="341">
        <f t="shared" si="116"/>
        <v>9855652.5999999996</v>
      </c>
      <c r="GB386" s="341">
        <f t="shared" si="116"/>
        <v>89792355.439999998</v>
      </c>
      <c r="GC386" s="341">
        <f t="shared" si="116"/>
        <v>12114076.439999999</v>
      </c>
      <c r="GE386" s="445">
        <f t="shared" si="112"/>
        <v>539590000.00000012</v>
      </c>
    </row>
    <row r="387" spans="1:187" ht="30">
      <c r="D387" s="72" t="str">
        <f t="shared" si="102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6"/>
    </row>
    <row r="388" spans="1:187" ht="30">
      <c r="D388" s="72" t="str">
        <f t="shared" si="102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6"/>
    </row>
    <row r="389" spans="1:187" s="9" customFormat="1">
      <c r="A389" s="118"/>
      <c r="B389" s="118"/>
      <c r="C389" s="118">
        <v>462</v>
      </c>
      <c r="D389" s="118" t="str">
        <f t="shared" si="102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17">+SUM(CL390:CL391)</f>
        <v>0</v>
      </c>
      <c r="CM389" s="121">
        <f t="shared" si="117"/>
        <v>0</v>
      </c>
      <c r="CN389" s="121">
        <f t="shared" si="117"/>
        <v>0</v>
      </c>
      <c r="CO389" s="121">
        <f t="shared" si="117"/>
        <v>0</v>
      </c>
      <c r="CP389" s="121">
        <f t="shared" si="117"/>
        <v>0</v>
      </c>
      <c r="CQ389" s="121">
        <f t="shared" si="117"/>
        <v>0</v>
      </c>
      <c r="CR389" s="121">
        <f t="shared" si="117"/>
        <v>0</v>
      </c>
      <c r="CS389" s="121">
        <f t="shared" si="117"/>
        <v>0</v>
      </c>
      <c r="CT389" s="121">
        <f t="shared" si="117"/>
        <v>0</v>
      </c>
      <c r="CU389" s="121">
        <f t="shared" si="117"/>
        <v>0</v>
      </c>
      <c r="CV389" s="121">
        <f t="shared" si="117"/>
        <v>0</v>
      </c>
      <c r="CW389" s="122">
        <f t="shared" si="117"/>
        <v>0</v>
      </c>
      <c r="CX389" s="271">
        <f t="shared" si="117"/>
        <v>0</v>
      </c>
      <c r="CY389" s="274">
        <f t="shared" ref="CY389:DI389" si="118">+SUM(CY390:CY391)</f>
        <v>0</v>
      </c>
      <c r="CZ389" s="274">
        <f t="shared" si="118"/>
        <v>0</v>
      </c>
      <c r="DA389" s="274">
        <f t="shared" si="118"/>
        <v>0</v>
      </c>
      <c r="DB389" s="274">
        <f t="shared" si="118"/>
        <v>0</v>
      </c>
      <c r="DC389" s="274">
        <f t="shared" si="118"/>
        <v>0</v>
      </c>
      <c r="DD389" s="274">
        <f t="shared" si="118"/>
        <v>0</v>
      </c>
      <c r="DE389" s="274">
        <f t="shared" si="118"/>
        <v>0</v>
      </c>
      <c r="DF389" s="274">
        <f t="shared" si="118"/>
        <v>0</v>
      </c>
      <c r="DG389" s="274">
        <f t="shared" si="118"/>
        <v>0</v>
      </c>
      <c r="DH389" s="274">
        <f t="shared" si="118"/>
        <v>0</v>
      </c>
      <c r="DI389" s="272">
        <f t="shared" si="118"/>
        <v>0</v>
      </c>
      <c r="DJ389" s="120">
        <f>+SUM(DJ390:DJ391)</f>
        <v>0</v>
      </c>
      <c r="DK389" s="121">
        <f t="shared" ref="DK389:DU389" si="119">+SUM(DK390:DK391)</f>
        <v>0</v>
      </c>
      <c r="DL389" s="121">
        <f t="shared" si="119"/>
        <v>0</v>
      </c>
      <c r="DM389" s="121">
        <f t="shared" si="119"/>
        <v>0</v>
      </c>
      <c r="DN389" s="121">
        <f t="shared" si="119"/>
        <v>0</v>
      </c>
      <c r="DO389" s="121">
        <f t="shared" si="119"/>
        <v>0</v>
      </c>
      <c r="DP389" s="121">
        <f t="shared" si="119"/>
        <v>0</v>
      </c>
      <c r="DQ389" s="121">
        <f t="shared" si="119"/>
        <v>0</v>
      </c>
      <c r="DR389" s="121">
        <f t="shared" si="119"/>
        <v>0</v>
      </c>
      <c r="DS389" s="121">
        <f t="shared" si="119"/>
        <v>0</v>
      </c>
      <c r="DT389" s="121">
        <f t="shared" si="119"/>
        <v>0</v>
      </c>
      <c r="DU389" s="122">
        <f t="shared" si="119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f>SUM(FR390:FR391)</f>
        <v>0</v>
      </c>
      <c r="FS389" s="341">
        <f t="shared" ref="FS389:GC389" si="120">SUM(FS390:FS391)</f>
        <v>0</v>
      </c>
      <c r="FT389" s="341">
        <f t="shared" si="120"/>
        <v>0</v>
      </c>
      <c r="FU389" s="341">
        <f t="shared" si="120"/>
        <v>0</v>
      </c>
      <c r="FV389" s="341">
        <f t="shared" si="120"/>
        <v>0</v>
      </c>
      <c r="FW389" s="341">
        <f t="shared" si="120"/>
        <v>0</v>
      </c>
      <c r="FX389" s="341">
        <f t="shared" si="120"/>
        <v>0</v>
      </c>
      <c r="FY389" s="341">
        <f t="shared" si="120"/>
        <v>0</v>
      </c>
      <c r="FZ389" s="341">
        <f t="shared" si="120"/>
        <v>0</v>
      </c>
      <c r="GA389" s="341">
        <f t="shared" si="120"/>
        <v>0</v>
      </c>
      <c r="GB389" s="341">
        <f t="shared" si="120"/>
        <v>0</v>
      </c>
      <c r="GC389" s="341">
        <f t="shared" si="120"/>
        <v>0</v>
      </c>
      <c r="GE389" s="445">
        <f t="shared" si="112"/>
        <v>0</v>
      </c>
    </row>
    <row r="390" spans="1:187">
      <c r="D390" s="72" t="str">
        <f t="shared" si="102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6">
        <f t="shared" si="112"/>
        <v>0</v>
      </c>
    </row>
    <row r="391" spans="1:187">
      <c r="D391" s="72" t="str">
        <f t="shared" si="102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6">
        <f t="shared" si="112"/>
        <v>0</v>
      </c>
    </row>
    <row r="392" spans="1:187" s="9" customFormat="1" ht="30">
      <c r="A392" s="118"/>
      <c r="B392" s="118"/>
      <c r="C392" s="118">
        <v>463</v>
      </c>
      <c r="D392" s="118" t="str">
        <f t="shared" si="102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1234088.2</v>
      </c>
      <c r="FS392" s="367">
        <v>1922034.51</v>
      </c>
      <c r="FT392" s="367">
        <v>1368605.81</v>
      </c>
      <c r="FU392" s="367">
        <v>1039845.76</v>
      </c>
      <c r="FV392" s="367">
        <v>1116425.95</v>
      </c>
      <c r="FW392" s="367">
        <v>1374921.7142857143</v>
      </c>
      <c r="FX392" s="367">
        <v>1374921.7142857143</v>
      </c>
      <c r="FY392" s="367">
        <v>1374921.7142857143</v>
      </c>
      <c r="FZ392" s="367">
        <v>1374921.7142857143</v>
      </c>
      <c r="GA392" s="367">
        <v>1374921.7142857143</v>
      </c>
      <c r="GB392" s="367">
        <v>1374921.7142857143</v>
      </c>
      <c r="GC392" s="367">
        <v>1374921.7142857143</v>
      </c>
      <c r="GE392" s="445"/>
    </row>
    <row r="393" spans="1:187" s="9" customFormat="1">
      <c r="A393" s="118" t="s">
        <v>94</v>
      </c>
      <c r="B393" s="118">
        <v>47</v>
      </c>
      <c r="C393" s="118"/>
      <c r="D393" s="118" t="str">
        <f t="shared" si="102"/>
        <v>47p</v>
      </c>
      <c r="E393" s="119" t="s">
        <v>368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21">+SUM(CL394:CL396)</f>
        <v>613005.79833333334</v>
      </c>
      <c r="CM393" s="121">
        <f t="shared" si="121"/>
        <v>613005.79833333334</v>
      </c>
      <c r="CN393" s="121">
        <f t="shared" si="121"/>
        <v>613005.79833333334</v>
      </c>
      <c r="CO393" s="121">
        <f t="shared" si="121"/>
        <v>613005.79833333334</v>
      </c>
      <c r="CP393" s="121">
        <f t="shared" si="121"/>
        <v>613005.79833333334</v>
      </c>
      <c r="CQ393" s="121">
        <f t="shared" si="121"/>
        <v>613005.79833333334</v>
      </c>
      <c r="CR393" s="121">
        <f t="shared" si="121"/>
        <v>613005.79833333334</v>
      </c>
      <c r="CS393" s="121">
        <f t="shared" si="121"/>
        <v>613005.79833333334</v>
      </c>
      <c r="CT393" s="121">
        <f t="shared" si="121"/>
        <v>613005.79833333334</v>
      </c>
      <c r="CU393" s="121">
        <f t="shared" si="121"/>
        <v>613005.79833333334</v>
      </c>
      <c r="CV393" s="121">
        <f t="shared" si="121"/>
        <v>613005.79833333334</v>
      </c>
      <c r="CW393" s="122">
        <f t="shared" si="121"/>
        <v>613005.79833333334</v>
      </c>
      <c r="CX393" s="271">
        <f t="shared" si="121"/>
        <v>737887.48083333333</v>
      </c>
      <c r="CY393" s="274">
        <f t="shared" ref="CY393:DI393" si="122">+SUM(CY394:CY396)</f>
        <v>737887.48083333333</v>
      </c>
      <c r="CZ393" s="274">
        <f t="shared" si="122"/>
        <v>737887.48083333333</v>
      </c>
      <c r="DA393" s="274">
        <f t="shared" si="122"/>
        <v>737887.48083333333</v>
      </c>
      <c r="DB393" s="274">
        <f t="shared" si="122"/>
        <v>737887.48083333333</v>
      </c>
      <c r="DC393" s="274">
        <f t="shared" si="122"/>
        <v>737887.48083333333</v>
      </c>
      <c r="DD393" s="274">
        <f t="shared" si="122"/>
        <v>737887.48083333333</v>
      </c>
      <c r="DE393" s="274">
        <f t="shared" si="122"/>
        <v>737887.48083333333</v>
      </c>
      <c r="DF393" s="274">
        <f t="shared" si="122"/>
        <v>737887.48083333333</v>
      </c>
      <c r="DG393" s="274">
        <f t="shared" si="122"/>
        <v>737887.48083333333</v>
      </c>
      <c r="DH393" s="274">
        <f t="shared" si="122"/>
        <v>737887.48083333333</v>
      </c>
      <c r="DI393" s="272">
        <f t="shared" si="122"/>
        <v>737887.48083333333</v>
      </c>
      <c r="DJ393" s="120">
        <f>+SUM(DJ394:DJ396)</f>
        <v>1087930.2858333334</v>
      </c>
      <c r="DK393" s="121">
        <f t="shared" ref="DK393:DU393" si="123">+SUM(DK394:DK396)</f>
        <v>1087930.2858333334</v>
      </c>
      <c r="DL393" s="121">
        <f t="shared" si="123"/>
        <v>1087930.2858333334</v>
      </c>
      <c r="DM393" s="121">
        <f t="shared" si="123"/>
        <v>1087930.2858333334</v>
      </c>
      <c r="DN393" s="121">
        <f t="shared" si="123"/>
        <v>1087930.2858333334</v>
      </c>
      <c r="DO393" s="121">
        <f t="shared" si="123"/>
        <v>1087930.2858333334</v>
      </c>
      <c r="DP393" s="121">
        <f t="shared" si="123"/>
        <v>1087930.2858333334</v>
      </c>
      <c r="DQ393" s="121">
        <f t="shared" si="123"/>
        <v>1087930.2858333334</v>
      </c>
      <c r="DR393" s="121">
        <f t="shared" si="123"/>
        <v>1087930.2858333334</v>
      </c>
      <c r="DS393" s="121">
        <f t="shared" si="123"/>
        <v>1087930.2858333334</v>
      </c>
      <c r="DT393" s="121">
        <f t="shared" si="123"/>
        <v>1087930.2858333334</v>
      </c>
      <c r="DU393" s="122">
        <f t="shared" si="123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v>1941194</v>
      </c>
      <c r="FS393" s="341">
        <v>720000</v>
      </c>
      <c r="FT393" s="341">
        <v>117020</v>
      </c>
      <c r="FU393" s="341">
        <v>3138464.05</v>
      </c>
      <c r="FV393" s="341">
        <v>16941995.850000001</v>
      </c>
      <c r="FW393" s="341">
        <v>19000000</v>
      </c>
      <c r="FX393" s="341">
        <v>13000000</v>
      </c>
      <c r="FY393" s="341">
        <v>13000000</v>
      </c>
      <c r="FZ393" s="341">
        <v>13000000</v>
      </c>
      <c r="GA393" s="341">
        <v>38000000</v>
      </c>
      <c r="GB393" s="341">
        <v>7385913.0500000007</v>
      </c>
      <c r="GC393" s="341">
        <v>7385913.0500000007</v>
      </c>
      <c r="GE393" s="445"/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24">+CONCATENATE(D185,"p")</f>
        <v>4710p</v>
      </c>
      <c r="E394" s="76" t="s">
        <v>370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/>
      <c r="FS394" s="263"/>
      <c r="FT394" s="263"/>
      <c r="FU394" s="263"/>
      <c r="FV394" s="263"/>
      <c r="FW394" s="263"/>
      <c r="FX394" s="263"/>
      <c r="FY394" s="263"/>
      <c r="FZ394" s="263"/>
      <c r="GA394" s="263"/>
      <c r="GB394" s="263"/>
      <c r="GC394" s="263"/>
      <c r="GE394" s="446"/>
    </row>
    <row r="395" spans="1:187">
      <c r="C395" s="72">
        <v>472</v>
      </c>
      <c r="D395" s="72" t="str">
        <f t="shared" si="124"/>
        <v>4720p</v>
      </c>
      <c r="E395" s="76" t="s">
        <v>372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/>
      <c r="FS395" s="263"/>
      <c r="FT395" s="263"/>
      <c r="FU395" s="263"/>
      <c r="FV395" s="263"/>
      <c r="FW395" s="263"/>
      <c r="FX395" s="263"/>
      <c r="FY395" s="263"/>
      <c r="FZ395" s="263"/>
      <c r="GA395" s="263"/>
      <c r="GB395" s="263"/>
      <c r="GC395" s="263"/>
      <c r="GE395" s="446"/>
    </row>
    <row r="396" spans="1:187">
      <c r="C396" s="72">
        <v>473</v>
      </c>
      <c r="D396" s="72" t="str">
        <f t="shared" si="124"/>
        <v>4730p</v>
      </c>
      <c r="E396" s="76" t="s">
        <v>374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/>
      <c r="FS396" s="263"/>
      <c r="FT396" s="263"/>
      <c r="FU396" s="263"/>
      <c r="FV396" s="263"/>
      <c r="FW396" s="263"/>
      <c r="FX396" s="263"/>
      <c r="FY396" s="263"/>
      <c r="FZ396" s="263"/>
      <c r="GA396" s="263"/>
      <c r="GB396" s="263"/>
      <c r="GC396" s="263"/>
      <c r="GE396" s="446"/>
    </row>
    <row r="397" spans="1:187">
      <c r="D397" s="72">
        <v>1005</v>
      </c>
      <c r="E397" s="76" t="s">
        <v>687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7"/>
    </row>
    <row r="400" spans="1:187">
      <c r="GE400" s="450"/>
    </row>
    <row r="401" spans="187:187">
      <c r="GE401" s="447"/>
    </row>
  </sheetData>
  <mergeCells count="22">
    <mergeCell ref="CX214:DI214"/>
    <mergeCell ref="DJ214:DU214"/>
    <mergeCell ref="AP214:BA214"/>
    <mergeCell ref="BB214:BM214"/>
    <mergeCell ref="BN214:BY214"/>
    <mergeCell ref="BZ214:CK214"/>
    <mergeCell ref="CL214:CW214"/>
    <mergeCell ref="E6:E7"/>
    <mergeCell ref="E214:E215"/>
    <mergeCell ref="F214:Q214"/>
    <mergeCell ref="R214:AC214"/>
    <mergeCell ref="AD214:AO214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6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682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774</v>
      </c>
      <c r="F8" s="34" t="s">
        <v>775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794</v>
      </c>
      <c r="F11" s="12" t="s">
        <v>795</v>
      </c>
      <c r="G11" s="52" t="str">
        <f t="shared" si="0"/>
        <v>Mjesečni podaci 2020</v>
      </c>
    </row>
    <row r="12" spans="2:7">
      <c r="D12" s="41"/>
      <c r="E12" s="11" t="s">
        <v>759</v>
      </c>
      <c r="F12" s="12" t="s">
        <v>760</v>
      </c>
      <c r="G12" s="52" t="str">
        <f t="shared" si="0"/>
        <v>Mjesečni podaci 2019</v>
      </c>
    </row>
    <row r="13" spans="2:7">
      <c r="D13" s="41"/>
      <c r="E13" s="11" t="s">
        <v>757</v>
      </c>
      <c r="F13" s="12" t="s">
        <v>758</v>
      </c>
      <c r="G13" s="52" t="str">
        <f t="shared" si="0"/>
        <v>Mjesečni podaci 2018</v>
      </c>
    </row>
    <row r="14" spans="2:7">
      <c r="D14" s="41"/>
      <c r="E14" s="11" t="s">
        <v>738</v>
      </c>
      <c r="F14" s="12" t="s">
        <v>739</v>
      </c>
      <c r="G14" s="52" t="str">
        <f t="shared" si="0"/>
        <v>Mjesečni podaci 2017</v>
      </c>
    </row>
    <row r="15" spans="2:7">
      <c r="D15" s="41"/>
      <c r="E15" s="11" t="s">
        <v>719</v>
      </c>
      <c r="F15" s="12" t="s">
        <v>720</v>
      </c>
      <c r="G15" s="52" t="str">
        <f t="shared" si="0"/>
        <v>Mjesečni podaci 2016</v>
      </c>
    </row>
    <row r="16" spans="2:7">
      <c r="E16" s="11" t="s">
        <v>691</v>
      </c>
      <c r="F16" s="12" t="s">
        <v>692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740</v>
      </c>
      <c r="F19" s="12" t="s">
        <v>741</v>
      </c>
      <c r="G19" s="52" t="str">
        <f t="shared" si="0"/>
        <v>Mjesečni podaci 2012</v>
      </c>
    </row>
    <row r="20" spans="2:7">
      <c r="E20" s="11" t="s">
        <v>742</v>
      </c>
      <c r="F20" s="12" t="s">
        <v>743</v>
      </c>
      <c r="G20" s="52" t="str">
        <f t="shared" si="0"/>
        <v>Mjesečni podaci 2011</v>
      </c>
    </row>
    <row r="21" spans="2:7">
      <c r="E21" s="11" t="s">
        <v>16</v>
      </c>
      <c r="F21" s="12" t="s">
        <v>406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413</v>
      </c>
      <c r="F23" s="12" t="s">
        <v>413</v>
      </c>
      <c r="G23" s="52" t="str">
        <f t="shared" si="0"/>
        <v>Plan</v>
      </c>
    </row>
    <row r="24" spans="2:7">
      <c r="E24" s="11" t="s">
        <v>414</v>
      </c>
      <c r="F24" s="12" t="s">
        <v>415</v>
      </c>
      <c r="G24" s="52" t="str">
        <f t="shared" si="0"/>
        <v>Ostvarenje</v>
      </c>
    </row>
    <row r="25" spans="2:7">
      <c r="D25" s="43"/>
      <c r="E25" s="33" t="s">
        <v>416</v>
      </c>
      <c r="F25" s="34" t="s">
        <v>417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683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724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798</v>
      </c>
      <c r="F80" s="16" t="s">
        <v>121</v>
      </c>
      <c r="G80" s="52" t="str">
        <f t="shared" si="1"/>
        <v>Izdaci</v>
      </c>
    </row>
    <row r="81" spans="2:7">
      <c r="B81" s="20"/>
      <c r="C81" s="44"/>
      <c r="D81" s="44">
        <v>40</v>
      </c>
      <c r="E81" s="15" t="s">
        <v>778</v>
      </c>
      <c r="F81" s="16" t="s">
        <v>779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721</v>
      </c>
      <c r="F97" s="22" t="s">
        <v>723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721</v>
      </c>
      <c r="F149" s="22" t="s">
        <v>722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801</v>
      </c>
      <c r="F212" s="19" t="s">
        <v>802</v>
      </c>
      <c r="G212" s="52" t="str">
        <f t="shared" si="3"/>
        <v>Otplata obaveza iz prethodnog perioda</v>
      </c>
    </row>
    <row r="213" spans="2:7">
      <c r="B213" s="14"/>
      <c r="C213" s="44"/>
      <c r="D213" s="44">
        <v>47</v>
      </c>
      <c r="E213" s="28" t="s">
        <v>368</v>
      </c>
      <c r="F213" s="29" t="s">
        <v>369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370</v>
      </c>
      <c r="F214" s="31" t="s">
        <v>371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372</v>
      </c>
      <c r="F215" s="31" t="s">
        <v>373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374</v>
      </c>
      <c r="F216" s="36" t="s">
        <v>375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547</v>
      </c>
      <c r="F218" s="92" t="s">
        <v>548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799</v>
      </c>
      <c r="F219" s="92" t="s">
        <v>800</v>
      </c>
      <c r="G219" s="52" t="str">
        <f t="shared" si="3"/>
        <v>Primarni suficit/deficit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545</v>
      </c>
      <c r="F221" s="92" t="s">
        <v>549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546</v>
      </c>
      <c r="F222" s="92" t="s">
        <v>550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551</v>
      </c>
      <c r="F224" s="92" t="s">
        <v>552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687</v>
      </c>
      <c r="F226" s="92" t="s">
        <v>688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418</v>
      </c>
      <c r="D230" s="49">
        <v>1</v>
      </c>
      <c r="E230" s="9" t="s">
        <v>376</v>
      </c>
      <c r="F230" s="10" t="s">
        <v>377</v>
      </c>
      <c r="G230" s="52" t="str">
        <f t="shared" si="3"/>
        <v>Januar</v>
      </c>
    </row>
    <row r="231" spans="2:7">
      <c r="C231" s="41" t="s">
        <v>423</v>
      </c>
      <c r="D231" s="49">
        <v>2</v>
      </c>
      <c r="E231" s="9" t="s">
        <v>378</v>
      </c>
      <c r="F231" s="10" t="s">
        <v>379</v>
      </c>
      <c r="G231" s="52" t="str">
        <f t="shared" si="3"/>
        <v>Februar</v>
      </c>
    </row>
    <row r="232" spans="2:7">
      <c r="C232" s="41" t="s">
        <v>424</v>
      </c>
      <c r="D232" s="49">
        <v>3</v>
      </c>
      <c r="E232" s="9" t="s">
        <v>380</v>
      </c>
      <c r="F232" s="10" t="s">
        <v>381</v>
      </c>
      <c r="G232" s="52" t="str">
        <f t="shared" si="3"/>
        <v>Mart</v>
      </c>
    </row>
    <row r="233" spans="2:7">
      <c r="D233" s="49">
        <v>4</v>
      </c>
      <c r="E233" s="9" t="s">
        <v>382</v>
      </c>
      <c r="F233" s="10" t="s">
        <v>382</v>
      </c>
      <c r="G233" s="52" t="str">
        <f t="shared" si="3"/>
        <v>April</v>
      </c>
    </row>
    <row r="234" spans="2:7">
      <c r="D234" s="49">
        <v>5</v>
      </c>
      <c r="E234" s="9" t="s">
        <v>383</v>
      </c>
      <c r="F234" s="10" t="s">
        <v>384</v>
      </c>
      <c r="G234" s="52" t="str">
        <f t="shared" si="3"/>
        <v>Maj</v>
      </c>
    </row>
    <row r="235" spans="2:7">
      <c r="D235" s="49">
        <v>6</v>
      </c>
      <c r="E235" s="9" t="s">
        <v>385</v>
      </c>
      <c r="F235" s="10" t="s">
        <v>386</v>
      </c>
      <c r="G235" s="52" t="str">
        <f t="shared" si="3"/>
        <v>Jun</v>
      </c>
    </row>
    <row r="236" spans="2:7">
      <c r="D236" s="49">
        <v>7</v>
      </c>
      <c r="E236" s="9" t="s">
        <v>387</v>
      </c>
      <c r="F236" s="10" t="s">
        <v>388</v>
      </c>
      <c r="G236" s="52" t="str">
        <f t="shared" si="3"/>
        <v>Jul</v>
      </c>
    </row>
    <row r="237" spans="2:7">
      <c r="D237" s="49">
        <v>8</v>
      </c>
      <c r="E237" s="9" t="s">
        <v>389</v>
      </c>
      <c r="F237" s="10" t="s">
        <v>390</v>
      </c>
      <c r="G237" s="52" t="str">
        <f t="shared" si="3"/>
        <v>Avgust</v>
      </c>
    </row>
    <row r="238" spans="2:7">
      <c r="D238" s="49">
        <v>9</v>
      </c>
      <c r="E238" s="9" t="s">
        <v>391</v>
      </c>
      <c r="F238" s="10" t="s">
        <v>392</v>
      </c>
      <c r="G238" s="52" t="str">
        <f t="shared" si="3"/>
        <v>Septembar</v>
      </c>
    </row>
    <row r="239" spans="2:7">
      <c r="D239" s="49">
        <v>10</v>
      </c>
      <c r="E239" s="9" t="s">
        <v>393</v>
      </c>
      <c r="F239" s="10" t="s">
        <v>394</v>
      </c>
      <c r="G239" s="52" t="str">
        <f t="shared" si="3"/>
        <v>Oktobar</v>
      </c>
    </row>
    <row r="240" spans="2:7">
      <c r="D240" s="49">
        <v>11</v>
      </c>
      <c r="E240" s="9" t="s">
        <v>395</v>
      </c>
      <c r="F240" s="10" t="s">
        <v>396</v>
      </c>
      <c r="G240" s="52" t="str">
        <f t="shared" si="3"/>
        <v>Novembar</v>
      </c>
    </row>
    <row r="241" spans="4:7">
      <c r="D241" s="49">
        <v>12</v>
      </c>
      <c r="E241" s="9" t="s">
        <v>397</v>
      </c>
      <c r="F241" s="10" t="s">
        <v>398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Jun</v>
      </c>
    </row>
    <row r="244" spans="4:7">
      <c r="D244" s="49"/>
      <c r="E244" s="9"/>
      <c r="F244" s="10"/>
      <c r="G244" s="52" t="str">
        <f>+CONCATENATE("Jan - ",LEFT(G243,3))</f>
        <v>Jan - Jun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421</v>
      </c>
      <c r="F247" s="10" t="s">
        <v>422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556</v>
      </c>
      <c r="F250" s="10" t="s">
        <v>553</v>
      </c>
      <c r="G250" s="52" t="str">
        <f t="shared" si="3"/>
        <v>Ostvarenje budžeta</v>
      </c>
    </row>
    <row r="251" spans="4:7">
      <c r="D251" s="46"/>
      <c r="E251" s="9" t="s">
        <v>554</v>
      </c>
      <c r="F251" s="10" t="s">
        <v>555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Jun</v>
      </c>
      <c r="F252" s="10" t="str">
        <f>+CONCATENATE("Analytics for period ",G243)</f>
        <v>Analytics for period Jun</v>
      </c>
      <c r="G252" s="52" t="str">
        <f>+IF(ISBLANK(IF($B$2=1,E252,F252)),"",IF($B$2=1,E252,F252))</f>
        <v>Analitika za period Jun</v>
      </c>
    </row>
    <row r="253" spans="4:7">
      <c r="D253" s="46"/>
      <c r="E253" s="9" t="str">
        <f>+CONCATENATE("Analitika za period ",G244)</f>
        <v>Analitika za period Jan - Jun</v>
      </c>
      <c r="F253" s="10" t="str">
        <f>+CONCATENATE("Analytics for period ",G244)</f>
        <v>Analytics for period Jan - Jun</v>
      </c>
      <c r="G253" s="52" t="str">
        <f>+IF(ISBLANK(IF($B$2=1,E253,F253)),"",IF($B$2=1,E253,F253))</f>
        <v>Analitika za period Jan - Jun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413</v>
      </c>
      <c r="F256" s="10" t="s">
        <v>413</v>
      </c>
      <c r="G256" s="52" t="str">
        <f t="shared" si="3"/>
        <v>Plan</v>
      </c>
    </row>
    <row r="257" spans="4:7">
      <c r="D257" s="46"/>
      <c r="E257" s="9" t="s">
        <v>414</v>
      </c>
      <c r="F257" s="10" t="s">
        <v>415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679</v>
      </c>
      <c r="F259" s="10" t="s">
        <v>680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684</v>
      </c>
      <c r="F261" s="10" t="s">
        <v>685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420</v>
      </c>
      <c r="E268" s="9" t="s">
        <v>399</v>
      </c>
      <c r="F268" s="10" t="s">
        <v>400</v>
      </c>
      <c r="G268" s="52" t="str">
        <f>+CONCATENATE(IF(ISBLANK(IF($B$2=1,E268,F268)),"",IF($B$2=1,E268,F268))," ",$G$243)</f>
        <v>Prihodi za mjesec Jun</v>
      </c>
    </row>
    <row r="269" spans="4:7">
      <c r="E269" s="9" t="s">
        <v>401</v>
      </c>
      <c r="F269" s="10" t="s">
        <v>402</v>
      </c>
      <c r="G269" s="52" t="str">
        <f>+CONCATENATE(IF(ISBLANK(IF($B$2=1,E269,F269)),"",IF($B$2=1,E269,F269))," ",$G$243)</f>
        <v>Rashodi za mjesec Jun</v>
      </c>
    </row>
    <row r="270" spans="4:7">
      <c r="E270" s="9" t="s">
        <v>725</v>
      </c>
      <c r="F270" s="10" t="s">
        <v>403</v>
      </c>
      <c r="G270" s="52" t="str">
        <f>+CONCATENATE(IF(ISBLANK(IF($B$2=1,E270,F270)),"",IF($B$2=1,E270,F270))," ",$G$243)</f>
        <v>Suficit/Deficit za mjesec Jun</v>
      </c>
    </row>
    <row r="272" spans="4:7">
      <c r="E272" s="9" t="s">
        <v>404</v>
      </c>
      <c r="F272" s="10" t="s">
        <v>407</v>
      </c>
      <c r="G272" s="52" t="str">
        <f>+CONCATENATE(IF(ISBLANK(IF($B$2=1,E272,F272)),"",IF($B$2=1,E272,F272))," ",$G$243)</f>
        <v>Prihodi za period Januar - Jun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",$G$243)</f>
        <v>Rashodi za period Januar - Jun</v>
      </c>
    </row>
    <row r="274" spans="5:7">
      <c r="E274" s="9" t="s">
        <v>776</v>
      </c>
      <c r="F274" s="10" t="s">
        <v>777</v>
      </c>
      <c r="G274" s="52" t="str">
        <f>+CONCATENATE(IF(ISBLANK(IF($B$2=1,E274,F274)),"",IF($B$2=1,E274,F274))," ",$G$243)</f>
        <v>Suficit/Deficit za period Januar - Jun</v>
      </c>
    </row>
    <row r="276" spans="5:7">
      <c r="E276" s="9" t="s">
        <v>411</v>
      </c>
      <c r="F276" s="10" t="s">
        <v>412</v>
      </c>
      <c r="G276" s="52" t="str">
        <f t="shared" si="3"/>
        <v>Stanje javnog duga (% BDP)</v>
      </c>
    </row>
    <row r="278" spans="5:7">
      <c r="E278" s="9" t="s">
        <v>409</v>
      </c>
      <c r="F278" s="10" t="s">
        <v>410</v>
      </c>
      <c r="G278" s="52" t="str">
        <f t="shared" si="3"/>
        <v>Pregled</v>
      </c>
    </row>
    <row r="280" spans="5:7" ht="60">
      <c r="E280" s="258" t="s">
        <v>689</v>
      </c>
      <c r="F280" s="60" t="s">
        <v>690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Analitika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Duska</cp:lastModifiedBy>
  <cp:lastPrinted>2017-03-01T13:10:49Z</cp:lastPrinted>
  <dcterms:created xsi:type="dcterms:W3CDTF">2014-09-15T13:41:17Z</dcterms:created>
  <dcterms:modified xsi:type="dcterms:W3CDTF">2020-07-30T09:31:03Z</dcterms:modified>
</cp:coreProperties>
</file>