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updateLinks="never" codeName="ThisWorkbook" defaultThemeVersion="124226"/>
  <bookViews>
    <workbookView xWindow="0" yWindow="0" windowWidth="16590" windowHeight="5985" tabRatio="817"/>
  </bookViews>
  <sheets>
    <sheet name="Cental Budget" sheetId="10" r:id="rId1"/>
    <sheet name="Local Government" sheetId="32" r:id="rId2"/>
    <sheet name="Public Expenditure" sheetId="33" r:id="rId3"/>
    <sheet name="PRIMICI" sheetId="29" state="hidden" r:id="rId4"/>
    <sheet name="DEFICIT Tabela" sheetId="30" state="hidden" r:id="rId5"/>
    <sheet name="MasterSheet" sheetId="13" state="hidden" r:id="rId6"/>
    <sheet name="Sheet1" sheetId="31" state="hidden" r:id="rId7"/>
    <sheet name="Sheet2" sheetId="36" state="hidden" r:id="rId8"/>
    <sheet name="Sheet3" sheetId="37" state="hidden" r:id="rId9"/>
  </sheets>
  <externalReferences>
    <externalReference r:id="rId10"/>
  </externalReferences>
  <definedNames>
    <definedName name="_Order1" hidden="1">0</definedName>
    <definedName name="_Order2" hidden="1">0</definedName>
    <definedName name="_Regression_Out" localSheetId="4" hidden="1">#REF!</definedName>
    <definedName name="_Regression_Out" localSheetId="1" hidden="1">#REF!</definedName>
    <definedName name="_Regression_Out" localSheetId="3" hidden="1">#REF!</definedName>
    <definedName name="_Regression_Out" localSheetId="2" hidden="1">#REF!</definedName>
    <definedName name="_Regression_Out" hidden="1">#REF!</definedName>
    <definedName name="_Regression_X" localSheetId="4" hidden="1">#REF!</definedName>
    <definedName name="_Regression_X" localSheetId="1" hidden="1">#REF!</definedName>
    <definedName name="_Regression_X" localSheetId="3" hidden="1">#REF!</definedName>
    <definedName name="_Regression_X" localSheetId="2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a" hidden="1">#REF!</definedName>
    <definedName name="Z_05AB59A7_9F04_4F70_A17E_8EF60EF35C7C_.wvu.PrintArea" localSheetId="0" hidden="1">'Cental Budget'!$B$13:$C$75</definedName>
    <definedName name="Z_05AB59A7_9F04_4F70_A17E_8EF60EF35C7C_.wvu.PrintArea" localSheetId="1" hidden="1">'Local Government'!$B$13:$M$59</definedName>
    <definedName name="Z_05AB59A7_9F04_4F70_A17E_8EF60EF35C7C_.wvu.PrintArea" localSheetId="2" hidden="1">'Public Expenditure'!$B$13:$M$75</definedName>
    <definedName name="Z_636A372C_EE02_4B23_8381_E3299ADF8816_.wvu.Cols" localSheetId="0" hidden="1">'Cental Budget'!#REF!</definedName>
    <definedName name="Z_636A372C_EE02_4B23_8381_E3299ADF8816_.wvu.Cols" localSheetId="1" hidden="1">'Local Government'!#REF!</definedName>
    <definedName name="Z_636A372C_EE02_4B23_8381_E3299ADF8816_.wvu.Cols" localSheetId="2" hidden="1">'Public Expenditure'!#REF!</definedName>
    <definedName name="Z_7AC1CC92_093E_4DA9_98F8_470D5521A68C_.wvu.Rows" localSheetId="0" hidden="1">'Cental Budget'!#REF!,'Cental Budget'!#REF!,'Cental Budget'!#REF!,'Cental Budget'!#REF!</definedName>
    <definedName name="Z_7AC1CC92_093E_4DA9_98F8_470D5521A68C_.wvu.Rows" localSheetId="1" hidden="1">'Local Government'!#REF!,'Local Government'!#REF!,'Local Government'!#REF!,'Local Government'!#REF!</definedName>
    <definedName name="Z_7AC1CC92_093E_4DA9_98F8_470D5521A68C_.wvu.Rows" localSheetId="2" hidden="1">'Public Expenditure'!#REF!,'Public Expenditure'!#REF!,'Public Expenditure'!#REF!,'Public Expenditure'!#REF!</definedName>
    <definedName name="Z_A32CDCC2_9D7B_41FA_91EC_562A88521235_.wvu.Cols" localSheetId="0" hidden="1">'Cental Budget'!#REF!,'Cental Budget'!#REF!</definedName>
    <definedName name="Z_A32CDCC2_9D7B_41FA_91EC_562A88521235_.wvu.Cols" localSheetId="1" hidden="1">'Local Government'!#REF!,'Local Government'!#REF!</definedName>
    <definedName name="Z_A32CDCC2_9D7B_41FA_91EC_562A88521235_.wvu.Cols" localSheetId="2" hidden="1">'Public Expenditure'!#REF!,'Public Expenditure'!#REF!</definedName>
    <definedName name="Z_F37FAB72_D883_4CEB_A5EC_0FA851AD2DC3_.wvu.Cols" localSheetId="0" hidden="1">'Cental Budget'!#REF!</definedName>
    <definedName name="Z_F37FAB72_D883_4CEB_A5EC_0FA851AD2DC3_.wvu.Cols" localSheetId="1" hidden="1">'Local Government'!#REF!</definedName>
    <definedName name="Z_F37FAB72_D883_4CEB_A5EC_0FA851AD2DC3_.wvu.Cols" localSheetId="2" hidden="1">'Public Expenditure'!#REF!</definedName>
  </definedNames>
  <calcPr calcId="125725"/>
  <customWorkbookViews>
    <customWorkbookView name="iva.vukovic - Personal View" guid="{E484E83A-8AE1-4ACE-A5D4-7D98A52A9B4B}" mergeInterval="0" personalView="1" maximized="1" windowWidth="1276" windowHeight="856" tabRatio="796" activeSheetId="3"/>
    <customWorkbookView name="pc - Personal View" guid="{5F444141-AB98-4370-9413-F1F0A45DC16B}" mergeInterval="0" personalView="1" maximized="1" windowWidth="1276" windowHeight="874" activeSheetId="5"/>
    <customWorkbookView name="RATKO - Personal View" guid="{A4D59F75-8091-4878-A19C-E6F7EFCC98D0}" mergeInterval="0" personalView="1" maximized="1" windowWidth="1276" windowHeight="850" activeSheetId="5"/>
  </customWorkbookViews>
  <fileRecoveryPr autoRecover="0"/>
</workbook>
</file>

<file path=xl/calcChain.xml><?xml version="1.0" encoding="utf-8"?>
<calcChain xmlns="http://schemas.openxmlformats.org/spreadsheetml/2006/main">
  <c r="F60" i="33"/>
  <c r="F67"/>
  <c r="J67"/>
  <c r="D67"/>
  <c r="I67" s="1"/>
  <c r="D49" i="32"/>
  <c r="J49"/>
  <c r="M67" i="33" l="1"/>
  <c r="L67"/>
  <c r="H67"/>
  <c r="F28" i="32" l="1"/>
  <c r="F38"/>
  <c r="F26" l="1"/>
  <c r="F27" s="1"/>
  <c r="J55" i="33" l="1"/>
  <c r="F55"/>
  <c r="D55"/>
  <c r="F41"/>
  <c r="F49" i="32"/>
  <c r="H49" s="1"/>
  <c r="M52"/>
  <c r="L52"/>
  <c r="I52"/>
  <c r="H52"/>
  <c r="F17"/>
  <c r="F16" s="1"/>
  <c r="J18" i="33"/>
  <c r="J19"/>
  <c r="J20"/>
  <c r="J21"/>
  <c r="J22"/>
  <c r="J23"/>
  <c r="J24"/>
  <c r="J25"/>
  <c r="J27"/>
  <c r="J28"/>
  <c r="J29"/>
  <c r="J30"/>
  <c r="J31"/>
  <c r="J32"/>
  <c r="J33"/>
  <c r="J34"/>
  <c r="J35"/>
  <c r="J39"/>
  <c r="J40"/>
  <c r="J41"/>
  <c r="J42"/>
  <c r="J43"/>
  <c r="J44"/>
  <c r="J45"/>
  <c r="J46"/>
  <c r="J47"/>
  <c r="J48"/>
  <c r="J49"/>
  <c r="J56"/>
  <c r="J57"/>
  <c r="J58"/>
  <c r="J59"/>
  <c r="J61"/>
  <c r="J60"/>
  <c r="J65"/>
  <c r="J66"/>
  <c r="J68"/>
  <c r="F18"/>
  <c r="F19"/>
  <c r="F20"/>
  <c r="F21"/>
  <c r="F22"/>
  <c r="F23"/>
  <c r="F24"/>
  <c r="F25"/>
  <c r="F27"/>
  <c r="F28"/>
  <c r="F29"/>
  <c r="F30"/>
  <c r="F31"/>
  <c r="F32"/>
  <c r="F33"/>
  <c r="F34"/>
  <c r="F35"/>
  <c r="F39"/>
  <c r="F40"/>
  <c r="F42"/>
  <c r="F43"/>
  <c r="F44"/>
  <c r="F45"/>
  <c r="F46"/>
  <c r="F47"/>
  <c r="F48"/>
  <c r="F49"/>
  <c r="F56"/>
  <c r="F57"/>
  <c r="F58"/>
  <c r="F59"/>
  <c r="F61"/>
  <c r="F65"/>
  <c r="F66"/>
  <c r="F68"/>
  <c r="D33"/>
  <c r="D31"/>
  <c r="D32"/>
  <c r="D18"/>
  <c r="D19"/>
  <c r="D20"/>
  <c r="D21"/>
  <c r="D22"/>
  <c r="D23"/>
  <c r="D24"/>
  <c r="D25"/>
  <c r="D26"/>
  <c r="D34"/>
  <c r="D35"/>
  <c r="D39"/>
  <c r="D40"/>
  <c r="D41"/>
  <c r="D42"/>
  <c r="D43"/>
  <c r="D44"/>
  <c r="D45"/>
  <c r="D46"/>
  <c r="D47"/>
  <c r="D48"/>
  <c r="D38" i="32"/>
  <c r="D49" i="33" s="1"/>
  <c r="D56"/>
  <c r="D57"/>
  <c r="D58"/>
  <c r="D59"/>
  <c r="D60"/>
  <c r="D61"/>
  <c r="D65"/>
  <c r="D66"/>
  <c r="D68"/>
  <c r="I46" i="32"/>
  <c r="M46"/>
  <c r="M45"/>
  <c r="L45"/>
  <c r="J11"/>
  <c r="K45" s="1"/>
  <c r="D11"/>
  <c r="G52" s="1"/>
  <c r="I45"/>
  <c r="H45"/>
  <c r="J17"/>
  <c r="J16" s="1"/>
  <c r="K16" s="1"/>
  <c r="J28"/>
  <c r="K28" s="1"/>
  <c r="J38"/>
  <c r="D17"/>
  <c r="D16" s="1"/>
  <c r="D28"/>
  <c r="D26" s="1"/>
  <c r="M75" i="10"/>
  <c r="M74"/>
  <c r="M73"/>
  <c r="M72"/>
  <c r="M71"/>
  <c r="M70"/>
  <c r="M69"/>
  <c r="M68"/>
  <c r="M67"/>
  <c r="M66"/>
  <c r="M65"/>
  <c r="M64"/>
  <c r="J70"/>
  <c r="F70"/>
  <c r="D70"/>
  <c r="H69"/>
  <c r="L69"/>
  <c r="K69"/>
  <c r="I69"/>
  <c r="G69"/>
  <c r="E69"/>
  <c r="D17"/>
  <c r="D25"/>
  <c r="D16"/>
  <c r="D37"/>
  <c r="D48"/>
  <c r="D54"/>
  <c r="D35"/>
  <c r="D63"/>
  <c r="D65"/>
  <c r="F17"/>
  <c r="F25"/>
  <c r="F16"/>
  <c r="F37"/>
  <c r="F48"/>
  <c r="F54"/>
  <c r="F35"/>
  <c r="F63"/>
  <c r="F65"/>
  <c r="H70"/>
  <c r="J17"/>
  <c r="J25"/>
  <c r="J16"/>
  <c r="J37"/>
  <c r="J48"/>
  <c r="J54"/>
  <c r="J35"/>
  <c r="J63"/>
  <c r="L63"/>
  <c r="M63"/>
  <c r="M62"/>
  <c r="M61"/>
  <c r="E18"/>
  <c r="E19"/>
  <c r="E20"/>
  <c r="E21"/>
  <c r="E22"/>
  <c r="E23"/>
  <c r="E24"/>
  <c r="F74" i="33"/>
  <c r="D74"/>
  <c r="J74"/>
  <c r="M55" i="10"/>
  <c r="M56"/>
  <c r="L55"/>
  <c r="L56"/>
  <c r="I55"/>
  <c r="I56"/>
  <c r="H55"/>
  <c r="H56"/>
  <c r="G56"/>
  <c r="G55"/>
  <c r="K56"/>
  <c r="K55"/>
  <c r="D54" i="33"/>
  <c r="D53"/>
  <c r="D52"/>
  <c r="D51"/>
  <c r="D50"/>
  <c r="L68" i="10"/>
  <c r="K68"/>
  <c r="I68"/>
  <c r="H68"/>
  <c r="C33"/>
  <c r="I32" i="32"/>
  <c r="I24"/>
  <c r="H14"/>
  <c r="L14" s="1"/>
  <c r="D15"/>
  <c r="E15"/>
  <c r="F15"/>
  <c r="G15"/>
  <c r="H15"/>
  <c r="J15"/>
  <c r="K15"/>
  <c r="L15"/>
  <c r="C16"/>
  <c r="C17"/>
  <c r="C18"/>
  <c r="H18"/>
  <c r="I18"/>
  <c r="L18"/>
  <c r="M18"/>
  <c r="C19"/>
  <c r="H19"/>
  <c r="I19"/>
  <c r="L19"/>
  <c r="M19"/>
  <c r="H20"/>
  <c r="I20"/>
  <c r="L20"/>
  <c r="M20"/>
  <c r="C21"/>
  <c r="C22"/>
  <c r="C23"/>
  <c r="C24"/>
  <c r="H24"/>
  <c r="L24"/>
  <c r="M24"/>
  <c r="H25"/>
  <c r="I25"/>
  <c r="L25"/>
  <c r="M25"/>
  <c r="C26"/>
  <c r="C27"/>
  <c r="C28"/>
  <c r="C29"/>
  <c r="H29"/>
  <c r="I29"/>
  <c r="L29"/>
  <c r="M29"/>
  <c r="C30"/>
  <c r="H30"/>
  <c r="I30"/>
  <c r="L30"/>
  <c r="M30"/>
  <c r="C31"/>
  <c r="H31"/>
  <c r="I31"/>
  <c r="L31"/>
  <c r="M31"/>
  <c r="C32"/>
  <c r="H32"/>
  <c r="L32"/>
  <c r="M32"/>
  <c r="C33"/>
  <c r="H33"/>
  <c r="I33"/>
  <c r="L33"/>
  <c r="M33"/>
  <c r="C34"/>
  <c r="H34"/>
  <c r="I34"/>
  <c r="L34"/>
  <c r="M34"/>
  <c r="C35"/>
  <c r="H35"/>
  <c r="I35"/>
  <c r="L35"/>
  <c r="M35"/>
  <c r="C36"/>
  <c r="H36"/>
  <c r="I36"/>
  <c r="L36"/>
  <c r="M36"/>
  <c r="C37"/>
  <c r="H37"/>
  <c r="I37"/>
  <c r="L37"/>
  <c r="M37"/>
  <c r="C38"/>
  <c r="H39"/>
  <c r="I39"/>
  <c r="L39"/>
  <c r="M39"/>
  <c r="C40"/>
  <c r="C41"/>
  <c r="H41"/>
  <c r="I41"/>
  <c r="L41"/>
  <c r="M41"/>
  <c r="C42"/>
  <c r="H42"/>
  <c r="I42"/>
  <c r="L42"/>
  <c r="M42"/>
  <c r="C43"/>
  <c r="H43"/>
  <c r="I43"/>
  <c r="L43"/>
  <c r="M43"/>
  <c r="H44"/>
  <c r="I44"/>
  <c r="L44"/>
  <c r="M44"/>
  <c r="H46"/>
  <c r="L46"/>
  <c r="C47"/>
  <c r="C48"/>
  <c r="C49"/>
  <c r="C50"/>
  <c r="H50"/>
  <c r="I50"/>
  <c r="L50"/>
  <c r="M50"/>
  <c r="C51"/>
  <c r="H51"/>
  <c r="I51"/>
  <c r="L51"/>
  <c r="M51"/>
  <c r="H53"/>
  <c r="I53"/>
  <c r="L53"/>
  <c r="M53"/>
  <c r="C54"/>
  <c r="C55"/>
  <c r="C56"/>
  <c r="H56"/>
  <c r="I56"/>
  <c r="L56"/>
  <c r="M56"/>
  <c r="C57"/>
  <c r="H57"/>
  <c r="I57"/>
  <c r="L57"/>
  <c r="M57"/>
  <c r="C58"/>
  <c r="H58"/>
  <c r="I58"/>
  <c r="L58"/>
  <c r="M58"/>
  <c r="C59"/>
  <c r="H60"/>
  <c r="I60"/>
  <c r="L60"/>
  <c r="M60"/>
  <c r="H40"/>
  <c r="I23"/>
  <c r="M23"/>
  <c r="L40"/>
  <c r="L23"/>
  <c r="H23"/>
  <c r="M22"/>
  <c r="I22"/>
  <c r="M21"/>
  <c r="I21"/>
  <c r="M40"/>
  <c r="I40"/>
  <c r="L22"/>
  <c r="H22"/>
  <c r="L21"/>
  <c r="H21"/>
  <c r="E56" i="10"/>
  <c r="E55"/>
  <c r="D73" i="33"/>
  <c r="D72"/>
  <c r="D71"/>
  <c r="L74" i="10"/>
  <c r="E48"/>
  <c r="E17"/>
  <c r="J65"/>
  <c r="G65"/>
  <c r="H74"/>
  <c r="H73"/>
  <c r="H72"/>
  <c r="M59"/>
  <c r="M58"/>
  <c r="M57"/>
  <c r="M54"/>
  <c r="M53"/>
  <c r="M52"/>
  <c r="M51"/>
  <c r="M50"/>
  <c r="M49"/>
  <c r="M47"/>
  <c r="M46"/>
  <c r="M45"/>
  <c r="M44"/>
  <c r="M43"/>
  <c r="M42"/>
  <c r="M41"/>
  <c r="M40"/>
  <c r="M39"/>
  <c r="M38"/>
  <c r="M34"/>
  <c r="M33"/>
  <c r="M32"/>
  <c r="M31"/>
  <c r="M30"/>
  <c r="M29"/>
  <c r="M28"/>
  <c r="M27"/>
  <c r="M26"/>
  <c r="M24"/>
  <c r="M23"/>
  <c r="M22"/>
  <c r="M21"/>
  <c r="M20"/>
  <c r="M19"/>
  <c r="M18"/>
  <c r="L57"/>
  <c r="M60"/>
  <c r="G79" i="36"/>
  <c r="J78"/>
  <c r="I78"/>
  <c r="H78"/>
  <c r="F78"/>
  <c r="D78"/>
  <c r="J77"/>
  <c r="I77"/>
  <c r="H77"/>
  <c r="F77"/>
  <c r="D77"/>
  <c r="J76"/>
  <c r="I76"/>
  <c r="H76"/>
  <c r="F76"/>
  <c r="D76"/>
  <c r="H74"/>
  <c r="J73"/>
  <c r="I73"/>
  <c r="H73"/>
  <c r="F73"/>
  <c r="D73"/>
  <c r="J72"/>
  <c r="I72"/>
  <c r="H72"/>
  <c r="F72"/>
  <c r="D72"/>
  <c r="J71"/>
  <c r="I71"/>
  <c r="H71"/>
  <c r="F71"/>
  <c r="D71"/>
  <c r="H70"/>
  <c r="G70"/>
  <c r="E70"/>
  <c r="J70"/>
  <c r="D70"/>
  <c r="C70"/>
  <c r="J67"/>
  <c r="I67"/>
  <c r="H67"/>
  <c r="F67"/>
  <c r="D67"/>
  <c r="J66"/>
  <c r="I66"/>
  <c r="H66"/>
  <c r="F66"/>
  <c r="D66"/>
  <c r="J65"/>
  <c r="I65"/>
  <c r="H65"/>
  <c r="F65"/>
  <c r="D65"/>
  <c r="J64"/>
  <c r="I64"/>
  <c r="H64"/>
  <c r="F64"/>
  <c r="D64"/>
  <c r="J63"/>
  <c r="I63"/>
  <c r="H63"/>
  <c r="F63"/>
  <c r="D63"/>
  <c r="J62"/>
  <c r="I62"/>
  <c r="H62"/>
  <c r="F62"/>
  <c r="D62"/>
  <c r="J61"/>
  <c r="I61"/>
  <c r="H61"/>
  <c r="F61"/>
  <c r="D61"/>
  <c r="G60"/>
  <c r="E60"/>
  <c r="C60"/>
  <c r="D60"/>
  <c r="J59"/>
  <c r="I59"/>
  <c r="H59"/>
  <c r="F59"/>
  <c r="D59"/>
  <c r="J58"/>
  <c r="I58"/>
  <c r="H58"/>
  <c r="F58"/>
  <c r="D58"/>
  <c r="J57"/>
  <c r="I57"/>
  <c r="H57"/>
  <c r="F57"/>
  <c r="D57"/>
  <c r="J56"/>
  <c r="I56"/>
  <c r="H56"/>
  <c r="F56"/>
  <c r="D56"/>
  <c r="J55"/>
  <c r="I55"/>
  <c r="H55"/>
  <c r="F55"/>
  <c r="D55"/>
  <c r="G54"/>
  <c r="H54"/>
  <c r="E54"/>
  <c r="F54"/>
  <c r="C54"/>
  <c r="D54"/>
  <c r="J53"/>
  <c r="I53"/>
  <c r="H53"/>
  <c r="F53"/>
  <c r="D53"/>
  <c r="J52"/>
  <c r="I52"/>
  <c r="H52"/>
  <c r="F52"/>
  <c r="D52"/>
  <c r="J51"/>
  <c r="I51"/>
  <c r="H51"/>
  <c r="F51"/>
  <c r="D51"/>
  <c r="J50"/>
  <c r="I50"/>
  <c r="H50"/>
  <c r="F50"/>
  <c r="D50"/>
  <c r="J49"/>
  <c r="I49"/>
  <c r="H49"/>
  <c r="F49"/>
  <c r="D49"/>
  <c r="J48"/>
  <c r="I48"/>
  <c r="H48"/>
  <c r="F48"/>
  <c r="D48"/>
  <c r="J47"/>
  <c r="I47"/>
  <c r="H47"/>
  <c r="F47"/>
  <c r="D47"/>
  <c r="J46"/>
  <c r="I46"/>
  <c r="H46"/>
  <c r="F46"/>
  <c r="D46"/>
  <c r="J45"/>
  <c r="I45"/>
  <c r="H45"/>
  <c r="F45"/>
  <c r="D45"/>
  <c r="J44"/>
  <c r="I44"/>
  <c r="H44"/>
  <c r="F44"/>
  <c r="D44"/>
  <c r="G43"/>
  <c r="E43"/>
  <c r="F43"/>
  <c r="C43"/>
  <c r="D43"/>
  <c r="J40"/>
  <c r="I40"/>
  <c r="H40"/>
  <c r="F40"/>
  <c r="D40"/>
  <c r="J39"/>
  <c r="I39"/>
  <c r="H39"/>
  <c r="F39"/>
  <c r="D39"/>
  <c r="J38"/>
  <c r="I38"/>
  <c r="H38"/>
  <c r="F38"/>
  <c r="D38"/>
  <c r="J37"/>
  <c r="I37"/>
  <c r="H37"/>
  <c r="F37"/>
  <c r="D37"/>
  <c r="J36"/>
  <c r="I36"/>
  <c r="H36"/>
  <c r="F36"/>
  <c r="D36"/>
  <c r="J35"/>
  <c r="I35"/>
  <c r="H35"/>
  <c r="F35"/>
  <c r="D35"/>
  <c r="G34"/>
  <c r="H34"/>
  <c r="E34"/>
  <c r="F34"/>
  <c r="D34"/>
  <c r="C34"/>
  <c r="J33"/>
  <c r="I33"/>
  <c r="H33"/>
  <c r="F33"/>
  <c r="D33"/>
  <c r="J32"/>
  <c r="I32"/>
  <c r="H32"/>
  <c r="F32"/>
  <c r="D32"/>
  <c r="J31"/>
  <c r="I31"/>
  <c r="H31"/>
  <c r="F31"/>
  <c r="D31"/>
  <c r="J30"/>
  <c r="I30"/>
  <c r="H30"/>
  <c r="F30"/>
  <c r="D30"/>
  <c r="J29"/>
  <c r="I29"/>
  <c r="H29"/>
  <c r="F29"/>
  <c r="D29"/>
  <c r="J28"/>
  <c r="I28"/>
  <c r="H28"/>
  <c r="F28"/>
  <c r="D28"/>
  <c r="G27"/>
  <c r="H27"/>
  <c r="E27"/>
  <c r="F27"/>
  <c r="C27"/>
  <c r="D27"/>
  <c r="J26"/>
  <c r="I26"/>
  <c r="H26"/>
  <c r="F26"/>
  <c r="D26"/>
  <c r="J25"/>
  <c r="I25"/>
  <c r="H25"/>
  <c r="F25"/>
  <c r="D25"/>
  <c r="J24"/>
  <c r="I24"/>
  <c r="H24"/>
  <c r="F24"/>
  <c r="D24"/>
  <c r="J23"/>
  <c r="I23"/>
  <c r="H23"/>
  <c r="F23"/>
  <c r="D23"/>
  <c r="G22"/>
  <c r="H22"/>
  <c r="F22"/>
  <c r="E22"/>
  <c r="C22"/>
  <c r="D22"/>
  <c r="J21"/>
  <c r="I21"/>
  <c r="H21"/>
  <c r="F21"/>
  <c r="D21"/>
  <c r="J20"/>
  <c r="I20"/>
  <c r="H20"/>
  <c r="F20"/>
  <c r="D20"/>
  <c r="J19"/>
  <c r="I19"/>
  <c r="H19"/>
  <c r="F19"/>
  <c r="D19"/>
  <c r="L18"/>
  <c r="J18"/>
  <c r="I18"/>
  <c r="H18"/>
  <c r="F18"/>
  <c r="D18"/>
  <c r="G17"/>
  <c r="H17"/>
  <c r="E17"/>
  <c r="F17"/>
  <c r="C17"/>
  <c r="D17"/>
  <c r="J16"/>
  <c r="I16"/>
  <c r="H16"/>
  <c r="F16"/>
  <c r="D16"/>
  <c r="J15"/>
  <c r="I15"/>
  <c r="H15"/>
  <c r="F15"/>
  <c r="D15"/>
  <c r="J14"/>
  <c r="I14"/>
  <c r="H14"/>
  <c r="F14"/>
  <c r="D14"/>
  <c r="M13"/>
  <c r="L13"/>
  <c r="J13"/>
  <c r="I13"/>
  <c r="H13"/>
  <c r="F13"/>
  <c r="D13"/>
  <c r="J12"/>
  <c r="I12"/>
  <c r="H12"/>
  <c r="F12"/>
  <c r="D12"/>
  <c r="J11"/>
  <c r="I11"/>
  <c r="H11"/>
  <c r="F11"/>
  <c r="D11"/>
  <c r="J10"/>
  <c r="I10"/>
  <c r="H10"/>
  <c r="F10"/>
  <c r="D10"/>
  <c r="G9"/>
  <c r="G8"/>
  <c r="L16"/>
  <c r="E9"/>
  <c r="F9"/>
  <c r="C9"/>
  <c r="C8"/>
  <c r="D7"/>
  <c r="C7"/>
  <c r="P7" i="31"/>
  <c r="P6"/>
  <c r="P5"/>
  <c r="E22" i="30"/>
  <c r="E21"/>
  <c r="E20"/>
  <c r="E19"/>
  <c r="E18"/>
  <c r="G18"/>
  <c r="E15"/>
  <c r="E14"/>
  <c r="E13"/>
  <c r="E12"/>
  <c r="G12"/>
  <c r="E11"/>
  <c r="E9"/>
  <c r="E7"/>
  <c r="G7"/>
  <c r="E8"/>
  <c r="D58" i="29"/>
  <c r="D57"/>
  <c r="D56"/>
  <c r="D55"/>
  <c r="D53"/>
  <c r="D52"/>
  <c r="D45"/>
  <c r="D44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F4"/>
  <c r="C76" i="33"/>
  <c r="J73"/>
  <c r="F73"/>
  <c r="H73" s="1"/>
  <c r="J72"/>
  <c r="L72" s="1"/>
  <c r="F72"/>
  <c r="J71"/>
  <c r="F71"/>
  <c r="J54"/>
  <c r="F54"/>
  <c r="J53"/>
  <c r="F53"/>
  <c r="J52"/>
  <c r="F52"/>
  <c r="J51"/>
  <c r="F51"/>
  <c r="J50"/>
  <c r="F50"/>
  <c r="C34"/>
  <c r="C33"/>
  <c r="C32"/>
  <c r="C31"/>
  <c r="D30"/>
  <c r="C30"/>
  <c r="D29"/>
  <c r="C29"/>
  <c r="D28"/>
  <c r="C28"/>
  <c r="D27"/>
  <c r="C27"/>
  <c r="C26"/>
  <c r="C23"/>
  <c r="C22"/>
  <c r="C21"/>
  <c r="C20"/>
  <c r="C19"/>
  <c r="C18"/>
  <c r="C17"/>
  <c r="C16"/>
  <c r="L15"/>
  <c r="K15"/>
  <c r="J15"/>
  <c r="H15"/>
  <c r="G15"/>
  <c r="F15"/>
  <c r="E15"/>
  <c r="D15"/>
  <c r="C15"/>
  <c r="H14"/>
  <c r="L14" s="1"/>
  <c r="J11"/>
  <c r="K67" s="1"/>
  <c r="D11"/>
  <c r="C11"/>
  <c r="C61" i="32"/>
  <c r="K11"/>
  <c r="C76" i="10"/>
  <c r="K17"/>
  <c r="K25"/>
  <c r="K74"/>
  <c r="I74"/>
  <c r="G74"/>
  <c r="E74"/>
  <c r="L73"/>
  <c r="K73"/>
  <c r="I73"/>
  <c r="G73"/>
  <c r="E73"/>
  <c r="L72"/>
  <c r="K72"/>
  <c r="I72"/>
  <c r="G72"/>
  <c r="E72"/>
  <c r="G68"/>
  <c r="E68"/>
  <c r="L67"/>
  <c r="K67"/>
  <c r="I67"/>
  <c r="H67"/>
  <c r="G67"/>
  <c r="E67"/>
  <c r="L66"/>
  <c r="K66"/>
  <c r="I66"/>
  <c r="H66"/>
  <c r="G66"/>
  <c r="E66"/>
  <c r="K65"/>
  <c r="L62"/>
  <c r="K62"/>
  <c r="I62"/>
  <c r="H62"/>
  <c r="G62"/>
  <c r="E62"/>
  <c r="L61"/>
  <c r="K61"/>
  <c r="I61"/>
  <c r="H61"/>
  <c r="G61"/>
  <c r="E61"/>
  <c r="L60"/>
  <c r="K60"/>
  <c r="I60"/>
  <c r="H60"/>
  <c r="G60"/>
  <c r="E60"/>
  <c r="L59"/>
  <c r="K59"/>
  <c r="I59"/>
  <c r="H59"/>
  <c r="G59"/>
  <c r="E59"/>
  <c r="L58"/>
  <c r="K58"/>
  <c r="I58"/>
  <c r="H58"/>
  <c r="G58"/>
  <c r="E58"/>
  <c r="K57"/>
  <c r="I57"/>
  <c r="H57"/>
  <c r="G57"/>
  <c r="E57"/>
  <c r="L54"/>
  <c r="K54"/>
  <c r="I54"/>
  <c r="H54"/>
  <c r="G54"/>
  <c r="E54"/>
  <c r="L53"/>
  <c r="K53"/>
  <c r="I53"/>
  <c r="H53"/>
  <c r="G53"/>
  <c r="E53"/>
  <c r="L52"/>
  <c r="K52"/>
  <c r="I52"/>
  <c r="H52"/>
  <c r="G52"/>
  <c r="E52"/>
  <c r="L51"/>
  <c r="K51"/>
  <c r="I51"/>
  <c r="H51"/>
  <c r="G51"/>
  <c r="E51"/>
  <c r="L50"/>
  <c r="K50"/>
  <c r="I50"/>
  <c r="H50"/>
  <c r="G50"/>
  <c r="E50"/>
  <c r="L49"/>
  <c r="K49"/>
  <c r="I49"/>
  <c r="H49"/>
  <c r="G49"/>
  <c r="E49"/>
  <c r="L47"/>
  <c r="K47"/>
  <c r="I47"/>
  <c r="H47"/>
  <c r="G47"/>
  <c r="E47"/>
  <c r="L46"/>
  <c r="K46"/>
  <c r="I46"/>
  <c r="H46"/>
  <c r="G46"/>
  <c r="E46"/>
  <c r="L45"/>
  <c r="K45"/>
  <c r="I45"/>
  <c r="H45"/>
  <c r="G45"/>
  <c r="E45"/>
  <c r="L44"/>
  <c r="K44"/>
  <c r="I44"/>
  <c r="H44"/>
  <c r="G44"/>
  <c r="E44"/>
  <c r="L43"/>
  <c r="K43"/>
  <c r="I43"/>
  <c r="H43"/>
  <c r="G43"/>
  <c r="E43"/>
  <c r="L42"/>
  <c r="K42"/>
  <c r="I42"/>
  <c r="H42"/>
  <c r="G42"/>
  <c r="E42"/>
  <c r="L41"/>
  <c r="K41"/>
  <c r="I41"/>
  <c r="H41"/>
  <c r="G41"/>
  <c r="E41"/>
  <c r="L40"/>
  <c r="K40"/>
  <c r="I40"/>
  <c r="H40"/>
  <c r="G40"/>
  <c r="E40"/>
  <c r="L39"/>
  <c r="K39"/>
  <c r="I39"/>
  <c r="H39"/>
  <c r="G39"/>
  <c r="E39"/>
  <c r="L38"/>
  <c r="K38"/>
  <c r="I38"/>
  <c r="H38"/>
  <c r="G38"/>
  <c r="E38"/>
  <c r="L34"/>
  <c r="K34"/>
  <c r="I34"/>
  <c r="H34"/>
  <c r="G34"/>
  <c r="E34"/>
  <c r="L33"/>
  <c r="K33"/>
  <c r="I33"/>
  <c r="H33"/>
  <c r="G33"/>
  <c r="E33"/>
  <c r="L32"/>
  <c r="K32"/>
  <c r="I32"/>
  <c r="H32"/>
  <c r="G32"/>
  <c r="E32"/>
  <c r="C32"/>
  <c r="L31"/>
  <c r="K31"/>
  <c r="I31"/>
  <c r="H31"/>
  <c r="G31"/>
  <c r="E31"/>
  <c r="C31"/>
  <c r="L30"/>
  <c r="K30"/>
  <c r="I30"/>
  <c r="H30"/>
  <c r="G30"/>
  <c r="E30"/>
  <c r="C30"/>
  <c r="L29"/>
  <c r="K29"/>
  <c r="I29"/>
  <c r="H29"/>
  <c r="G29"/>
  <c r="E29"/>
  <c r="C29"/>
  <c r="L28"/>
  <c r="K28"/>
  <c r="I28"/>
  <c r="H28"/>
  <c r="G28"/>
  <c r="E28"/>
  <c r="C28"/>
  <c r="L27"/>
  <c r="K27"/>
  <c r="I27"/>
  <c r="H27"/>
  <c r="G27"/>
  <c r="E27"/>
  <c r="C27"/>
  <c r="L26"/>
  <c r="K26"/>
  <c r="I26"/>
  <c r="H26"/>
  <c r="G26"/>
  <c r="E26"/>
  <c r="C26"/>
  <c r="I25"/>
  <c r="G25"/>
  <c r="C25"/>
  <c r="L24"/>
  <c r="K24"/>
  <c r="I24"/>
  <c r="H24"/>
  <c r="G24"/>
  <c r="L23"/>
  <c r="K23"/>
  <c r="I23"/>
  <c r="H23"/>
  <c r="G23"/>
  <c r="C23"/>
  <c r="L22"/>
  <c r="K22"/>
  <c r="I22"/>
  <c r="H22"/>
  <c r="G22"/>
  <c r="C22"/>
  <c r="L21"/>
  <c r="K21"/>
  <c r="I21"/>
  <c r="H21"/>
  <c r="G21"/>
  <c r="C21"/>
  <c r="L20"/>
  <c r="K20"/>
  <c r="I20"/>
  <c r="H20"/>
  <c r="G20"/>
  <c r="C20"/>
  <c r="L19"/>
  <c r="K19"/>
  <c r="I19"/>
  <c r="H19"/>
  <c r="G19"/>
  <c r="C19"/>
  <c r="L18"/>
  <c r="K18"/>
  <c r="I18"/>
  <c r="H18"/>
  <c r="G18"/>
  <c r="C18"/>
  <c r="C17"/>
  <c r="C16"/>
  <c r="E15"/>
  <c r="D15"/>
  <c r="C15"/>
  <c r="L14"/>
  <c r="C14"/>
  <c r="C11"/>
  <c r="C11" i="32" s="1"/>
  <c r="J9" i="10"/>
  <c r="J8"/>
  <c r="E25"/>
  <c r="H25"/>
  <c r="J27" i="36"/>
  <c r="I22"/>
  <c r="J22"/>
  <c r="J34"/>
  <c r="H43"/>
  <c r="I54"/>
  <c r="J54"/>
  <c r="I70"/>
  <c r="L25" i="10"/>
  <c r="I17" i="36"/>
  <c r="J60"/>
  <c r="H60"/>
  <c r="G41"/>
  <c r="H79"/>
  <c r="G75"/>
  <c r="M25" i="10"/>
  <c r="J17" i="36"/>
  <c r="F60"/>
  <c r="I60"/>
  <c r="G42"/>
  <c r="H41"/>
  <c r="H75"/>
  <c r="K48" i="10"/>
  <c r="E25" i="33"/>
  <c r="K37" i="10"/>
  <c r="G48"/>
  <c r="G37"/>
  <c r="H48"/>
  <c r="L48"/>
  <c r="M48"/>
  <c r="I48"/>
  <c r="I17"/>
  <c r="E41" i="36"/>
  <c r="F41"/>
  <c r="I9"/>
  <c r="H9"/>
  <c r="M17" i="10"/>
  <c r="I27" i="36"/>
  <c r="E6" i="30"/>
  <c r="J43" i="36"/>
  <c r="L65" i="10"/>
  <c r="I43" i="36"/>
  <c r="E5" i="30"/>
  <c r="E4" s="1"/>
  <c r="D5" i="29"/>
  <c r="D4"/>
  <c r="G4"/>
  <c r="D8" i="36"/>
  <c r="H42"/>
  <c r="J41"/>
  <c r="E42"/>
  <c r="E8"/>
  <c r="I8"/>
  <c r="C41"/>
  <c r="C68"/>
  <c r="J9"/>
  <c r="H65" i="10"/>
  <c r="I34" i="36"/>
  <c r="G17" i="10"/>
  <c r="D9" i="36"/>
  <c r="F70"/>
  <c r="H8"/>
  <c r="I65" i="10"/>
  <c r="G68" i="36"/>
  <c r="E65" i="10"/>
  <c r="H17"/>
  <c r="L17"/>
  <c r="E58" i="32"/>
  <c r="K29"/>
  <c r="K30"/>
  <c r="K32"/>
  <c r="K35"/>
  <c r="K41"/>
  <c r="K42"/>
  <c r="K57"/>
  <c r="K58"/>
  <c r="K19"/>
  <c r="K38"/>
  <c r="K37"/>
  <c r="K46"/>
  <c r="K60"/>
  <c r="K36"/>
  <c r="K49"/>
  <c r="K21"/>
  <c r="K23"/>
  <c r="H37" i="10"/>
  <c r="L37"/>
  <c r="M37"/>
  <c r="I37"/>
  <c r="E37"/>
  <c r="F36"/>
  <c r="G35"/>
  <c r="E61" i="33"/>
  <c r="E32"/>
  <c r="M35" i="10"/>
  <c r="E35"/>
  <c r="K16"/>
  <c r="G9"/>
  <c r="M16"/>
  <c r="I35"/>
  <c r="D36"/>
  <c r="E36"/>
  <c r="H35"/>
  <c r="L16"/>
  <c r="J36"/>
  <c r="K36"/>
  <c r="K63"/>
  <c r="L35"/>
  <c r="K35"/>
  <c r="H16"/>
  <c r="I16"/>
  <c r="G8"/>
  <c r="I41" i="36"/>
  <c r="E16" i="10"/>
  <c r="C69" i="36"/>
  <c r="D69"/>
  <c r="C74"/>
  <c r="D68"/>
  <c r="J42"/>
  <c r="F42"/>
  <c r="G69"/>
  <c r="H68"/>
  <c r="G16" i="10"/>
  <c r="C42" i="36"/>
  <c r="D42"/>
  <c r="D41"/>
  <c r="E68"/>
  <c r="J68"/>
  <c r="F8"/>
  <c r="J8"/>
  <c r="I42"/>
  <c r="F64" i="10"/>
  <c r="G64"/>
  <c r="G63"/>
  <c r="G36"/>
  <c r="H36"/>
  <c r="I36"/>
  <c r="J64"/>
  <c r="K64"/>
  <c r="G70"/>
  <c r="F75"/>
  <c r="I63"/>
  <c r="D75"/>
  <c r="D64"/>
  <c r="L36"/>
  <c r="E63"/>
  <c r="H63"/>
  <c r="L70"/>
  <c r="M36"/>
  <c r="E69" i="36"/>
  <c r="F69"/>
  <c r="F68"/>
  <c r="E74"/>
  <c r="D74"/>
  <c r="C79"/>
  <c r="H69"/>
  <c r="I68"/>
  <c r="I70" i="10"/>
  <c r="E70"/>
  <c r="I64"/>
  <c r="K70"/>
  <c r="J75"/>
  <c r="F71"/>
  <c r="G71"/>
  <c r="G75"/>
  <c r="L64"/>
  <c r="H64"/>
  <c r="I75"/>
  <c r="D71"/>
  <c r="H75"/>
  <c r="E75"/>
  <c r="E64"/>
  <c r="I69" i="36"/>
  <c r="J69"/>
  <c r="C75"/>
  <c r="D75"/>
  <c r="D79"/>
  <c r="I74"/>
  <c r="F74"/>
  <c r="J74"/>
  <c r="E79"/>
  <c r="K75" i="10"/>
  <c r="J71"/>
  <c r="K71"/>
  <c r="L75"/>
  <c r="L71"/>
  <c r="H71"/>
  <c r="E71"/>
  <c r="I71"/>
  <c r="I79" i="36"/>
  <c r="F79"/>
  <c r="J79"/>
  <c r="E75"/>
  <c r="F75"/>
  <c r="J75"/>
  <c r="I75"/>
  <c r="E10" i="30" l="1"/>
  <c r="G4"/>
  <c r="H68" i="33"/>
  <c r="E29" i="32"/>
  <c r="M17"/>
  <c r="E51" i="33"/>
  <c r="E67"/>
  <c r="G67"/>
  <c r="G17" i="32"/>
  <c r="F64" i="33"/>
  <c r="L20"/>
  <c r="E57"/>
  <c r="E27"/>
  <c r="E28"/>
  <c r="K52"/>
  <c r="E72"/>
  <c r="E53"/>
  <c r="G74"/>
  <c r="E66"/>
  <c r="E59"/>
  <c r="E49"/>
  <c r="E41"/>
  <c r="E23"/>
  <c r="E19"/>
  <c r="E33"/>
  <c r="G60"/>
  <c r="G57"/>
  <c r="G35"/>
  <c r="G27"/>
  <c r="G22"/>
  <c r="G18"/>
  <c r="K60"/>
  <c r="K57"/>
  <c r="K32"/>
  <c r="K28"/>
  <c r="K23"/>
  <c r="G41"/>
  <c r="G53"/>
  <c r="G71"/>
  <c r="E50"/>
  <c r="E54"/>
  <c r="E65"/>
  <c r="E58"/>
  <c r="E44"/>
  <c r="E40"/>
  <c r="E26"/>
  <c r="G56"/>
  <c r="G34"/>
  <c r="G30"/>
  <c r="G21"/>
  <c r="K61"/>
  <c r="K56"/>
  <c r="K46"/>
  <c r="K31"/>
  <c r="K27"/>
  <c r="K22"/>
  <c r="K53"/>
  <c r="K73"/>
  <c r="E47"/>
  <c r="E43"/>
  <c r="E39"/>
  <c r="E21"/>
  <c r="G66"/>
  <c r="G29"/>
  <c r="G24"/>
  <c r="K66"/>
  <c r="K45"/>
  <c r="K34"/>
  <c r="K30"/>
  <c r="K25"/>
  <c r="K21"/>
  <c r="G55"/>
  <c r="G50"/>
  <c r="G52"/>
  <c r="G54"/>
  <c r="E71"/>
  <c r="E52"/>
  <c r="E74"/>
  <c r="E68"/>
  <c r="E56"/>
  <c r="E46"/>
  <c r="E42"/>
  <c r="E35"/>
  <c r="E24"/>
  <c r="G44"/>
  <c r="G39"/>
  <c r="G32"/>
  <c r="G23"/>
  <c r="K44"/>
  <c r="K40"/>
  <c r="K33"/>
  <c r="K29"/>
  <c r="K55"/>
  <c r="I49" i="32"/>
  <c r="G29"/>
  <c r="K52"/>
  <c r="G49"/>
  <c r="H56" i="33"/>
  <c r="K17" i="32"/>
  <c r="K40"/>
  <c r="K53"/>
  <c r="K34"/>
  <c r="K18"/>
  <c r="K56"/>
  <c r="K39"/>
  <c r="K44"/>
  <c r="K24"/>
  <c r="E23"/>
  <c r="E25"/>
  <c r="H51" i="33"/>
  <c r="H60"/>
  <c r="L45"/>
  <c r="L55"/>
  <c r="K22" i="32"/>
  <c r="K50"/>
  <c r="K51"/>
  <c r="K25"/>
  <c r="K33"/>
  <c r="K43"/>
  <c r="K20"/>
  <c r="K31"/>
  <c r="E49"/>
  <c r="G20"/>
  <c r="G33"/>
  <c r="M51" i="33"/>
  <c r="H65"/>
  <c r="L30"/>
  <c r="I58"/>
  <c r="H19"/>
  <c r="L58"/>
  <c r="M48"/>
  <c r="M45"/>
  <c r="M55"/>
  <c r="I29"/>
  <c r="I55"/>
  <c r="I34"/>
  <c r="I74"/>
  <c r="L54"/>
  <c r="L74"/>
  <c r="H47"/>
  <c r="L71"/>
  <c r="L50"/>
  <c r="H38" i="32"/>
  <c r="H57" i="33"/>
  <c r="J64"/>
  <c r="I54"/>
  <c r="L73"/>
  <c r="H52"/>
  <c r="I52"/>
  <c r="H74"/>
  <c r="L51"/>
  <c r="M71"/>
  <c r="G47"/>
  <c r="H45"/>
  <c r="K51"/>
  <c r="I39"/>
  <c r="H28"/>
  <c r="K71"/>
  <c r="M30"/>
  <c r="I56"/>
  <c r="H55"/>
  <c r="I71"/>
  <c r="M73"/>
  <c r="E34"/>
  <c r="E73"/>
  <c r="L28"/>
  <c r="E55"/>
  <c r="E40" i="32"/>
  <c r="G57"/>
  <c r="E43"/>
  <c r="G50"/>
  <c r="I38"/>
  <c r="I68" i="33"/>
  <c r="I32"/>
  <c r="G65"/>
  <c r="E20"/>
  <c r="G27" i="32"/>
  <c r="I19" i="33"/>
  <c r="E45"/>
  <c r="E46" i="32"/>
  <c r="G41"/>
  <c r="E39"/>
  <c r="G37"/>
  <c r="L17"/>
  <c r="L38"/>
  <c r="L60" i="33"/>
  <c r="D27" i="32"/>
  <c r="E26"/>
  <c r="M20" i="33"/>
  <c r="E38" i="32"/>
  <c r="E21"/>
  <c r="G22"/>
  <c r="E37"/>
  <c r="G40"/>
  <c r="G19"/>
  <c r="G56"/>
  <c r="G39"/>
  <c r="E19"/>
  <c r="E57"/>
  <c r="E42"/>
  <c r="G32"/>
  <c r="E24"/>
  <c r="G60"/>
  <c r="G46"/>
  <c r="G36"/>
  <c r="E32"/>
  <c r="G25"/>
  <c r="I17"/>
  <c r="I28"/>
  <c r="H17"/>
  <c r="I50" i="33"/>
  <c r="M74"/>
  <c r="M28" i="32"/>
  <c r="D64" i="33"/>
  <c r="E64" s="1"/>
  <c r="I47"/>
  <c r="H43"/>
  <c r="I18"/>
  <c r="M57"/>
  <c r="L47"/>
  <c r="M43"/>
  <c r="M39"/>
  <c r="M23"/>
  <c r="L19"/>
  <c r="E52" i="32"/>
  <c r="E28"/>
  <c r="G28"/>
  <c r="E50"/>
  <c r="E60"/>
  <c r="E36"/>
  <c r="G18"/>
  <c r="G43"/>
  <c r="G38"/>
  <c r="E18"/>
  <c r="E56"/>
  <c r="E41"/>
  <c r="G31"/>
  <c r="E20"/>
  <c r="G53"/>
  <c r="E44"/>
  <c r="G35"/>
  <c r="E31"/>
  <c r="M38"/>
  <c r="E45"/>
  <c r="I61" i="33"/>
  <c r="I46"/>
  <c r="H42"/>
  <c r="I25"/>
  <c r="H21"/>
  <c r="M68"/>
  <c r="L24"/>
  <c r="M53"/>
  <c r="K48"/>
  <c r="G21" i="32"/>
  <c r="L53" i="33"/>
  <c r="M33"/>
  <c r="E22" i="32"/>
  <c r="G23"/>
  <c r="E17"/>
  <c r="E51"/>
  <c r="E53"/>
  <c r="E33"/>
  <c r="G58"/>
  <c r="G42"/>
  <c r="G24"/>
  <c r="E35"/>
  <c r="G44"/>
  <c r="G30"/>
  <c r="E34"/>
  <c r="G51"/>
  <c r="G34"/>
  <c r="E30"/>
  <c r="I72" i="33"/>
  <c r="H28" i="32"/>
  <c r="L49"/>
  <c r="G45"/>
  <c r="D38" i="33"/>
  <c r="E38" s="1"/>
  <c r="I45"/>
  <c r="M65"/>
  <c r="I43"/>
  <c r="M34"/>
  <c r="M58"/>
  <c r="K58"/>
  <c r="K24"/>
  <c r="K20"/>
  <c r="L65"/>
  <c r="L48"/>
  <c r="I22"/>
  <c r="H18"/>
  <c r="H34"/>
  <c r="H30"/>
  <c r="M24"/>
  <c r="L33"/>
  <c r="I35"/>
  <c r="K65"/>
  <c r="I57"/>
  <c r="G43"/>
  <c r="H53"/>
  <c r="I53"/>
  <c r="I66"/>
  <c r="D36"/>
  <c r="L57"/>
  <c r="K39"/>
  <c r="I21"/>
  <c r="L43"/>
  <c r="E18"/>
  <c r="M19"/>
  <c r="H22"/>
  <c r="L23"/>
  <c r="E60"/>
  <c r="M40"/>
  <c r="L44"/>
  <c r="H25"/>
  <c r="H54"/>
  <c r="G61"/>
  <c r="G25"/>
  <c r="K47"/>
  <c r="K19"/>
  <c r="K74"/>
  <c r="I60"/>
  <c r="H59"/>
  <c r="I49"/>
  <c r="I40"/>
  <c r="I33"/>
  <c r="I20"/>
  <c r="M56"/>
  <c r="L42"/>
  <c r="M35"/>
  <c r="M18"/>
  <c r="M47"/>
  <c r="L39"/>
  <c r="M52"/>
  <c r="I42"/>
  <c r="L18"/>
  <c r="H50"/>
  <c r="L40"/>
  <c r="L68"/>
  <c r="H61"/>
  <c r="K68"/>
  <c r="M60"/>
  <c r="M28"/>
  <c r="E22"/>
  <c r="E48"/>
  <c r="I30"/>
  <c r="L16" i="32"/>
  <c r="J26"/>
  <c r="L26" s="1"/>
  <c r="D17" i="33"/>
  <c r="E17" s="1"/>
  <c r="H58"/>
  <c r="H48"/>
  <c r="I44"/>
  <c r="H39"/>
  <c r="M66"/>
  <c r="L59"/>
  <c r="M49"/>
  <c r="M41"/>
  <c r="L25"/>
  <c r="K43"/>
  <c r="G68"/>
  <c r="H72"/>
  <c r="M44"/>
  <c r="H44"/>
  <c r="L28" i="32"/>
  <c r="M49"/>
  <c r="H35" i="33"/>
  <c r="L52"/>
  <c r="H27"/>
  <c r="H66"/>
  <c r="M16" i="32"/>
  <c r="L31" i="33"/>
  <c r="H32"/>
  <c r="L61"/>
  <c r="G16" i="32"/>
  <c r="K50" i="33"/>
  <c r="M27"/>
  <c r="K18"/>
  <c r="M32"/>
  <c r="M72"/>
  <c r="I51"/>
  <c r="G59"/>
  <c r="G45"/>
  <c r="F26"/>
  <c r="H26" s="1"/>
  <c r="F17"/>
  <c r="I17" s="1"/>
  <c r="H49"/>
  <c r="M31"/>
  <c r="I48"/>
  <c r="L41"/>
  <c r="E31"/>
  <c r="I23"/>
  <c r="I24"/>
  <c r="L66"/>
  <c r="I73"/>
  <c r="L22"/>
  <c r="M22"/>
  <c r="L56"/>
  <c r="K35"/>
  <c r="I65"/>
  <c r="H40"/>
  <c r="H71"/>
  <c r="G19"/>
  <c r="G40"/>
  <c r="G73"/>
  <c r="E30"/>
  <c r="G58"/>
  <c r="K41"/>
  <c r="K72"/>
  <c r="I31"/>
  <c r="J17"/>
  <c r="M61"/>
  <c r="I41"/>
  <c r="I59"/>
  <c r="G33"/>
  <c r="G48"/>
  <c r="M25"/>
  <c r="M59"/>
  <c r="L34"/>
  <c r="H41"/>
  <c r="L35"/>
  <c r="H33"/>
  <c r="H23"/>
  <c r="H29"/>
  <c r="F38"/>
  <c r="G38" s="1"/>
  <c r="J26"/>
  <c r="K26" s="1"/>
  <c r="D16"/>
  <c r="M50"/>
  <c r="I27"/>
  <c r="G20"/>
  <c r="G31"/>
  <c r="E29"/>
  <c r="K42"/>
  <c r="L49"/>
  <c r="L32"/>
  <c r="L27"/>
  <c r="K54"/>
  <c r="M54"/>
  <c r="I28"/>
  <c r="G28"/>
  <c r="H31"/>
  <c r="G46"/>
  <c r="M46"/>
  <c r="M29"/>
  <c r="L46"/>
  <c r="K49"/>
  <c r="G42"/>
  <c r="G49"/>
  <c r="E16" i="32"/>
  <c r="I16"/>
  <c r="L21" i="33"/>
  <c r="L29"/>
  <c r="H46"/>
  <c r="H16" i="32"/>
  <c r="D47"/>
  <c r="J38" i="33"/>
  <c r="G72"/>
  <c r="H20"/>
  <c r="M42"/>
  <c r="M21"/>
  <c r="H24"/>
  <c r="G51"/>
  <c r="K59"/>
  <c r="G10" i="30" l="1"/>
  <c r="E17"/>
  <c r="M17" i="33"/>
  <c r="H64"/>
  <c r="L64"/>
  <c r="F47" i="32"/>
  <c r="G47" s="1"/>
  <c r="M64" i="33"/>
  <c r="K64"/>
  <c r="I26" i="32"/>
  <c r="G26"/>
  <c r="H26"/>
  <c r="H27"/>
  <c r="G64" i="33"/>
  <c r="H38"/>
  <c r="G26"/>
  <c r="E27" i="32"/>
  <c r="M26"/>
  <c r="I27"/>
  <c r="K17" i="33"/>
  <c r="J16"/>
  <c r="L16" s="1"/>
  <c r="L17"/>
  <c r="M26"/>
  <c r="F36"/>
  <c r="I36" s="1"/>
  <c r="I64"/>
  <c r="J27" i="32"/>
  <c r="J47"/>
  <c r="M47" s="1"/>
  <c r="K26"/>
  <c r="E36" i="33"/>
  <c r="D37"/>
  <c r="E37" s="1"/>
  <c r="I38"/>
  <c r="L26"/>
  <c r="G17"/>
  <c r="H17"/>
  <c r="F16"/>
  <c r="G16" s="1"/>
  <c r="I26"/>
  <c r="K38"/>
  <c r="L38"/>
  <c r="J36"/>
  <c r="M38"/>
  <c r="D62"/>
  <c r="E16"/>
  <c r="D48" i="32"/>
  <c r="D54"/>
  <c r="E47"/>
  <c r="E23" i="30" l="1"/>
  <c r="G23" s="1"/>
  <c r="G17"/>
  <c r="H47" i="32"/>
  <c r="F54"/>
  <c r="I54" s="1"/>
  <c r="F48"/>
  <c r="G48" s="1"/>
  <c r="I47"/>
  <c r="F37" i="33"/>
  <c r="H37" s="1"/>
  <c r="H36"/>
  <c r="G36"/>
  <c r="H16"/>
  <c r="F62"/>
  <c r="F69" s="1"/>
  <c r="I16"/>
  <c r="K16"/>
  <c r="M16"/>
  <c r="L47" i="32"/>
  <c r="J54"/>
  <c r="L54" s="1"/>
  <c r="K47"/>
  <c r="J48"/>
  <c r="K48" s="1"/>
  <c r="K27"/>
  <c r="L27"/>
  <c r="M27"/>
  <c r="E48"/>
  <c r="E54"/>
  <c r="D59"/>
  <c r="E62" i="33"/>
  <c r="D63"/>
  <c r="D69"/>
  <c r="L36"/>
  <c r="K36"/>
  <c r="M36"/>
  <c r="J37"/>
  <c r="J62"/>
  <c r="M62" s="1"/>
  <c r="M54" i="32" l="1"/>
  <c r="H54"/>
  <c r="I48"/>
  <c r="H48"/>
  <c r="H62" i="33"/>
  <c r="I37"/>
  <c r="G37"/>
  <c r="I62"/>
  <c r="G54" i="32"/>
  <c r="F59"/>
  <c r="G62" i="33"/>
  <c r="F63"/>
  <c r="G63" s="1"/>
  <c r="L48" i="32"/>
  <c r="M48"/>
  <c r="K54"/>
  <c r="J59"/>
  <c r="M59" s="1"/>
  <c r="K37" i="33"/>
  <c r="M37"/>
  <c r="L37"/>
  <c r="D55" i="32"/>
  <c r="E59"/>
  <c r="L62" i="33"/>
  <c r="E63"/>
  <c r="D75"/>
  <c r="I69"/>
  <c r="H69"/>
  <c r="E69"/>
  <c r="K62"/>
  <c r="J69"/>
  <c r="L69" s="1"/>
  <c r="J63"/>
  <c r="K63" s="1"/>
  <c r="F75"/>
  <c r="G69"/>
  <c r="F55" i="32" l="1"/>
  <c r="G55" s="1"/>
  <c r="G59"/>
  <c r="I59"/>
  <c r="H59"/>
  <c r="H63" i="33"/>
  <c r="I63"/>
  <c r="J55" i="32"/>
  <c r="K55" s="1"/>
  <c r="K59"/>
  <c r="L59"/>
  <c r="D70" i="33"/>
  <c r="I75"/>
  <c r="E75"/>
  <c r="H75"/>
  <c r="E55" i="32"/>
  <c r="K69" i="33"/>
  <c r="J75"/>
  <c r="L75" s="1"/>
  <c r="L63"/>
  <c r="M63"/>
  <c r="G75"/>
  <c r="F70"/>
  <c r="G70" s="1"/>
  <c r="M69"/>
  <c r="L55" i="32" l="1"/>
  <c r="H55"/>
  <c r="I55"/>
  <c r="M55"/>
  <c r="M75" i="33"/>
  <c r="J70"/>
  <c r="K70" s="1"/>
  <c r="K75"/>
  <c r="I70"/>
  <c r="E70"/>
  <c r="H70"/>
  <c r="M70" l="1"/>
  <c r="L70"/>
</calcChain>
</file>

<file path=xl/sharedStrings.xml><?xml version="1.0" encoding="utf-8"?>
<sst xmlns="http://schemas.openxmlformats.org/spreadsheetml/2006/main" count="1243" uniqueCount="470">
  <si>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</si>
  <si>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</si>
  <si>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</si>
  <si>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</si>
  <si>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</si>
  <si>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</si>
  <si>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</si>
  <si>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</si>
  <si>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</si>
  <si>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</si>
  <si>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</si>
  <si>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</si>
  <si>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</si>
  <si>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</si>
  <si>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</si>
  <si>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</si>
  <si>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</si>
  <si>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</si>
  <si>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</si>
  <si>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</si>
  <si>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</si>
  <si>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</si>
  <si>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</si>
  <si>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</si>
  <si>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</si>
  <si>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</si>
  <si>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</si>
  <si>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</si>
  <si>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</si>
  <si>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</si>
  <si>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</si>
  <si>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</si>
  <si>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</si>
  <si>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</si>
  <si>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</si>
  <si>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</si>
  <si>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</si>
  <si>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</si>
  <si>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</si>
  <si>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</si>
  <si>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</si>
  <si>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</si>
  <si>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</si>
  <si>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</si>
  <si>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</si>
  <si>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</si>
  <si>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</si>
  <si>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</si>
  <si>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</si>
  <si>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</si>
  <si>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</si>
  <si>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</si>
  <si>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</si>
  <si>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</si>
  <si>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</si>
  <si>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</si>
  <si>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</si>
  <si>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</si>
  <si>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</si>
  <si>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</si>
  <si>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</si>
  <si>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</si>
  <si>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</si>
  <si>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</si>
  <si>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</si>
  <si>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</si>
  <si>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</si>
  <si>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</si>
  <si>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</si>
  <si>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</si>
  <si>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</si>
  <si>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</si>
  <si>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</si>
  <si>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</si>
  <si>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</si>
  <si>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</si>
  <si>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</si>
  <si>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</si>
  <si>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</si>
  <si>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</si>
  <si>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</si>
  <si>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</si>
  <si>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</si>
  <si>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</si>
  <si>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</si>
  <si>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</si>
  <si>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</si>
  <si>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</si>
  <si>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</si>
  <si>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</si>
  <si>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</si>
  <si>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</si>
  <si>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</si>
  <si>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</si>
  <si>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</si>
  <si>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</si>
  <si>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</si>
  <si>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</si>
  <si>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</si>
  <si>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</si>
  <si>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</si>
  <si>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</si>
  <si>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</si>
  <si>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</si>
  <si>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</si>
  <si>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</si>
  <si>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</si>
  <si>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</si>
  <si>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</si>
  <si>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</si>
  <si>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</si>
  <si>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</si>
  <si>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</si>
  <si>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</si>
  <si>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</si>
  <si>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</si>
  <si>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</si>
  <si>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</si>
  <si>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</si>
  <si>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</si>
  <si>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</si>
  <si>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</si>
  <si>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</si>
  <si>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</si>
  <si>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</si>
  <si>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</si>
  <si>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</si>
  <si>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</si>
  <si>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</si>
  <si>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</si>
  <si>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</si>
  <si>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</si>
  <si>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</si>
  <si>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</si>
  <si>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</si>
  <si>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</si>
  <si>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</si>
  <si>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</si>
  <si>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</si>
  <si>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</si>
  <si>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</si>
  <si>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</si>
  <si>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</si>
  <si>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</si>
  <si>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</si>
  <si>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</si>
  <si>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</si>
  <si>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</si>
  <si>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</si>
  <si>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</si>
  <si>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</si>
  <si>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</si>
  <si>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</si>
  <si>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</si>
  <si>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</si>
  <si>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</si>
  <si>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</si>
  <si>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</si>
  <si>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</si>
  <si>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</si>
  <si>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</si>
  <si>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</si>
  <si>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</si>
  <si>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</si>
  <si>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</si>
  <si>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</si>
  <si>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</si>
  <si>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</si>
  <si>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</si>
  <si>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</si>
  <si>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</si>
  <si>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</si>
  <si>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</si>
  <si>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</si>
  <si>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</si>
  <si>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</si>
  <si>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</si>
  <si>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</si>
  <si>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</si>
  <si>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</si>
  <si>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</si>
  <si>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</si>
  <si>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</si>
  <si>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</si>
  <si>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</si>
  <si>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</si>
  <si>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</si>
  <si>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</si>
  <si>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</si>
  <si>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</si>
  <si>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</si>
  <si>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</si>
  <si>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</si>
  <si>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</si>
  <si>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</si>
  <si>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</si>
  <si>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</si>
  <si>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</si>
  <si>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</si>
  <si>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</si>
  <si>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</si>
  <si>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</si>
  <si>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</si>
  <si>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</si>
  <si>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</si>
  <si>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</si>
  <si>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</si>
  <si>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</si>
  <si>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</si>
  <si>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</si>
  <si>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</si>
  <si>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</si>
  <si>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</si>
  <si>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</si>
  <si>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</si>
  <si>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</si>
  <si>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</si>
  <si>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</si>
  <si>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</si>
  <si>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</si>
  <si>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</si>
  <si>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</si>
  <si>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</si>
  <si>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</si>
  <si>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</si>
  <si>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</si>
  <si>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</si>
  <si>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</si>
  <si>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</si>
  <si>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</si>
  <si>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</si>
  <si>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</si>
  <si>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</si>
  <si>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</si>
  <si>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</si>
  <si>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</si>
  <si>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</si>
  <si>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</si>
  <si>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</si>
  <si>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</si>
  <si>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</si>
  <si>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</si>
  <si>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</si>
  <si>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</si>
  <si>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</si>
  <si>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</si>
  <si>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</si>
  <si>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</si>
  <si>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</si>
  <si>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</si>
  <si>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</si>
  <si>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</si>
  <si>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</si>
  <si>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</si>
  <si>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</si>
  <si>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</si>
  <si>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</si>
  <si>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</si>
  <si>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</si>
  <si>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</si>
  <si>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</si>
  <si>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</si>
  <si>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</si>
  <si>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</si>
  <si>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</si>
  <si>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</si>
  <si>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</si>
  <si>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</si>
  <si>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</si>
  <si>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</si>
  <si>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</si>
  <si>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</si>
  <si>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</si>
  <si>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</si>
  <si>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</si>
  <si>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</si>
  <si>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</si>
  <si>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</si>
  <si>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</si>
  <si>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</si>
  <si>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</si>
  <si>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</si>
  <si>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</si>
  <si>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</si>
  <si>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</si>
  <si>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</si>
  <si>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</si>
  <si>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</si>
  <si>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</si>
  <si>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</si>
  <si>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</si>
  <si>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</si>
  <si>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</si>
  <si>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</si>
  <si>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</si>
  <si>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</si>
  <si>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</si>
  <si>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</si>
  <si>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</si>
  <si>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</si>
  <si>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</si>
  <si>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</si>
  <si>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</si>
  <si>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</si>
  <si>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</si>
  <si>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</si>
  <si>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</si>
  <si>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</si>
  <si>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</si>
  <si>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</si>
  <si>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</si>
  <si>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</si>
  <si>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</si>
  <si>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</si>
  <si>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</si>
  <si>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</si>
  <si>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</si>
  <si>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</si>
  <si>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</si>
  <si>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</si>
  <si>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</si>
  <si>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</si>
  <si>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</si>
  <si>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</si>
  <si>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</si>
  <si>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</si>
  <si>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</si>
  <si>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</si>
  <si>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</si>
  <si>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</si>
  <si>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</si>
  <si>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</si>
  <si>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</si>
  <si>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</si>
  <si>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</si>
  <si>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</si>
  <si>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</si>
  <si>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</si>
  <si>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</si>
  <si>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</si>
  <si>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</si>
  <si>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</si>
  <si>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</si>
  <si>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</si>
  <si>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</si>
  <si>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</si>
  <si>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</si>
  <si>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</si>
  <si>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</si>
  <si>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</si>
  <si>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</si>
  <si>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</si>
  <si>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</si>
  <si>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</si>
  <si>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</si>
  <si>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</si>
  <si>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</si>
  <si>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</si>
  <si>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</si>
  <si>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</si>
  <si>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</si>
  <si>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</si>
  <si>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</si>
  <si>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</si>
  <si>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</si>
  <si>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</si>
  <si>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</si>
  <si>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</si>
  <si>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</si>
  <si>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</si>
  <si>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</si>
  <si>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</si>
  <si>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</si>
  <si>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</si>
  <si>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</si>
  <si>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</si>
  <si>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</si>
  <si>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</si>
  <si>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</si>
  <si>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</si>
  <si>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</si>
  <si>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</si>
  <si>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</si>
  <si>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</si>
  <si>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</si>
  <si>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</si>
  <si>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</si>
  <si>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</si>
  <si>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</si>
  <si>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</si>
  <si>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</si>
  <si>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</si>
  <si>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Plan 2014</t>
  </si>
  <si>
    <t>Ekonomska klasifikacija</t>
  </si>
  <si>
    <t>O   P   I   S</t>
  </si>
  <si>
    <t>Iznos u €</t>
  </si>
  <si>
    <t>Ako je 0 sve je OK!</t>
  </si>
  <si>
    <t>PRIMICI</t>
  </si>
  <si>
    <t>Tekući prihodi</t>
  </si>
  <si>
    <t>Naknada za korišćenje prirodnih dobara</t>
  </si>
  <si>
    <t>Primici od prodaje  imovine</t>
  </si>
  <si>
    <t>Primici od prodaje imovine</t>
  </si>
  <si>
    <t>Primici od prodaje nefinansijske imovine</t>
  </si>
  <si>
    <t>Primici od prodaje nepokretnosti</t>
  </si>
  <si>
    <t>Primici od prodaje zaliha</t>
  </si>
  <si>
    <t>Primici od prodaje finansijske imovine</t>
  </si>
  <si>
    <t>Prodaja akcija</t>
  </si>
  <si>
    <t>Prodaja ostalih HOV</t>
  </si>
  <si>
    <t xml:space="preserve">Primici od otplate kredita </t>
  </si>
  <si>
    <t>Primici od otplate kredita datih drugim nivoima vlasti</t>
  </si>
  <si>
    <t>Primici od otplate kredita datih javnim preduzećima</t>
  </si>
  <si>
    <t>Primici od otplate kredita datih drugim institucijama</t>
  </si>
  <si>
    <t>Primici od otplate kredita datih fizičkim licima</t>
  </si>
  <si>
    <t xml:space="preserve"> Sredstva prenesena iz prethodne godine</t>
  </si>
  <si>
    <t>Sredstva prenesena iz prethodne godine</t>
  </si>
  <si>
    <t>Donacije i transferi</t>
  </si>
  <si>
    <t>Tekuće donacije</t>
  </si>
  <si>
    <t>IZVORNI PRIHODI</t>
  </si>
  <si>
    <t>Porezi i doprinosi</t>
  </si>
  <si>
    <t xml:space="preserve"> IZDACI</t>
  </si>
  <si>
    <t xml:space="preserve"> Kapitalni budžet CG</t>
  </si>
  <si>
    <t xml:space="preserve"> SUFICIT / DEFICIT</t>
  </si>
  <si>
    <t>PRIMARNI SUFICIT</t>
  </si>
  <si>
    <t>OTPLATA DUGA</t>
  </si>
  <si>
    <t>NEDOSTAJUĆA SREDSTVA</t>
  </si>
  <si>
    <t>FINANSIRANJE</t>
  </si>
  <si>
    <t>Procjena 2014</t>
  </si>
  <si>
    <t xml:space="preserve"> </t>
  </si>
  <si>
    <t>Rashodi za materijal</t>
  </si>
  <si>
    <t>Rashodi za usluge</t>
  </si>
  <si>
    <t>Rashodi za tekuće održavanje</t>
  </si>
  <si>
    <t>Ostala prava iz zdravstvenog osiguranja</t>
  </si>
  <si>
    <t xml:space="preserve">Transferi institucijama, pojedincima, nevladinom i javnom sektoru </t>
  </si>
  <si>
    <t xml:space="preserve">Ostali transferi </t>
  </si>
  <si>
    <t>PLAN 2015</t>
  </si>
  <si>
    <t>Mjesečni plan prihoda 2014</t>
  </si>
  <si>
    <t>Mjesečna procjena prihoda 2014</t>
  </si>
  <si>
    <t>Ostvarenje prihoda 2013</t>
  </si>
  <si>
    <t>Razlike</t>
  </si>
  <si>
    <t>%</t>
  </si>
  <si>
    <t>Deficit - osnovni scenario</t>
  </si>
  <si>
    <t>Deficit - scenario sa auto putem</t>
  </si>
  <si>
    <t>2014 - procjena</t>
  </si>
  <si>
    <t>Suficit / deficit</t>
  </si>
  <si>
    <t>Odstupanje</t>
  </si>
  <si>
    <t>Tekući budžetski izdaci</t>
  </si>
  <si>
    <t>Otplata obaveza iz prethodnih godina</t>
  </si>
  <si>
    <t>4630a</t>
  </si>
  <si>
    <t>4630b</t>
  </si>
  <si>
    <t>Primarni bilans</t>
  </si>
  <si>
    <t>Otplata dugova</t>
  </si>
  <si>
    <t>Otplata hartija od vrijednosti i kredita rezidentima</t>
  </si>
  <si>
    <t>Otplata hartija od vrijednosti i kredita nerezidentima</t>
  </si>
  <si>
    <t>Pozajmice i krediti od domaćih izvora</t>
  </si>
  <si>
    <t>Pozajmice i krediti od inostranih izvora</t>
  </si>
  <si>
    <t>Povećanje / smanjenje depozita</t>
  </si>
  <si>
    <t>Transferi iz Centralnog budžeta</t>
  </si>
  <si>
    <t>Budžetski izdaci</t>
  </si>
  <si>
    <t>Ostali državni prihodi</t>
  </si>
  <si>
    <t>Other State revenues</t>
  </si>
  <si>
    <t>Ostali transferi</t>
  </si>
  <si>
    <t xml:space="preserve">Receipts from repayment of loans </t>
  </si>
  <si>
    <t>Receipts from repayment of loans</t>
  </si>
  <si>
    <t>Primici od otplate kredita</t>
  </si>
  <si>
    <t>Ostvarenje 2017</t>
  </si>
  <si>
    <t>Transferi</t>
  </si>
  <si>
    <t>Ostvarenje 2018</t>
  </si>
  <si>
    <t>Plan 2018</t>
  </si>
  <si>
    <t>Izdaci za kupovinu hartija od vrijednosti</t>
  </si>
  <si>
    <t>Izdaci za otplatu hartija od vrijednosti</t>
  </si>
</sst>
</file>

<file path=xl/styles.xml><?xml version="1.0" encoding="utf-8"?>
<styleSheet xmlns="http://schemas.openxmlformats.org/spreadsheetml/2006/main">
  <numFmts count="13">
    <numFmt numFmtId="164" formatCode="_-* #,##0.00\ &quot;RSD&quot;_-;\-* #,##0.00\ &quot;RSD&quot;_-;_-* &quot;-&quot;??\ &quot;RSD&quot;_-;_-@_-"/>
    <numFmt numFmtId="165" formatCode="0.00,,"/>
    <numFmt numFmtId="166" formatCode="0.0,,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,,"/>
    <numFmt numFmtId="176" formatCode="0.0000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entury Gothic"/>
      <family val="2"/>
    </font>
    <font>
      <sz val="11"/>
      <color rgb="FFFF0000"/>
      <name val="Calibri"/>
      <family val="2"/>
      <scheme val="minor"/>
    </font>
    <font>
      <sz val="8"/>
      <name val="Century Gothic"/>
      <family val="2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indexed="1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1">
    <xf numFmtId="0" fontId="0" fillId="0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8" fillId="0" borderId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2" fontId="8" fillId="0" borderId="0" applyProtection="0"/>
    <xf numFmtId="0" fontId="8" fillId="0" borderId="0" applyNumberFormat="0" applyFont="0" applyFill="0" applyBorder="0" applyAlignment="0" applyProtection="0"/>
    <xf numFmtId="0" fontId="11" fillId="0" borderId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7" fontId="12" fillId="0" borderId="0"/>
    <xf numFmtId="0" fontId="13" fillId="0" borderId="0"/>
    <xf numFmtId="0" fontId="14" fillId="0" borderId="0"/>
    <xf numFmtId="0" fontId="14" fillId="0" borderId="0"/>
    <xf numFmtId="0" fontId="7" fillId="0" borderId="0"/>
    <xf numFmtId="0" fontId="6" fillId="0" borderId="0"/>
    <xf numFmtId="174" fontId="7" fillId="0" borderId="0" applyFont="0" applyFill="0" applyBorder="0" applyAlignment="0" applyProtection="0"/>
    <xf numFmtId="0" fontId="1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  <xf numFmtId="9" fontId="34" fillId="0" borderId="0" applyFont="0" applyFill="0" applyBorder="0" applyAlignment="0" applyProtection="0"/>
    <xf numFmtId="0" fontId="6" fillId="0" borderId="0"/>
    <xf numFmtId="164" fontId="42" fillId="0" borderId="0" applyFont="0" applyFill="0" applyBorder="0" applyAlignment="0" applyProtection="0"/>
  </cellStyleXfs>
  <cellXfs count="337">
    <xf numFmtId="0" fontId="0" fillId="0" borderId="0" xfId="0"/>
    <xf numFmtId="0" fontId="6" fillId="0" borderId="0" xfId="0" applyFont="1"/>
    <xf numFmtId="0" fontId="16" fillId="0" borderId="0" xfId="0" applyFont="1" applyFill="1" applyAlignment="1">
      <alignment horizontal="center" vertical="center"/>
    </xf>
    <xf numFmtId="0" fontId="6" fillId="0" borderId="0" xfId="22" applyFont="1" applyFill="1" applyBorder="1" applyAlignment="1">
      <alignment horizontal="center" vertical="center" wrapText="1"/>
    </xf>
    <xf numFmtId="0" fontId="16" fillId="0" borderId="0" xfId="22" applyFont="1" applyFill="1" applyBorder="1" applyAlignment="1">
      <alignment vertical="center"/>
    </xf>
    <xf numFmtId="0" fontId="16" fillId="0" borderId="0" xfId="22" applyFont="1" applyFill="1" applyAlignment="1">
      <alignment vertical="center"/>
    </xf>
    <xf numFmtId="0" fontId="16" fillId="0" borderId="0" xfId="22" applyFont="1" applyFill="1" applyBorder="1" applyAlignment="1">
      <alignment horizontal="center" vertical="center"/>
    </xf>
    <xf numFmtId="2" fontId="16" fillId="0" borderId="0" xfId="22" applyNumberFormat="1" applyFont="1" applyFill="1" applyBorder="1" applyAlignment="1">
      <alignment vertical="center"/>
    </xf>
    <xf numFmtId="2" fontId="16" fillId="0" borderId="0" xfId="22" applyNumberFormat="1" applyFont="1" applyFill="1" applyBorder="1" applyAlignment="1">
      <alignment horizontal="left" vertical="center"/>
    </xf>
    <xf numFmtId="49" fontId="16" fillId="0" borderId="0" xfId="22" applyNumberFormat="1" applyFont="1" applyFill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6" fillId="0" borderId="0" xfId="22" applyFont="1" applyAlignment="1">
      <alignment vertical="center"/>
    </xf>
    <xf numFmtId="1" fontId="16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16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" fontId="16" fillId="0" borderId="0" xfId="0" applyNumberFormat="1" applyFont="1" applyFill="1" applyBorder="1" applyAlignment="1">
      <alignment horizontal="left" vertical="center"/>
    </xf>
    <xf numFmtId="17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17" fontId="16" fillId="0" borderId="0" xfId="0" applyNumberFormat="1" applyFont="1" applyFill="1" applyAlignment="1">
      <alignment vertical="center"/>
    </xf>
    <xf numFmtId="4" fontId="16" fillId="0" borderId="0" xfId="22" applyNumberFormat="1" applyFont="1" applyFill="1" applyBorder="1" applyAlignment="1">
      <alignment vertical="center"/>
    </xf>
    <xf numFmtId="165" fontId="16" fillId="0" borderId="0" xfId="22" applyNumberFormat="1" applyFont="1" applyFill="1" applyBorder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5" fontId="17" fillId="0" borderId="0" xfId="22" applyNumberFormat="1" applyFont="1" applyFill="1" applyBorder="1" applyAlignment="1">
      <alignment vertical="center"/>
    </xf>
    <xf numFmtId="49" fontId="16" fillId="0" borderId="0" xfId="22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17" fontId="6" fillId="0" borderId="0" xfId="0" applyNumberFormat="1" applyFont="1"/>
    <xf numFmtId="0" fontId="2" fillId="0" borderId="0" xfId="37"/>
    <xf numFmtId="0" fontId="21" fillId="0" borderId="5" xfId="37" applyFont="1" applyBorder="1" applyAlignment="1">
      <alignment horizontal="center" vertical="center" wrapText="1"/>
    </xf>
    <xf numFmtId="0" fontId="5" fillId="0" borderId="38" xfId="37" applyFont="1" applyBorder="1" applyAlignment="1">
      <alignment horizontal="center" vertical="center" wrapText="1"/>
    </xf>
    <xf numFmtId="0" fontId="5" fillId="0" borderId="10" xfId="37" applyFont="1" applyBorder="1" applyAlignment="1">
      <alignment horizontal="center" vertical="center" wrapText="1"/>
    </xf>
    <xf numFmtId="0" fontId="4" fillId="0" borderId="5" xfId="37" applyFont="1" applyBorder="1" applyAlignment="1">
      <alignment horizontal="left"/>
    </xf>
    <xf numFmtId="0" fontId="4" fillId="0" borderId="38" xfId="37" applyFont="1" applyBorder="1" applyAlignment="1">
      <alignment wrapText="1"/>
    </xf>
    <xf numFmtId="4" fontId="4" fillId="0" borderId="10" xfId="37" applyNumberFormat="1" applyFont="1" applyBorder="1"/>
    <xf numFmtId="4" fontId="23" fillId="3" borderId="0" xfId="37" applyNumberFormat="1" applyFont="1" applyFill="1"/>
    <xf numFmtId="0" fontId="4" fillId="0" borderId="15" xfId="37" applyFont="1" applyBorder="1" applyAlignment="1">
      <alignment horizontal="left"/>
    </xf>
    <xf numFmtId="0" fontId="4" fillId="0" borderId="31" xfId="37" applyFont="1" applyBorder="1" applyAlignment="1">
      <alignment wrapText="1"/>
    </xf>
    <xf numFmtId="4" fontId="4" fillId="0" borderId="7" xfId="37" applyNumberFormat="1" applyFont="1" applyBorder="1"/>
    <xf numFmtId="4" fontId="2" fillId="0" borderId="0" xfId="37" applyNumberFormat="1"/>
    <xf numFmtId="0" fontId="4" fillId="0" borderId="44" xfId="37" applyFont="1" applyBorder="1" applyAlignment="1">
      <alignment horizontal="center"/>
    </xf>
    <xf numFmtId="0" fontId="4" fillId="0" borderId="3" xfId="37" applyFont="1" applyBorder="1" applyAlignment="1">
      <alignment vertical="center" wrapText="1"/>
    </xf>
    <xf numFmtId="4" fontId="4" fillId="0" borderId="8" xfId="37" applyNumberFormat="1" applyFont="1" applyBorder="1"/>
    <xf numFmtId="0" fontId="5" fillId="0" borderId="44" xfId="37" applyFont="1" applyBorder="1"/>
    <xf numFmtId="0" fontId="5" fillId="0" borderId="3" xfId="37" applyFont="1" applyBorder="1" applyAlignment="1">
      <alignment vertical="center" wrapText="1"/>
    </xf>
    <xf numFmtId="4" fontId="5" fillId="0" borderId="8" xfId="37" applyNumberFormat="1" applyFont="1" applyBorder="1"/>
    <xf numFmtId="0" fontId="5" fillId="0" borderId="3" xfId="37" applyFont="1" applyBorder="1" applyAlignment="1">
      <alignment horizontal="left" wrapText="1"/>
    </xf>
    <xf numFmtId="0" fontId="5" fillId="0" borderId="3" xfId="37" applyFont="1" applyBorder="1" applyAlignment="1">
      <alignment wrapText="1"/>
    </xf>
    <xf numFmtId="0" fontId="4" fillId="0" borderId="44" xfId="37" applyFont="1" applyBorder="1" applyAlignment="1">
      <alignment horizontal="left"/>
    </xf>
    <xf numFmtId="0" fontId="4" fillId="0" borderId="3" xfId="37" applyFont="1" applyBorder="1" applyAlignment="1">
      <alignment wrapText="1"/>
    </xf>
    <xf numFmtId="0" fontId="5" fillId="0" borderId="44" xfId="37" applyFont="1" applyBorder="1" applyAlignment="1">
      <alignment horizontal="right"/>
    </xf>
    <xf numFmtId="0" fontId="5" fillId="0" borderId="44" xfId="37" applyFont="1" applyBorder="1" applyAlignment="1">
      <alignment horizontal="center"/>
    </xf>
    <xf numFmtId="0" fontId="5" fillId="0" borderId="45" xfId="37" applyFont="1" applyBorder="1" applyAlignment="1">
      <alignment horizontal="center"/>
    </xf>
    <xf numFmtId="0" fontId="5" fillId="0" borderId="39" xfId="37" applyFont="1" applyBorder="1" applyAlignment="1">
      <alignment wrapText="1"/>
    </xf>
    <xf numFmtId="4" fontId="5" fillId="0" borderId="9" xfId="37" applyNumberFormat="1" applyFont="1" applyBorder="1"/>
    <xf numFmtId="0" fontId="5" fillId="0" borderId="1" xfId="37" applyFont="1" applyBorder="1"/>
    <xf numFmtId="0" fontId="5" fillId="0" borderId="41" xfId="37" applyFont="1" applyBorder="1" applyAlignment="1">
      <alignment wrapText="1"/>
    </xf>
    <xf numFmtId="4" fontId="5" fillId="0" borderId="40" xfId="37" applyNumberFormat="1" applyFont="1" applyBorder="1"/>
    <xf numFmtId="0" fontId="24" fillId="0" borderId="10" xfId="37" applyFont="1" applyBorder="1" applyAlignment="1">
      <alignment horizontal="center"/>
    </xf>
    <xf numFmtId="4" fontId="4" fillId="0" borderId="24" xfId="37" applyNumberFormat="1" applyFont="1" applyBorder="1" applyAlignment="1">
      <alignment horizontal="center" wrapText="1"/>
    </xf>
    <xf numFmtId="0" fontId="25" fillId="0" borderId="17" xfId="37" applyFont="1" applyBorder="1" applyAlignment="1">
      <alignment wrapText="1"/>
    </xf>
    <xf numFmtId="4" fontId="4" fillId="0" borderId="19" xfId="37" applyNumberFormat="1" applyFont="1" applyBorder="1" applyAlignment="1">
      <alignment horizontal="right"/>
    </xf>
    <xf numFmtId="4" fontId="20" fillId="0" borderId="0" xfId="37" applyNumberFormat="1" applyFont="1"/>
    <xf numFmtId="4" fontId="5" fillId="0" borderId="47" xfId="37" applyNumberFormat="1" applyFont="1" applyBorder="1" applyAlignment="1">
      <alignment horizontal="right"/>
    </xf>
    <xf numFmtId="0" fontId="20" fillId="0" borderId="0" xfId="37" applyFont="1"/>
    <xf numFmtId="0" fontId="25" fillId="0" borderId="17" xfId="37" applyFont="1" applyBorder="1"/>
    <xf numFmtId="0" fontId="26" fillId="0" borderId="17" xfId="37" applyFont="1" applyBorder="1" applyAlignment="1">
      <alignment wrapText="1"/>
    </xf>
    <xf numFmtId="0" fontId="5" fillId="0" borderId="46" xfId="37" applyFont="1" applyBorder="1" applyAlignment="1">
      <alignment wrapText="1"/>
    </xf>
    <xf numFmtId="165" fontId="20" fillId="0" borderId="0" xfId="37" applyNumberFormat="1" applyFont="1"/>
    <xf numFmtId="4" fontId="22" fillId="10" borderId="0" xfId="37" applyNumberFormat="1" applyFont="1" applyFill="1"/>
    <xf numFmtId="0" fontId="19" fillId="0" borderId="43" xfId="37" applyFont="1" applyBorder="1" applyAlignment="1">
      <alignment wrapText="1"/>
    </xf>
    <xf numFmtId="4" fontId="5" fillId="0" borderId="42" xfId="37" applyNumberFormat="1" applyFont="1" applyBorder="1" applyAlignment="1">
      <alignment horizontal="right"/>
    </xf>
    <xf numFmtId="0" fontId="19" fillId="0" borderId="40" xfId="37" applyFont="1" applyBorder="1" applyAlignment="1">
      <alignment wrapText="1"/>
    </xf>
    <xf numFmtId="4" fontId="5" fillId="0" borderId="25" xfId="37" applyNumberFormat="1" applyFont="1" applyBorder="1" applyAlignment="1">
      <alignment horizontal="right"/>
    </xf>
    <xf numFmtId="0" fontId="19" fillId="0" borderId="43" xfId="37" applyFont="1" applyBorder="1"/>
    <xf numFmtId="0" fontId="5" fillId="0" borderId="43" xfId="37" applyFont="1" applyBorder="1" applyAlignment="1">
      <alignment wrapText="1"/>
    </xf>
    <xf numFmtId="0" fontId="5" fillId="0" borderId="8" xfId="37" applyFont="1" applyBorder="1" applyAlignment="1">
      <alignment wrapText="1"/>
    </xf>
    <xf numFmtId="0" fontId="5" fillId="0" borderId="40" xfId="37" applyFont="1" applyBorder="1" applyAlignment="1">
      <alignment wrapText="1"/>
    </xf>
    <xf numFmtId="4" fontId="5" fillId="0" borderId="40" xfId="37" applyNumberFormat="1" applyFont="1" applyBorder="1" applyAlignment="1">
      <alignment horizontal="right"/>
    </xf>
    <xf numFmtId="0" fontId="27" fillId="2" borderId="0" xfId="22" applyFont="1" applyFill="1"/>
    <xf numFmtId="0" fontId="27" fillId="2" borderId="0" xfId="22" applyFont="1" applyFill="1" applyBorder="1"/>
    <xf numFmtId="166" fontId="27" fillId="2" borderId="0" xfId="0" applyNumberFormat="1" applyFont="1" applyFill="1" applyBorder="1" applyAlignment="1" applyProtection="1">
      <protection hidden="1"/>
    </xf>
    <xf numFmtId="166" fontId="27" fillId="2" borderId="21" xfId="0" applyNumberFormat="1" applyFont="1" applyFill="1" applyBorder="1" applyAlignment="1" applyProtection="1">
      <protection hidden="1"/>
    </xf>
    <xf numFmtId="0" fontId="27" fillId="2" borderId="0" xfId="36" applyFont="1" applyFill="1" applyBorder="1"/>
    <xf numFmtId="0" fontId="27" fillId="2" borderId="0" xfId="22" applyFont="1" applyFill="1" applyProtection="1"/>
    <xf numFmtId="0" fontId="27" fillId="2" borderId="0" xfId="22" applyFont="1" applyFill="1" applyBorder="1" applyAlignment="1">
      <alignment vertical="center"/>
    </xf>
    <xf numFmtId="0" fontId="27" fillId="2" borderId="0" xfId="22" applyFont="1" applyFill="1" applyProtection="1">
      <protection locked="0"/>
    </xf>
    <xf numFmtId="0" fontId="29" fillId="5" borderId="33" xfId="36" applyFont="1" applyFill="1" applyBorder="1" applyAlignment="1">
      <alignment horizontal="center" vertical="center" wrapText="1"/>
    </xf>
    <xf numFmtId="0" fontId="29" fillId="5" borderId="19" xfId="36" applyFont="1" applyFill="1" applyBorder="1" applyAlignment="1">
      <alignment horizontal="center" vertical="center" wrapText="1"/>
    </xf>
    <xf numFmtId="2" fontId="29" fillId="5" borderId="6" xfId="22" applyNumberFormat="1" applyFont="1" applyFill="1" applyBorder="1" applyAlignment="1">
      <alignment vertical="center"/>
    </xf>
    <xf numFmtId="165" fontId="29" fillId="5" borderId="5" xfId="22" applyNumberFormat="1" applyFont="1" applyFill="1" applyBorder="1" applyAlignment="1">
      <alignment vertical="center"/>
    </xf>
    <xf numFmtId="4" fontId="29" fillId="5" borderId="24" xfId="22" applyNumberFormat="1" applyFont="1" applyFill="1" applyBorder="1" applyAlignment="1">
      <alignment vertical="center"/>
    </xf>
    <xf numFmtId="2" fontId="29" fillId="2" borderId="16" xfId="22" applyNumberFormat="1" applyFont="1" applyFill="1" applyBorder="1" applyAlignment="1">
      <alignment vertical="center"/>
    </xf>
    <xf numFmtId="165" fontId="29" fillId="2" borderId="30" xfId="22" applyNumberFormat="1" applyFont="1" applyFill="1" applyBorder="1" applyAlignment="1">
      <alignment vertical="center"/>
    </xf>
    <xf numFmtId="4" fontId="29" fillId="2" borderId="0" xfId="22" applyNumberFormat="1" applyFont="1" applyFill="1" applyBorder="1" applyAlignment="1">
      <alignment vertical="center"/>
    </xf>
    <xf numFmtId="4" fontId="29" fillId="2" borderId="14" xfId="22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/>
    </xf>
    <xf numFmtId="4" fontId="27" fillId="2" borderId="14" xfId="22" applyNumberFormat="1" applyFont="1" applyFill="1" applyBorder="1" applyAlignment="1">
      <alignment vertical="center"/>
    </xf>
    <xf numFmtId="4" fontId="27" fillId="2" borderId="0" xfId="22" applyNumberFormat="1" applyFont="1" applyFill="1" applyBorder="1"/>
    <xf numFmtId="4" fontId="27" fillId="2" borderId="0" xfId="22" applyNumberFormat="1" applyFont="1" applyFill="1"/>
    <xf numFmtId="2" fontId="29" fillId="2" borderId="16" xfId="22" applyNumberFormat="1" applyFont="1" applyFill="1" applyBorder="1" applyAlignment="1">
      <alignment vertical="center" wrapText="1"/>
    </xf>
    <xf numFmtId="165" fontId="27" fillId="2" borderId="0" xfId="22" applyNumberFormat="1" applyFont="1" applyFill="1"/>
    <xf numFmtId="2" fontId="27" fillId="0" borderId="16" xfId="22" applyNumberFormat="1" applyFont="1" applyFill="1" applyBorder="1" applyAlignment="1">
      <alignment vertical="center"/>
    </xf>
    <xf numFmtId="4" fontId="27" fillId="0" borderId="14" xfId="22" applyNumberFormat="1" applyFont="1" applyFill="1" applyBorder="1" applyAlignment="1">
      <alignment vertical="center"/>
    </xf>
    <xf numFmtId="49" fontId="27" fillId="2" borderId="0" xfId="22" applyNumberFormat="1" applyFont="1" applyFill="1" applyBorder="1" applyAlignment="1">
      <alignment wrapText="1"/>
    </xf>
    <xf numFmtId="2" fontId="33" fillId="2" borderId="0" xfId="22" applyNumberFormat="1" applyFont="1" applyFill="1" applyBorder="1" applyAlignment="1">
      <alignment vertical="center"/>
    </xf>
    <xf numFmtId="2" fontId="27" fillId="2" borderId="0" xfId="22" applyNumberFormat="1" applyFont="1" applyFill="1" applyBorder="1" applyAlignment="1">
      <alignment wrapText="1"/>
    </xf>
    <xf numFmtId="0" fontId="27" fillId="2" borderId="0" xfId="0" applyNumberFormat="1" applyFont="1" applyFill="1" applyBorder="1" applyAlignment="1" applyProtection="1">
      <protection hidden="1"/>
    </xf>
    <xf numFmtId="166" fontId="27" fillId="11" borderId="48" xfId="0" applyNumberFormat="1" applyFont="1" applyFill="1" applyBorder="1" applyAlignment="1" applyProtection="1">
      <protection hidden="1"/>
    </xf>
    <xf numFmtId="2" fontId="27" fillId="11" borderId="0" xfId="0" applyNumberFormat="1" applyFont="1" applyFill="1" applyBorder="1" applyAlignment="1" applyProtection="1">
      <alignment horizontal="center" vertical="center"/>
      <protection hidden="1"/>
    </xf>
    <xf numFmtId="2" fontId="27" fillId="11" borderId="28" xfId="0" applyNumberFormat="1" applyFont="1" applyFill="1" applyBorder="1" applyAlignment="1" applyProtection="1">
      <alignment horizontal="center" vertical="center"/>
      <protection hidden="1"/>
    </xf>
    <xf numFmtId="0" fontId="27" fillId="11" borderId="0" xfId="0" applyNumberFormat="1" applyFont="1" applyFill="1" applyBorder="1" applyAlignment="1" applyProtection="1">
      <alignment horizontal="left" vertical="center"/>
      <protection hidden="1"/>
    </xf>
    <xf numFmtId="166" fontId="27" fillId="11" borderId="0" xfId="0" applyNumberFormat="1" applyFont="1" applyFill="1" applyBorder="1" applyAlignment="1" applyProtection="1">
      <protection hidden="1"/>
    </xf>
    <xf numFmtId="0" fontId="27" fillId="11" borderId="28" xfId="22" applyFont="1" applyFill="1" applyBorder="1"/>
    <xf numFmtId="166" fontId="27" fillId="11" borderId="50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alignment vertical="center"/>
      <protection hidden="1"/>
    </xf>
    <xf numFmtId="2" fontId="27" fillId="11" borderId="48" xfId="0" applyNumberFormat="1" applyFont="1" applyFill="1" applyBorder="1" applyAlignment="1" applyProtection="1">
      <alignment horizontal="center" vertical="center"/>
      <protection hidden="1"/>
    </xf>
    <xf numFmtId="2" fontId="27" fillId="11" borderId="49" xfId="0" applyNumberFormat="1" applyFont="1" applyFill="1" applyBorder="1" applyAlignment="1" applyProtection="1">
      <alignment horizontal="center" vertical="center"/>
      <protection hidden="1"/>
    </xf>
    <xf numFmtId="0" fontId="27" fillId="11" borderId="50" xfId="0" applyNumberFormat="1" applyFont="1" applyFill="1" applyBorder="1" applyAlignment="1" applyProtection="1">
      <alignment horizontal="left" vertical="center"/>
      <protection hidden="1"/>
    </xf>
    <xf numFmtId="2" fontId="27" fillId="11" borderId="50" xfId="0" applyNumberFormat="1" applyFont="1" applyFill="1" applyBorder="1" applyAlignment="1" applyProtection="1">
      <alignment horizontal="center" vertical="center"/>
      <protection hidden="1"/>
    </xf>
    <xf numFmtId="166" fontId="27" fillId="11" borderId="4" xfId="0" applyNumberFormat="1" applyFont="1" applyFill="1" applyBorder="1" applyAlignment="1" applyProtection="1">
      <protection hidden="1"/>
    </xf>
    <xf numFmtId="0" fontId="29" fillId="11" borderId="48" xfId="0" applyNumberFormat="1" applyFont="1" applyFill="1" applyBorder="1" applyAlignment="1" applyProtection="1">
      <alignment horizontal="center"/>
      <protection hidden="1"/>
    </xf>
    <xf numFmtId="0" fontId="29" fillId="11" borderId="49" xfId="22" applyNumberFormat="1" applyFont="1" applyFill="1" applyBorder="1" applyAlignment="1">
      <alignment horizontal="center"/>
    </xf>
    <xf numFmtId="2" fontId="27" fillId="11" borderId="48" xfId="0" applyNumberFormat="1" applyFont="1" applyFill="1" applyBorder="1" applyAlignment="1" applyProtection="1">
      <protection hidden="1"/>
    </xf>
    <xf numFmtId="2" fontId="27" fillId="11" borderId="50" xfId="0" applyNumberFormat="1" applyFont="1" applyFill="1" applyBorder="1" applyAlignment="1" applyProtection="1">
      <protection hidden="1"/>
    </xf>
    <xf numFmtId="2" fontId="27" fillId="11" borderId="49" xfId="0" applyNumberFormat="1" applyFont="1" applyFill="1" applyBorder="1" applyAlignment="1" applyProtection="1">
      <protection hidden="1"/>
    </xf>
    <xf numFmtId="2" fontId="27" fillId="11" borderId="32" xfId="0" applyNumberFormat="1" applyFont="1" applyFill="1" applyBorder="1" applyAlignment="1" applyProtection="1">
      <protection hidden="1"/>
    </xf>
    <xf numFmtId="0" fontId="29" fillId="5" borderId="36" xfId="36" applyFont="1" applyFill="1" applyBorder="1" applyAlignment="1">
      <alignment horizontal="center" vertical="center" wrapText="1"/>
    </xf>
    <xf numFmtId="10" fontId="27" fillId="2" borderId="2" xfId="38" applyNumberFormat="1" applyFont="1" applyFill="1" applyBorder="1" applyAlignment="1" applyProtection="1">
      <alignment vertical="center"/>
      <protection hidden="1"/>
    </xf>
    <xf numFmtId="2" fontId="27" fillId="11" borderId="32" xfId="22" applyNumberFormat="1" applyFont="1" applyFill="1" applyBorder="1" applyAlignment="1">
      <alignment horizontal="center" vertical="center"/>
    </xf>
    <xf numFmtId="0" fontId="27" fillId="2" borderId="0" xfId="22" applyNumberFormat="1" applyFont="1" applyFill="1" applyBorder="1"/>
    <xf numFmtId="49" fontId="27" fillId="2" borderId="0" xfId="22" applyNumberFormat="1" applyFont="1" applyFill="1" applyAlignment="1"/>
    <xf numFmtId="49" fontId="27" fillId="2" borderId="0" xfId="22" applyNumberFormat="1" applyFont="1" applyFill="1" applyAlignment="1">
      <alignment wrapText="1"/>
    </xf>
    <xf numFmtId="0" fontId="27" fillId="2" borderId="0" xfId="22" applyNumberFormat="1" applyFont="1" applyFill="1"/>
    <xf numFmtId="0" fontId="27" fillId="2" borderId="0" xfId="22" applyFont="1" applyFill="1" applyBorder="1" applyAlignment="1">
      <alignment wrapText="1"/>
    </xf>
    <xf numFmtId="0" fontId="27" fillId="2" borderId="0" xfId="22" applyFont="1" applyFill="1" applyBorder="1" applyAlignment="1">
      <alignment horizontal="center" wrapText="1"/>
    </xf>
    <xf numFmtId="0" fontId="27" fillId="2" borderId="0" xfId="22" applyFont="1" applyFill="1" applyBorder="1" applyAlignment="1">
      <alignment horizontal="right"/>
    </xf>
    <xf numFmtId="0" fontId="27" fillId="2" borderId="0" xfId="22" applyFont="1" applyFill="1" applyAlignment="1">
      <alignment wrapText="1"/>
    </xf>
    <xf numFmtId="2" fontId="27" fillId="2" borderId="0" xfId="22" applyNumberFormat="1" applyFont="1" applyFill="1" applyBorder="1" applyAlignment="1">
      <alignment horizontal="right"/>
    </xf>
    <xf numFmtId="0" fontId="32" fillId="2" borderId="0" xfId="22" applyFont="1" applyFill="1" applyBorder="1"/>
    <xf numFmtId="0" fontId="27" fillId="2" borderId="35" xfId="22" applyFont="1" applyFill="1" applyBorder="1"/>
    <xf numFmtId="2" fontId="29" fillId="2" borderId="6" xfId="22" applyNumberFormat="1" applyFont="1" applyFill="1" applyBorder="1" applyAlignment="1">
      <alignment vertical="center"/>
    </xf>
    <xf numFmtId="165" fontId="29" fillId="2" borderId="5" xfId="22" applyNumberFormat="1" applyFont="1" applyFill="1" applyBorder="1" applyAlignment="1">
      <alignment vertical="center"/>
    </xf>
    <xf numFmtId="4" fontId="29" fillId="2" borderId="24" xfId="22" applyNumberFormat="1" applyFont="1" applyFill="1" applyBorder="1" applyAlignment="1">
      <alignment vertical="center"/>
    </xf>
    <xf numFmtId="0" fontId="28" fillId="12" borderId="6" xfId="22" applyFont="1" applyFill="1" applyBorder="1" applyAlignment="1">
      <alignment vertical="center"/>
    </xf>
    <xf numFmtId="0" fontId="29" fillId="8" borderId="33" xfId="22" applyFont="1" applyFill="1" applyBorder="1" applyAlignment="1">
      <alignment horizontal="center" vertical="center" wrapText="1"/>
    </xf>
    <xf numFmtId="2" fontId="29" fillId="8" borderId="6" xfId="22" applyNumberFormat="1" applyFont="1" applyFill="1" applyBorder="1" applyAlignment="1">
      <alignment vertical="center"/>
    </xf>
    <xf numFmtId="165" fontId="29" fillId="2" borderId="30" xfId="36" applyNumberFormat="1" applyFont="1" applyFill="1" applyBorder="1" applyAlignment="1">
      <alignment vertical="center"/>
    </xf>
    <xf numFmtId="165" fontId="27" fillId="0" borderId="30" xfId="36" applyNumberFormat="1" applyFont="1" applyFill="1" applyBorder="1" applyAlignment="1">
      <alignment vertical="center"/>
    </xf>
    <xf numFmtId="165" fontId="27" fillId="2" borderId="30" xfId="36" applyNumberFormat="1" applyFont="1" applyFill="1" applyBorder="1" applyAlignment="1">
      <alignment vertical="center"/>
    </xf>
    <xf numFmtId="0" fontId="29" fillId="8" borderId="36" xfId="22" applyFont="1" applyFill="1" applyBorder="1" applyAlignment="1">
      <alignment horizontal="center" vertical="center" wrapText="1"/>
    </xf>
    <xf numFmtId="4" fontId="29" fillId="2" borderId="14" xfId="36" applyNumberFormat="1" applyFont="1" applyFill="1" applyBorder="1" applyAlignment="1">
      <alignment vertical="center"/>
    </xf>
    <xf numFmtId="0" fontId="31" fillId="2" borderId="0" xfId="22" applyFont="1" applyFill="1" applyBorder="1"/>
    <xf numFmtId="165" fontId="29" fillId="5" borderId="5" xfId="36" applyNumberFormat="1" applyFont="1" applyFill="1" applyBorder="1" applyAlignment="1">
      <alignment vertical="center"/>
    </xf>
    <xf numFmtId="165" fontId="29" fillId="2" borderId="5" xfId="36" applyNumberFormat="1" applyFont="1" applyFill="1" applyBorder="1" applyAlignment="1">
      <alignment vertical="center"/>
    </xf>
    <xf numFmtId="0" fontId="31" fillId="2" borderId="22" xfId="36" applyFont="1" applyFill="1" applyBorder="1" applyAlignment="1"/>
    <xf numFmtId="165" fontId="29" fillId="5" borderId="11" xfId="36" applyNumberFormat="1" applyFont="1" applyFill="1" applyBorder="1" applyAlignment="1">
      <alignment vertical="center"/>
    </xf>
    <xf numFmtId="165" fontId="29" fillId="0" borderId="30" xfId="36" applyNumberFormat="1" applyFont="1" applyFill="1" applyBorder="1" applyAlignment="1">
      <alignment vertical="center"/>
    </xf>
    <xf numFmtId="0" fontId="28" fillId="7" borderId="6" xfId="22" applyFont="1" applyFill="1" applyBorder="1" applyAlignment="1">
      <alignment vertical="center"/>
    </xf>
    <xf numFmtId="0" fontId="29" fillId="6" borderId="33" xfId="22" applyFont="1" applyFill="1" applyBorder="1" applyAlignment="1">
      <alignment horizontal="center" vertical="center" wrapText="1"/>
    </xf>
    <xf numFmtId="0" fontId="29" fillId="6" borderId="19" xfId="22" applyFont="1" applyFill="1" applyBorder="1" applyAlignment="1">
      <alignment horizontal="center" vertical="center" wrapText="1"/>
    </xf>
    <xf numFmtId="0" fontId="29" fillId="6" borderId="22" xfId="22" applyFont="1" applyFill="1" applyBorder="1" applyAlignment="1">
      <alignment horizontal="center" vertical="center" wrapText="1"/>
    </xf>
    <xf numFmtId="0" fontId="29" fillId="6" borderId="37" xfId="22" applyFont="1" applyFill="1" applyBorder="1" applyAlignment="1">
      <alignment horizontal="center" vertical="center" wrapText="1"/>
    </xf>
    <xf numFmtId="0" fontId="29" fillId="6" borderId="18" xfId="22" applyFont="1" applyFill="1" applyBorder="1" applyAlignment="1">
      <alignment horizontal="center" vertical="center" wrapText="1"/>
    </xf>
    <xf numFmtId="165" fontId="29" fillId="6" borderId="5" xfId="22" applyNumberFormat="1" applyFont="1" applyFill="1" applyBorder="1" applyAlignment="1">
      <alignment vertical="center"/>
    </xf>
    <xf numFmtId="0" fontId="28" fillId="2" borderId="0" xfId="22" applyFont="1" applyFill="1" applyBorder="1"/>
    <xf numFmtId="0" fontId="28" fillId="2" borderId="0" xfId="22" applyFont="1" applyFill="1" applyBorder="1" applyAlignment="1">
      <alignment vertical="center"/>
    </xf>
    <xf numFmtId="165" fontId="29" fillId="6" borderId="11" xfId="36" applyNumberFormat="1" applyFont="1" applyFill="1" applyBorder="1" applyAlignment="1">
      <alignment vertical="center"/>
    </xf>
    <xf numFmtId="165" fontId="29" fillId="6" borderId="5" xfId="36" applyNumberFormat="1" applyFont="1" applyFill="1" applyBorder="1" applyAlignment="1">
      <alignment vertical="center"/>
    </xf>
    <xf numFmtId="2" fontId="29" fillId="6" borderId="6" xfId="22" applyNumberFormat="1" applyFont="1" applyFill="1" applyBorder="1" applyAlignment="1">
      <alignment vertical="center"/>
    </xf>
    <xf numFmtId="0" fontId="1" fillId="0" borderId="0" xfId="37" applyFont="1"/>
    <xf numFmtId="0" fontId="28" fillId="9" borderId="6" xfId="22" applyFont="1" applyFill="1" applyBorder="1" applyAlignment="1">
      <alignment vertical="center"/>
    </xf>
    <xf numFmtId="0" fontId="36" fillId="0" borderId="0" xfId="0" applyFont="1"/>
    <xf numFmtId="175" fontId="0" fillId="0" borderId="0" xfId="0" applyNumberFormat="1"/>
    <xf numFmtId="0" fontId="27" fillId="2" borderId="35" xfId="22" applyFont="1" applyFill="1" applyBorder="1" applyAlignment="1"/>
    <xf numFmtId="0" fontId="29" fillId="5" borderId="0" xfId="36" applyFont="1" applyFill="1" applyBorder="1" applyAlignment="1">
      <alignment horizontal="center" vertical="center" wrapText="1"/>
    </xf>
    <xf numFmtId="165" fontId="27" fillId="10" borderId="30" xfId="36" applyNumberFormat="1" applyFont="1" applyFill="1" applyBorder="1" applyAlignment="1">
      <alignment vertical="center"/>
    </xf>
    <xf numFmtId="4" fontId="27" fillId="10" borderId="14" xfId="22" applyNumberFormat="1" applyFont="1" applyFill="1" applyBorder="1" applyAlignment="1">
      <alignment vertical="center"/>
    </xf>
    <xf numFmtId="165" fontId="29" fillId="10" borderId="5" xfId="22" applyNumberFormat="1" applyFont="1" applyFill="1" applyBorder="1" applyAlignment="1">
      <alignment vertical="center"/>
    </xf>
    <xf numFmtId="4" fontId="29" fillId="10" borderId="24" xfId="22" applyNumberFormat="1" applyFont="1" applyFill="1" applyBorder="1" applyAlignment="1">
      <alignment vertical="center"/>
    </xf>
    <xf numFmtId="0" fontId="27" fillId="2" borderId="0" xfId="39" applyFont="1" applyFill="1"/>
    <xf numFmtId="2" fontId="33" fillId="2" borderId="0" xfId="39" applyNumberFormat="1" applyFont="1" applyFill="1" applyBorder="1" applyAlignment="1">
      <alignment vertical="center"/>
    </xf>
    <xf numFmtId="0" fontId="27" fillId="2" borderId="0" xfId="39" applyFont="1" applyFill="1" applyBorder="1"/>
    <xf numFmtId="49" fontId="27" fillId="2" borderId="0" xfId="39" applyNumberFormat="1" applyFont="1" applyFill="1" applyBorder="1" applyAlignment="1">
      <alignment wrapText="1"/>
    </xf>
    <xf numFmtId="49" fontId="27" fillId="2" borderId="0" xfId="39" applyNumberFormat="1" applyFont="1" applyFill="1" applyAlignment="1">
      <alignment horizontal="right" wrapText="1"/>
    </xf>
    <xf numFmtId="165" fontId="27" fillId="2" borderId="21" xfId="39" applyNumberFormat="1" applyFont="1" applyFill="1" applyBorder="1"/>
    <xf numFmtId="0" fontId="27" fillId="2" borderId="21" xfId="39" applyFont="1" applyFill="1" applyBorder="1"/>
    <xf numFmtId="165" fontId="27" fillId="2" borderId="0" xfId="39" applyNumberFormat="1" applyFont="1" applyFill="1" applyBorder="1" applyAlignment="1">
      <alignment vertical="center"/>
    </xf>
    <xf numFmtId="2" fontId="29" fillId="2" borderId="10" xfId="22" applyNumberFormat="1" applyFont="1" applyFill="1" applyBorder="1" applyAlignment="1">
      <alignment vertical="center"/>
    </xf>
    <xf numFmtId="0" fontId="27" fillId="2" borderId="10" xfId="22" applyFont="1" applyFill="1" applyBorder="1"/>
    <xf numFmtId="4" fontId="27" fillId="2" borderId="0" xfId="39" applyNumberFormat="1" applyFont="1" applyFill="1" applyBorder="1"/>
    <xf numFmtId="0" fontId="27" fillId="2" borderId="16" xfId="22" applyFont="1" applyFill="1" applyBorder="1"/>
    <xf numFmtId="0" fontId="29" fillId="5" borderId="22" xfId="36" applyFont="1" applyFill="1" applyBorder="1" applyAlignment="1">
      <alignment horizontal="center" vertical="center" wrapText="1"/>
    </xf>
    <xf numFmtId="0" fontId="29" fillId="5" borderId="37" xfId="36" applyFont="1" applyFill="1" applyBorder="1" applyAlignment="1">
      <alignment horizontal="center" vertical="center" wrapText="1"/>
    </xf>
    <xf numFmtId="0" fontId="29" fillId="5" borderId="11" xfId="36" applyFont="1" applyFill="1" applyBorder="1" applyAlignment="1">
      <alignment horizontal="center" vertical="center" wrapText="1"/>
    </xf>
    <xf numFmtId="166" fontId="30" fillId="2" borderId="0" xfId="0" applyNumberFormat="1" applyFont="1" applyFill="1" applyBorder="1" applyAlignment="1" applyProtection="1">
      <alignment vertical="center"/>
      <protection hidden="1"/>
    </xf>
    <xf numFmtId="165" fontId="29" fillId="14" borderId="30" xfId="22" applyNumberFormat="1" applyFont="1" applyFill="1" applyBorder="1" applyAlignment="1">
      <alignment vertical="center"/>
    </xf>
    <xf numFmtId="165" fontId="29" fillId="14" borderId="5" xfId="22" applyNumberFormat="1" applyFont="1" applyFill="1" applyBorder="1" applyAlignment="1">
      <alignment vertical="center"/>
    </xf>
    <xf numFmtId="165" fontId="29" fillId="14" borderId="30" xfId="36" applyNumberFormat="1" applyFont="1" applyFill="1" applyBorder="1" applyAlignment="1">
      <alignment vertical="center"/>
    </xf>
    <xf numFmtId="165" fontId="27" fillId="14" borderId="30" xfId="36" applyNumberFormat="1" applyFont="1" applyFill="1" applyBorder="1" applyAlignment="1">
      <alignment vertical="center"/>
    </xf>
    <xf numFmtId="165" fontId="29" fillId="14" borderId="5" xfId="36" applyNumberFormat="1" applyFont="1" applyFill="1" applyBorder="1" applyAlignment="1">
      <alignment vertical="center"/>
    </xf>
    <xf numFmtId="176" fontId="27" fillId="2" borderId="0" xfId="22" applyNumberFormat="1" applyFont="1" applyFill="1"/>
    <xf numFmtId="2" fontId="27" fillId="2" borderId="6" xfId="22" applyNumberFormat="1" applyFont="1" applyFill="1" applyBorder="1" applyAlignment="1">
      <alignment vertical="center"/>
    </xf>
    <xf numFmtId="165" fontId="27" fillId="2" borderId="5" xfId="36" applyNumberFormat="1" applyFont="1" applyFill="1" applyBorder="1" applyAlignment="1">
      <alignment vertical="center"/>
    </xf>
    <xf numFmtId="165" fontId="27" fillId="14" borderId="5" xfId="36" applyNumberFormat="1" applyFont="1" applyFill="1" applyBorder="1" applyAlignment="1">
      <alignment vertical="center"/>
    </xf>
    <xf numFmtId="2" fontId="27" fillId="2" borderId="0" xfId="22" applyNumberFormat="1" applyFont="1" applyFill="1"/>
    <xf numFmtId="165" fontId="29" fillId="8" borderId="5" xfId="0" applyNumberFormat="1" applyFont="1" applyFill="1" applyBorder="1"/>
    <xf numFmtId="165" fontId="29" fillId="2" borderId="29" xfId="0" applyNumberFormat="1" applyFont="1" applyFill="1" applyBorder="1"/>
    <xf numFmtId="165" fontId="29" fillId="14" borderId="29" xfId="0" applyNumberFormat="1" applyFont="1" applyFill="1" applyBorder="1"/>
    <xf numFmtId="165" fontId="27" fillId="2" borderId="30" xfId="0" applyNumberFormat="1" applyFont="1" applyFill="1" applyBorder="1"/>
    <xf numFmtId="165" fontId="27" fillId="14" borderId="30" xfId="0" applyNumberFormat="1" applyFont="1" applyFill="1" applyBorder="1"/>
    <xf numFmtId="165" fontId="29" fillId="2" borderId="30" xfId="0" applyNumberFormat="1" applyFont="1" applyFill="1" applyBorder="1"/>
    <xf numFmtId="165" fontId="29" fillId="14" borderId="30" xfId="0" applyNumberFormat="1" applyFont="1" applyFill="1" applyBorder="1"/>
    <xf numFmtId="165" fontId="29" fillId="8" borderId="5" xfId="22" applyNumberFormat="1" applyFont="1" applyFill="1" applyBorder="1" applyAlignment="1">
      <alignment vertical="center"/>
    </xf>
    <xf numFmtId="165" fontId="29" fillId="8" borderId="5" xfId="36" applyNumberFormat="1" applyFont="1" applyFill="1" applyBorder="1" applyAlignment="1">
      <alignment vertical="center"/>
    </xf>
    <xf numFmtId="165" fontId="29" fillId="2" borderId="11" xfId="0" applyNumberFormat="1" applyFont="1" applyFill="1" applyBorder="1"/>
    <xf numFmtId="165" fontId="29" fillId="14" borderId="11" xfId="0" applyNumberFormat="1" applyFont="1" applyFill="1" applyBorder="1"/>
    <xf numFmtId="165" fontId="29" fillId="2" borderId="15" xfId="0" applyNumberFormat="1" applyFont="1" applyFill="1" applyBorder="1"/>
    <xf numFmtId="165" fontId="29" fillId="14" borderId="15" xfId="0" applyNumberFormat="1" applyFont="1" applyFill="1" applyBorder="1"/>
    <xf numFmtId="165" fontId="29" fillId="2" borderId="5" xfId="0" applyNumberFormat="1" applyFont="1" applyFill="1" applyBorder="1"/>
    <xf numFmtId="165" fontId="29" fillId="14" borderId="5" xfId="0" applyNumberFormat="1" applyFont="1" applyFill="1" applyBorder="1"/>
    <xf numFmtId="165" fontId="27" fillId="2" borderId="29" xfId="36" applyNumberFormat="1" applyFont="1" applyFill="1" applyBorder="1"/>
    <xf numFmtId="165" fontId="27" fillId="14" borderId="29" xfId="0" applyNumberFormat="1" applyFont="1" applyFill="1" applyBorder="1"/>
    <xf numFmtId="165" fontId="27" fillId="2" borderId="30" xfId="36" applyNumberFormat="1" applyFont="1" applyFill="1" applyBorder="1"/>
    <xf numFmtId="0" fontId="38" fillId="2" borderId="22" xfId="36" applyFont="1" applyFill="1" applyBorder="1" applyAlignment="1"/>
    <xf numFmtId="165" fontId="27" fillId="2" borderId="21" xfId="36" applyNumberFormat="1" applyFont="1" applyFill="1" applyBorder="1" applyAlignment="1">
      <alignment horizontal="center" wrapText="1"/>
    </xf>
    <xf numFmtId="2" fontId="16" fillId="2" borderId="16" xfId="22" applyNumberFormat="1" applyFont="1" applyFill="1" applyBorder="1" applyAlignment="1">
      <alignment vertical="center"/>
    </xf>
    <xf numFmtId="167" fontId="29" fillId="5" borderId="36" xfId="22" applyNumberFormat="1" applyFont="1" applyFill="1" applyBorder="1" applyAlignment="1">
      <alignment vertical="center"/>
    </xf>
    <xf numFmtId="167" fontId="29" fillId="2" borderId="12" xfId="22" applyNumberFormat="1" applyFont="1" applyFill="1" applyBorder="1" applyAlignment="1">
      <alignment vertical="center"/>
    </xf>
    <xf numFmtId="167" fontId="27" fillId="2" borderId="12" xfId="22" applyNumberFormat="1" applyFont="1" applyFill="1" applyBorder="1" applyAlignment="1">
      <alignment vertical="center"/>
    </xf>
    <xf numFmtId="167" fontId="29" fillId="5" borderId="13" xfId="22" applyNumberFormat="1" applyFont="1" applyFill="1" applyBorder="1" applyAlignment="1">
      <alignment vertical="center"/>
    </xf>
    <xf numFmtId="167" fontId="29" fillId="2" borderId="12" xfId="36" applyNumberFormat="1" applyFont="1" applyFill="1" applyBorder="1" applyAlignment="1">
      <alignment vertical="center"/>
    </xf>
    <xf numFmtId="167" fontId="29" fillId="2" borderId="13" xfId="22" applyNumberFormat="1" applyFont="1" applyFill="1" applyBorder="1" applyAlignment="1">
      <alignment vertical="center"/>
    </xf>
    <xf numFmtId="167" fontId="27" fillId="2" borderId="13" xfId="22" applyNumberFormat="1" applyFont="1" applyFill="1" applyBorder="1" applyAlignment="1">
      <alignment vertical="center"/>
    </xf>
    <xf numFmtId="167" fontId="27" fillId="0" borderId="12" xfId="22" applyNumberFormat="1" applyFont="1" applyFill="1" applyBorder="1" applyAlignment="1">
      <alignment vertical="center"/>
    </xf>
    <xf numFmtId="167" fontId="29" fillId="5" borderId="24" xfId="36" applyNumberFormat="1" applyFont="1" applyFill="1" applyBorder="1" applyAlignment="1">
      <alignment vertical="center"/>
    </xf>
    <xf numFmtId="167" fontId="29" fillId="2" borderId="14" xfId="36" applyNumberFormat="1" applyFont="1" applyFill="1" applyBorder="1" applyAlignment="1">
      <alignment vertical="center"/>
    </xf>
    <xf numFmtId="167" fontId="27" fillId="2" borderId="14" xfId="36" applyNumberFormat="1" applyFont="1" applyFill="1" applyBorder="1" applyAlignment="1">
      <alignment vertical="center"/>
    </xf>
    <xf numFmtId="167" fontId="29" fillId="2" borderId="24" xfId="36" applyNumberFormat="1" applyFont="1" applyFill="1" applyBorder="1" applyAlignment="1">
      <alignment vertical="center"/>
    </xf>
    <xf numFmtId="167" fontId="27" fillId="2" borderId="24" xfId="36" applyNumberFormat="1" applyFont="1" applyFill="1" applyBorder="1" applyAlignment="1">
      <alignment vertical="center"/>
    </xf>
    <xf numFmtId="167" fontId="27" fillId="0" borderId="14" xfId="36" applyNumberFormat="1" applyFont="1" applyFill="1" applyBorder="1" applyAlignment="1">
      <alignment vertical="center"/>
    </xf>
    <xf numFmtId="167" fontId="29" fillId="14" borderId="12" xfId="22" applyNumberFormat="1" applyFont="1" applyFill="1" applyBorder="1" applyAlignment="1">
      <alignment vertical="center"/>
    </xf>
    <xf numFmtId="167" fontId="27" fillId="14" borderId="12" xfId="22" applyNumberFormat="1" applyFont="1" applyFill="1" applyBorder="1" applyAlignment="1">
      <alignment vertical="center"/>
    </xf>
    <xf numFmtId="167" fontId="29" fillId="14" borderId="12" xfId="36" applyNumberFormat="1" applyFont="1" applyFill="1" applyBorder="1" applyAlignment="1">
      <alignment vertical="center"/>
    </xf>
    <xf numFmtId="167" fontId="29" fillId="14" borderId="13" xfId="22" applyNumberFormat="1" applyFont="1" applyFill="1" applyBorder="1" applyAlignment="1">
      <alignment horizontal="center" vertical="center"/>
    </xf>
    <xf numFmtId="167" fontId="27" fillId="14" borderId="13" xfId="22" applyNumberFormat="1" applyFont="1" applyFill="1" applyBorder="1" applyAlignment="1">
      <alignment horizontal="center" vertical="center"/>
    </xf>
    <xf numFmtId="167" fontId="29" fillId="14" borderId="12" xfId="22" applyNumberFormat="1" applyFont="1" applyFill="1" applyBorder="1" applyAlignment="1">
      <alignment horizontal="center" vertical="center"/>
    </xf>
    <xf numFmtId="167" fontId="29" fillId="14" borderId="13" xfId="22" applyNumberFormat="1" applyFont="1" applyFill="1" applyBorder="1" applyAlignment="1">
      <alignment vertical="center"/>
    </xf>
    <xf numFmtId="167" fontId="29" fillId="8" borderId="13" xfId="0" applyNumberFormat="1" applyFont="1" applyFill="1" applyBorder="1"/>
    <xf numFmtId="167" fontId="29" fillId="2" borderId="34" xfId="0" applyNumberFormat="1" applyFont="1" applyFill="1" applyBorder="1"/>
    <xf numFmtId="167" fontId="27" fillId="2" borderId="12" xfId="0" applyNumberFormat="1" applyFont="1" applyFill="1" applyBorder="1"/>
    <xf numFmtId="167" fontId="29" fillId="2" borderId="12" xfId="0" applyNumberFormat="1" applyFont="1" applyFill="1" applyBorder="1"/>
    <xf numFmtId="167" fontId="29" fillId="8" borderId="13" xfId="22" applyNumberFormat="1" applyFont="1" applyFill="1" applyBorder="1" applyAlignment="1">
      <alignment vertical="center"/>
    </xf>
    <xf numFmtId="167" fontId="29" fillId="2" borderId="36" xfId="0" applyNumberFormat="1" applyFont="1" applyFill="1" applyBorder="1"/>
    <xf numFmtId="167" fontId="29" fillId="2" borderId="53" xfId="0" applyNumberFormat="1" applyFont="1" applyFill="1" applyBorder="1"/>
    <xf numFmtId="167" fontId="29" fillId="2" borderId="13" xfId="0" applyNumberFormat="1" applyFont="1" applyFill="1" applyBorder="1"/>
    <xf numFmtId="167" fontId="27" fillId="2" borderId="34" xfId="0" applyNumberFormat="1" applyFont="1" applyFill="1" applyBorder="1"/>
    <xf numFmtId="167" fontId="29" fillId="14" borderId="34" xfId="0" applyNumberFormat="1" applyFont="1" applyFill="1" applyBorder="1"/>
    <xf numFmtId="167" fontId="27" fillId="14" borderId="12" xfId="0" applyNumberFormat="1" applyFont="1" applyFill="1" applyBorder="1"/>
    <xf numFmtId="167" fontId="29" fillId="14" borderId="12" xfId="0" applyNumberFormat="1" applyFont="1" applyFill="1" applyBorder="1"/>
    <xf numFmtId="167" fontId="29" fillId="14" borderId="36" xfId="0" applyNumberFormat="1" applyFont="1" applyFill="1" applyBorder="1"/>
    <xf numFmtId="167" fontId="29" fillId="14" borderId="53" xfId="0" applyNumberFormat="1" applyFont="1" applyFill="1" applyBorder="1"/>
    <xf numFmtId="167" fontId="27" fillId="14" borderId="34" xfId="0" applyNumberFormat="1" applyFont="1" applyFill="1" applyBorder="1"/>
    <xf numFmtId="167" fontId="29" fillId="6" borderId="24" xfId="22" applyNumberFormat="1" applyFont="1" applyFill="1" applyBorder="1" applyAlignment="1">
      <alignment vertical="center"/>
    </xf>
    <xf numFmtId="167" fontId="29" fillId="2" borderId="0" xfId="22" applyNumberFormat="1" applyFont="1" applyFill="1" applyBorder="1" applyAlignment="1">
      <alignment vertical="center"/>
    </xf>
    <xf numFmtId="167" fontId="27" fillId="2" borderId="14" xfId="22" applyNumberFormat="1" applyFont="1" applyFill="1" applyBorder="1" applyAlignment="1">
      <alignment vertical="center"/>
    </xf>
    <xf numFmtId="167" fontId="29" fillId="2" borderId="14" xfId="22" applyNumberFormat="1" applyFont="1" applyFill="1" applyBorder="1" applyAlignment="1">
      <alignment vertical="center"/>
    </xf>
    <xf numFmtId="167" fontId="29" fillId="2" borderId="24" xfId="22" applyNumberFormat="1" applyFont="1" applyFill="1" applyBorder="1" applyAlignment="1">
      <alignment vertical="center"/>
    </xf>
    <xf numFmtId="167" fontId="27" fillId="2" borderId="24" xfId="22" applyNumberFormat="1" applyFont="1" applyFill="1" applyBorder="1" applyAlignment="1">
      <alignment vertical="center"/>
    </xf>
    <xf numFmtId="167" fontId="27" fillId="0" borderId="14" xfId="22" applyNumberFormat="1" applyFont="1" applyFill="1" applyBorder="1" applyAlignment="1">
      <alignment vertical="center"/>
    </xf>
    <xf numFmtId="167" fontId="29" fillId="14" borderId="0" xfId="22" applyNumberFormat="1" applyFont="1" applyFill="1" applyBorder="1" applyAlignment="1">
      <alignment vertical="center"/>
    </xf>
    <xf numFmtId="167" fontId="27" fillId="14" borderId="14" xfId="22" applyNumberFormat="1" applyFont="1" applyFill="1" applyBorder="1" applyAlignment="1">
      <alignment vertical="center"/>
    </xf>
    <xf numFmtId="167" fontId="29" fillId="14" borderId="14" xfId="22" applyNumberFormat="1" applyFont="1" applyFill="1" applyBorder="1" applyAlignment="1">
      <alignment vertical="center"/>
    </xf>
    <xf numFmtId="167" fontId="29" fillId="14" borderId="24" xfId="22" applyNumberFormat="1" applyFont="1" applyFill="1" applyBorder="1" applyAlignment="1">
      <alignment vertical="center"/>
    </xf>
    <xf numFmtId="167" fontId="27" fillId="14" borderId="24" xfId="22" applyNumberFormat="1" applyFont="1" applyFill="1" applyBorder="1" applyAlignment="1">
      <alignment vertical="center"/>
    </xf>
    <xf numFmtId="167" fontId="29" fillId="8" borderId="13" xfId="36" applyNumberFormat="1" applyFont="1" applyFill="1" applyBorder="1" applyAlignment="1">
      <alignment vertical="center"/>
    </xf>
    <xf numFmtId="167" fontId="29" fillId="2" borderId="13" xfId="36" applyNumberFormat="1" applyFont="1" applyFill="1" applyBorder="1" applyAlignment="1">
      <alignment vertical="center"/>
    </xf>
    <xf numFmtId="167" fontId="27" fillId="14" borderId="12" xfId="0" applyNumberFormat="1" applyFont="1" applyFill="1" applyBorder="1" applyAlignment="1">
      <alignment horizontal="right"/>
    </xf>
    <xf numFmtId="2" fontId="29" fillId="5" borderId="10" xfId="22" applyNumberFormat="1" applyFont="1" applyFill="1" applyBorder="1" applyAlignment="1">
      <alignment vertical="center"/>
    </xf>
    <xf numFmtId="165" fontId="16" fillId="2" borderId="30" xfId="36" applyNumberFormat="1" applyFont="1" applyFill="1" applyBorder="1" applyAlignment="1">
      <alignment vertical="center"/>
    </xf>
    <xf numFmtId="165" fontId="29" fillId="15" borderId="5" xfId="36" applyNumberFormat="1" applyFont="1" applyFill="1" applyBorder="1" applyAlignment="1">
      <alignment vertical="center"/>
    </xf>
    <xf numFmtId="0" fontId="27" fillId="2" borderId="0" xfId="22" applyFont="1" applyFill="1" applyAlignment="1">
      <alignment horizontal="right"/>
    </xf>
    <xf numFmtId="165" fontId="27" fillId="2" borderId="11" xfId="36" applyNumberFormat="1" applyFont="1" applyFill="1" applyBorder="1" applyAlignment="1">
      <alignment vertical="center"/>
    </xf>
    <xf numFmtId="49" fontId="27" fillId="2" borderId="0" xfId="22" applyNumberFormat="1" applyFont="1" applyFill="1" applyAlignment="1">
      <alignment horizontal="center" wrapText="1"/>
    </xf>
    <xf numFmtId="49" fontId="41" fillId="2" borderId="0" xfId="22" applyNumberFormat="1" applyFont="1" applyFill="1" applyAlignment="1">
      <alignment wrapText="1"/>
    </xf>
    <xf numFmtId="167" fontId="16" fillId="14" borderId="12" xfId="22" applyNumberFormat="1" applyFont="1" applyFill="1" applyBorder="1" applyAlignment="1">
      <alignment vertical="center"/>
    </xf>
    <xf numFmtId="165" fontId="16" fillId="14" borderId="30" xfId="22" applyNumberFormat="1" applyFont="1" applyFill="1" applyBorder="1" applyAlignment="1">
      <alignment vertical="center"/>
    </xf>
    <xf numFmtId="164" fontId="27" fillId="2" borderId="0" xfId="40" applyFont="1" applyFill="1" applyBorder="1" applyAlignment="1">
      <alignment wrapText="1"/>
    </xf>
    <xf numFmtId="2" fontId="27" fillId="2" borderId="17" xfId="22" applyNumberFormat="1" applyFont="1" applyFill="1" applyBorder="1" applyAlignment="1">
      <alignment vertical="center"/>
    </xf>
    <xf numFmtId="0" fontId="29" fillId="5" borderId="26" xfId="36" applyFont="1" applyFill="1" applyBorder="1" applyAlignment="1">
      <alignment horizontal="center" vertical="center"/>
    </xf>
    <xf numFmtId="0" fontId="29" fillId="5" borderId="27" xfId="36" applyFont="1" applyFill="1" applyBorder="1" applyAlignment="1">
      <alignment horizontal="center" vertical="center"/>
    </xf>
    <xf numFmtId="166" fontId="27" fillId="5" borderId="6" xfId="0" applyNumberFormat="1" applyFont="1" applyFill="1" applyBorder="1" applyAlignment="1" applyProtection="1">
      <alignment horizontal="center" vertical="center"/>
      <protection hidden="1"/>
    </xf>
    <xf numFmtId="166" fontId="27" fillId="5" borderId="23" xfId="0" applyNumberFormat="1" applyFont="1" applyFill="1" applyBorder="1" applyAlignment="1" applyProtection="1">
      <alignment horizontal="center" vertical="center"/>
      <protection hidden="1"/>
    </xf>
    <xf numFmtId="166" fontId="27" fillId="5" borderId="24" xfId="0" applyNumberFormat="1" applyFont="1" applyFill="1" applyBorder="1" applyAlignment="1" applyProtection="1">
      <alignment horizontal="center" vertical="center"/>
      <protection hidden="1"/>
    </xf>
    <xf numFmtId="0" fontId="35" fillId="13" borderId="20" xfId="22" applyFont="1" applyFill="1" applyBorder="1" applyAlignment="1">
      <alignment horizontal="center" vertical="center"/>
    </xf>
    <xf numFmtId="0" fontId="35" fillId="13" borderId="18" xfId="22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5" borderId="10" xfId="0" applyNumberFormat="1" applyFont="1" applyFill="1" applyBorder="1" applyAlignment="1" applyProtection="1">
      <alignment horizontal="center" vertical="center"/>
      <protection hidden="1"/>
    </xf>
    <xf numFmtId="0" fontId="29" fillId="5" borderId="51" xfId="36" applyFont="1" applyFill="1" applyBorder="1" applyAlignment="1">
      <alignment horizontal="center" vertical="center"/>
    </xf>
    <xf numFmtId="0" fontId="29" fillId="5" borderId="52" xfId="36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 applyProtection="1">
      <alignment horizontal="center" vertical="center"/>
      <protection hidden="1"/>
    </xf>
    <xf numFmtId="0" fontId="37" fillId="2" borderId="22" xfId="36" applyFont="1" applyFill="1" applyBorder="1" applyAlignment="1">
      <alignment horizontal="center" wrapText="1"/>
    </xf>
    <xf numFmtId="165" fontId="37" fillId="2" borderId="22" xfId="36" applyNumberFormat="1" applyFont="1" applyFill="1" applyBorder="1" applyAlignment="1">
      <alignment horizontal="center" wrapText="1"/>
    </xf>
    <xf numFmtId="0" fontId="35" fillId="12" borderId="54" xfId="22" applyFont="1" applyFill="1" applyBorder="1" applyAlignment="1">
      <alignment horizontal="center" vertical="center"/>
    </xf>
    <xf numFmtId="0" fontId="35" fillId="12" borderId="17" xfId="22" applyFont="1" applyFill="1" applyBorder="1" applyAlignment="1">
      <alignment horizontal="center" vertical="center"/>
    </xf>
    <xf numFmtId="0" fontId="29" fillId="8" borderId="26" xfId="22" applyFont="1" applyFill="1" applyBorder="1" applyAlignment="1">
      <alignment horizontal="center" vertical="center"/>
    </xf>
    <xf numFmtId="0" fontId="29" fillId="8" borderId="27" xfId="22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8" borderId="6" xfId="0" applyNumberFormat="1" applyFont="1" applyFill="1" applyBorder="1" applyAlignment="1">
      <alignment horizontal="center" vertical="center"/>
    </xf>
    <xf numFmtId="166" fontId="27" fillId="8" borderId="24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/>
    </xf>
    <xf numFmtId="166" fontId="27" fillId="8" borderId="6" xfId="0" applyNumberFormat="1" applyFont="1" applyFill="1" applyBorder="1" applyAlignment="1" applyProtection="1">
      <alignment horizontal="center" vertical="center"/>
      <protection hidden="1"/>
    </xf>
    <xf numFmtId="166" fontId="27" fillId="8" borderId="23" xfId="0" applyNumberFormat="1" applyFont="1" applyFill="1" applyBorder="1" applyAlignment="1" applyProtection="1">
      <alignment horizontal="center" vertical="center"/>
      <protection hidden="1"/>
    </xf>
    <xf numFmtId="166" fontId="27" fillId="8" borderId="24" xfId="0" applyNumberFormat="1" applyFont="1" applyFill="1" applyBorder="1" applyAlignment="1" applyProtection="1">
      <alignment horizontal="center" vertical="center"/>
      <protection hidden="1"/>
    </xf>
    <xf numFmtId="0" fontId="39" fillId="2" borderId="22" xfId="22" applyFont="1" applyFill="1" applyBorder="1" applyAlignment="1">
      <alignment horizontal="center"/>
    </xf>
    <xf numFmtId="166" fontId="27" fillId="6" borderId="6" xfId="0" applyNumberFormat="1" applyFont="1" applyFill="1" applyBorder="1" applyAlignment="1">
      <alignment horizontal="center" vertical="center"/>
    </xf>
    <xf numFmtId="166" fontId="27" fillId="6" borderId="24" xfId="0" applyNumberFormat="1" applyFont="1" applyFill="1" applyBorder="1" applyAlignment="1">
      <alignment horizontal="center" vertical="center"/>
    </xf>
    <xf numFmtId="166" fontId="27" fillId="6" borderId="6" xfId="0" applyNumberFormat="1" applyFont="1" applyFill="1" applyBorder="1" applyAlignment="1" applyProtection="1">
      <alignment horizontal="center" vertical="center"/>
      <protection hidden="1"/>
    </xf>
    <xf numFmtId="166" fontId="27" fillId="6" borderId="23" xfId="0" applyNumberFormat="1" applyFont="1" applyFill="1" applyBorder="1" applyAlignment="1" applyProtection="1">
      <alignment horizontal="center" vertical="center"/>
      <protection hidden="1"/>
    </xf>
    <xf numFmtId="166" fontId="27" fillId="6" borderId="24" xfId="0" applyNumberFormat="1" applyFont="1" applyFill="1" applyBorder="1" applyAlignment="1" applyProtection="1">
      <alignment horizontal="center" vertical="center"/>
      <protection hidden="1"/>
    </xf>
    <xf numFmtId="0" fontId="35" fillId="7" borderId="20" xfId="22" applyFont="1" applyFill="1" applyBorder="1" applyAlignment="1">
      <alignment horizontal="center" vertical="center"/>
    </xf>
    <xf numFmtId="0" fontId="35" fillId="7" borderId="18" xfId="22" applyFont="1" applyFill="1" applyBorder="1" applyAlignment="1">
      <alignment horizontal="center" vertical="center"/>
    </xf>
    <xf numFmtId="0" fontId="29" fillId="6" borderId="26" xfId="22" applyFont="1" applyFill="1" applyBorder="1" applyAlignment="1">
      <alignment horizontal="center" vertical="center"/>
    </xf>
    <xf numFmtId="0" fontId="29" fillId="6" borderId="27" xfId="22" applyFont="1" applyFill="1" applyBorder="1" applyAlignment="1">
      <alignment horizontal="center" vertical="center"/>
    </xf>
    <xf numFmtId="0" fontId="40" fillId="2" borderId="22" xfId="22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45"/>
    </xf>
    <xf numFmtId="0" fontId="16" fillId="0" borderId="0" xfId="0" applyFont="1" applyFill="1" applyAlignment="1">
      <alignment horizontal="center" vertical="center" textRotation="45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" fontId="16" fillId="0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</cellXfs>
  <cellStyles count="41">
    <cellStyle name="1 indent" xfId="1"/>
    <cellStyle name="2 indents" xfId="2"/>
    <cellStyle name="3 indents" xfId="3"/>
    <cellStyle name="4 indents" xfId="4"/>
    <cellStyle name="Currency" xfId="40" builtinId="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3"/>
    <cellStyle name="Normal 11" xfId="34"/>
    <cellStyle name="Normal 12" xfId="35"/>
    <cellStyle name="Normal 2" xfId="22"/>
    <cellStyle name="Normal 2 2" xfId="36"/>
    <cellStyle name="Normal 2 2 2" xfId="39"/>
    <cellStyle name="Normal 3" xfId="26"/>
    <cellStyle name="Normal 4" xfId="27"/>
    <cellStyle name="Normal 4 2" xfId="37"/>
    <cellStyle name="Normal 5" xfId="28"/>
    <cellStyle name="Normal 6" xfId="29"/>
    <cellStyle name="Normal 7" xfId="30"/>
    <cellStyle name="Normal 8" xfId="31"/>
    <cellStyle name="Normal 9" xfId="32"/>
    <cellStyle name="Obično_KnjigaZIKS i Min pomorstva i saobracaja" xfId="23"/>
    <cellStyle name="Percent" xfId="38" builtinId="5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7E0000"/>
      <color rgb="FFCCECFF"/>
      <color rgb="FFCCFFFF"/>
      <color rgb="FFFFFFCC"/>
      <color rgb="FF910000"/>
      <color rgb="FF820000"/>
      <color rgb="FF5A0000"/>
      <color rgb="FF640000"/>
      <color rgb="FF6E0000"/>
      <color rgb="FF73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630087378318533E-2"/>
          <c:y val="9.306722076407227E-2"/>
          <c:w val="0.91423489152463533"/>
          <c:h val="0.80647637795275018"/>
        </c:manualLayout>
      </c:layout>
      <c:lineChart>
        <c:grouping val="standard"/>
        <c:ser>
          <c:idx val="0"/>
          <c:order val="0"/>
          <c:tx>
            <c:strRef>
              <c:f>Sheet1!$C$5</c:f>
              <c:strCache>
                <c:ptCount val="1"/>
                <c:pt idx="0">
                  <c:v>Mjesečni plan prihoda 2014</c:v>
                </c:pt>
              </c:strCache>
            </c:strRef>
          </c:tx>
          <c:spPr>
            <a:ln>
              <a:solidFill>
                <a:srgbClr val="910000"/>
              </a:solidFill>
              <a:prstDash val="sysDash"/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Sheet1!$D$5:$O$5</c:f>
              <c:numCache>
                <c:formatCode>#,##0.0,,</c:formatCode>
                <c:ptCount val="12"/>
                <c:pt idx="0">
                  <c:v>62425293.156965584</c:v>
                </c:pt>
                <c:pt idx="1">
                  <c:v>79762187.59852089</c:v>
                </c:pt>
                <c:pt idx="2">
                  <c:v>89318688.151918903</c:v>
                </c:pt>
                <c:pt idx="3">
                  <c:v>106294081.27535464</c:v>
                </c:pt>
                <c:pt idx="4">
                  <c:v>97189661.825924918</c:v>
                </c:pt>
                <c:pt idx="5">
                  <c:v>105191801.34506513</c:v>
                </c:pt>
                <c:pt idx="6">
                  <c:v>123272889.17858437</c:v>
                </c:pt>
                <c:pt idx="7">
                  <c:v>125579133.65326507</c:v>
                </c:pt>
                <c:pt idx="8">
                  <c:v>121047897.33843082</c:v>
                </c:pt>
                <c:pt idx="9">
                  <c:v>114789505.85515907</c:v>
                </c:pt>
                <c:pt idx="10">
                  <c:v>97406301.479715049</c:v>
                </c:pt>
                <c:pt idx="11">
                  <c:v>145778958.57826602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214-4F9C-9597-60FBFB448219}"/>
            </c:ext>
          </c:extLst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Mjesečna procjena prihoda 2014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1"/>
            <c:spPr>
              <a:ln>
                <a:solidFill>
                  <a:schemeClr val="tx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214-4F9C-9597-60FBFB448219}"/>
              </c:ext>
            </c:extLst>
          </c:dPt>
          <c:dPt>
            <c:idx val="2"/>
            <c:spPr>
              <a:ln>
                <a:solidFill>
                  <a:schemeClr val="tx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214-4F9C-9597-60FBFB448219}"/>
              </c:ext>
            </c:extLst>
          </c:dPt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Sheet1!$D$6:$O$6</c:f>
              <c:numCache>
                <c:formatCode>#,##0.0,,</c:formatCode>
                <c:ptCount val="12"/>
                <c:pt idx="0">
                  <c:v>70632268.589999989</c:v>
                </c:pt>
                <c:pt idx="1">
                  <c:v>81381758.450000018</c:v>
                </c:pt>
                <c:pt idx="2">
                  <c:v>100495765.61000001</c:v>
                </c:pt>
                <c:pt idx="3">
                  <c:v>107356417.33534782</c:v>
                </c:pt>
                <c:pt idx="4">
                  <c:v>98816734.644163221</c:v>
                </c:pt>
                <c:pt idx="5">
                  <c:v>107147051.5707173</c:v>
                </c:pt>
                <c:pt idx="6">
                  <c:v>125666748.8575906</c:v>
                </c:pt>
                <c:pt idx="7">
                  <c:v>127890096.38694921</c:v>
                </c:pt>
                <c:pt idx="8">
                  <c:v>123465322.33433203</c:v>
                </c:pt>
                <c:pt idx="9">
                  <c:v>117130344.73943919</c:v>
                </c:pt>
                <c:pt idx="10">
                  <c:v>99294843.070796907</c:v>
                </c:pt>
                <c:pt idx="11">
                  <c:v>149056317.49743444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C214-4F9C-9597-60FBFB448219}"/>
            </c:ext>
          </c:extLst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Ostvarenje prihoda 2013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Sheet1!$D$7:$O$7</c:f>
              <c:numCache>
                <c:formatCode>#,##0.0,,</c:formatCode>
                <c:ptCount val="12"/>
                <c:pt idx="0">
                  <c:v>54757461.979999989</c:v>
                </c:pt>
                <c:pt idx="1">
                  <c:v>75673443.909999996</c:v>
                </c:pt>
                <c:pt idx="2">
                  <c:v>88296245.580000013</c:v>
                </c:pt>
                <c:pt idx="3">
                  <c:v>103948239.19999999</c:v>
                </c:pt>
                <c:pt idx="4">
                  <c:v>93997829.679999992</c:v>
                </c:pt>
                <c:pt idx="5">
                  <c:v>99561632.659999996</c:v>
                </c:pt>
                <c:pt idx="6">
                  <c:v>122021331.04999998</c:v>
                </c:pt>
                <c:pt idx="7">
                  <c:v>125053427.64999999</c:v>
                </c:pt>
                <c:pt idx="8">
                  <c:v>116342017.78000002</c:v>
                </c:pt>
                <c:pt idx="9">
                  <c:v>117283627.60000001</c:v>
                </c:pt>
                <c:pt idx="10">
                  <c:v>95781753.159999996</c:v>
                </c:pt>
                <c:pt idx="11">
                  <c:v>142429369.22999999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C214-4F9C-9597-60FBFB448219}"/>
            </c:ext>
          </c:extLst>
        </c:ser>
        <c:dLbls/>
        <c:marker val="1"/>
        <c:axId val="96499968"/>
        <c:axId val="96514048"/>
      </c:lineChart>
      <c:catAx>
        <c:axId val="9649996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6514048"/>
        <c:crosses val="autoZero"/>
        <c:auto val="1"/>
        <c:lblAlgn val="ctr"/>
        <c:lblOffset val="100"/>
      </c:catAx>
      <c:valAx>
        <c:axId val="96514048"/>
        <c:scaling>
          <c:orientation val="minMax"/>
          <c:max val="130000000"/>
          <c:min val="50000000"/>
        </c:scaling>
        <c:axPos val="l"/>
        <c:numFmt formatCode="#,##0.0,,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6499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19831223629258"/>
          <c:y val="0.63831291921843114"/>
          <c:w val="0.24343466560350838"/>
          <c:h val="0.21760170603674542"/>
        </c:manualLayout>
      </c:layout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</c:chart>
  <c:printSettings>
    <c:headerFooter/>
    <c:pageMargins b="0.75000000000000455" l="0.70000000000000062" r="0.70000000000000062" t="0.7500000000000045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/>
            </a:pPr>
            <a:r>
              <a:rPr lang="vi-VN" sz="1000"/>
              <a:t>Poređenje scenarija - sa i bez autoputa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8.2878743296101454E-2"/>
          <c:y val="5.6030183727034118E-2"/>
          <c:w val="0.88495509810152662"/>
          <c:h val="0.89719889180519163"/>
        </c:manualLayout>
      </c:layout>
      <c:lineChart>
        <c:grouping val="standard"/>
        <c:ser>
          <c:idx val="0"/>
          <c:order val="0"/>
          <c:tx>
            <c:strRef>
              <c:f>Sheet3!$C$5</c:f>
              <c:strCache>
                <c:ptCount val="1"/>
                <c:pt idx="0">
                  <c:v>Deficit - osnovni scenario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Sheet3!$D$5:$G$5</c:f>
              <c:numCache>
                <c:formatCode>#,##0.0,,</c:formatCode>
                <c:ptCount val="4"/>
                <c:pt idx="0">
                  <c:v>-26424601.993229389</c:v>
                </c:pt>
                <c:pt idx="1">
                  <c:v>-24569497.372829676</c:v>
                </c:pt>
                <c:pt idx="2">
                  <c:v>33498994.005818129</c:v>
                </c:pt>
                <c:pt idx="3">
                  <c:v>103834080.12588143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AE7-408C-A49B-85C2A6E6B2DC}"/>
            </c:ext>
          </c:extLst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Deficit - scenario sa auto putem</c:v>
                </c:pt>
              </c:strCache>
            </c:strRef>
          </c:tx>
          <c:spPr>
            <a:ln>
              <a:solidFill>
                <a:srgbClr val="910000"/>
              </a:solidFill>
              <a:prstDash val="sysDot"/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Sheet3!$D$6:$G$6</c:f>
              <c:numCache>
                <c:formatCode>#,##0.0,,</c:formatCode>
                <c:ptCount val="4"/>
                <c:pt idx="0">
                  <c:v>-51424601.993229389</c:v>
                </c:pt>
                <c:pt idx="1">
                  <c:v>-149569497.37282968</c:v>
                </c:pt>
                <c:pt idx="2">
                  <c:v>-191501005.99418187</c:v>
                </c:pt>
                <c:pt idx="3">
                  <c:v>-221165919.87411857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AE7-408C-A49B-85C2A6E6B2DC}"/>
            </c:ext>
          </c:extLst>
        </c:ser>
        <c:dLbls/>
        <c:marker val="1"/>
        <c:axId val="97863552"/>
        <c:axId val="97865088"/>
      </c:lineChart>
      <c:catAx>
        <c:axId val="9786355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7865088"/>
        <c:crosses val="autoZero"/>
        <c:auto val="1"/>
        <c:lblAlgn val="ctr"/>
        <c:lblOffset val="100"/>
      </c:catAx>
      <c:valAx>
        <c:axId val="97865088"/>
        <c:scaling>
          <c:orientation val="minMax"/>
        </c:scaling>
        <c:axPos val="l"/>
        <c:numFmt formatCode="#,##0.0,," sourceLinked="1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97863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91661075997865"/>
          <c:y val="0.55478783902012263"/>
          <c:w val="0.28062788115611131"/>
          <c:h val="0.14506780402449837"/>
        </c:manualLayout>
      </c:layout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15</xdr:row>
      <xdr:rowOff>85725</xdr:rowOff>
    </xdr:from>
    <xdr:to>
      <xdr:col>15</xdr:col>
      <xdr:colOff>200025</xdr:colOff>
      <xdr:row>32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0.02785</cdr:x>
      <cdr:y>0.42708</cdr:y>
    </cdr:from>
    <cdr:to>
      <cdr:x>0.1962</cdr:x>
      <cdr:y>0.56597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9550" y="1171575"/>
          <a:ext cx="1266826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r-Latn-ME" sz="800" i="1"/>
            <a:t>Ostvarenje</a:t>
          </a:r>
          <a:r>
            <a:rPr lang="sr-Latn-ME" sz="800" i="1" baseline="0"/>
            <a:t> prihoda </a:t>
          </a:r>
        </a:p>
        <a:p xmlns:a="http://schemas.openxmlformats.org/drawingml/2006/main">
          <a:pPr algn="r"/>
          <a:r>
            <a:rPr lang="sr-Latn-ME" sz="800" i="1" baseline="0"/>
            <a:t>u prvom kvartalu 2014.</a:t>
          </a:r>
          <a:endParaRPr lang="en-US" sz="800" i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9</xdr:row>
      <xdr:rowOff>142875</xdr:rowOff>
    </xdr:from>
    <xdr:to>
      <xdr:col>10</xdr:col>
      <xdr:colOff>438150</xdr:colOff>
      <xdr:row>26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os.popovic/Dropbox/MINISTARSTVO%20FINANSIJA/SEP/05_Zavrsni%202013/Smjernice%202014-04-04%20sa%20projekcijama%20dug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ntal Budget"/>
      <sheetName val="Cental Budget - hwy"/>
      <sheetName val="Local Government"/>
      <sheetName val="Public Expenditure"/>
      <sheetName val="Public Expenditure -hwy"/>
      <sheetName val="PRIMICI"/>
      <sheetName val="DEFICIT Tabela"/>
      <sheetName val="Master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>
            <v>2</v>
          </cell>
        </row>
        <row r="151">
          <cell r="B151" t="str">
            <v>Izvor: Ministarstvo finansija Crne Gore</v>
          </cell>
          <cell r="C151" t="str">
            <v>Source: Ministry of Finance of Montenegro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BR79"/>
  <sheetViews>
    <sheetView tabSelected="1" topLeftCell="B1" zoomScaleNormal="100" workbookViewId="0">
      <selection activeCell="Q14" sqref="Q14"/>
    </sheetView>
  </sheetViews>
  <sheetFormatPr defaultColWidth="9.140625" defaultRowHeight="12.75"/>
  <cols>
    <col min="1" max="2" width="9.140625" style="80" customWidth="1"/>
    <col min="3" max="3" width="38.28515625" style="80" customWidth="1"/>
    <col min="4" max="13" width="7.7109375" style="80" customWidth="1"/>
    <col min="14" max="62" width="9.140625" style="80" customWidth="1"/>
    <col min="63" max="63" width="9.140625" style="80"/>
    <col min="64" max="64" width="15.42578125" style="80" customWidth="1"/>
    <col min="65" max="65" width="12.7109375" style="80" customWidth="1"/>
    <col min="66" max="66" width="11.85546875" style="80" customWidth="1"/>
    <col min="67" max="16384" width="9.140625" style="80"/>
  </cols>
  <sheetData>
    <row r="1" spans="2:62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</row>
    <row r="2" spans="2:62" ht="15" hidden="1" customHeight="1">
      <c r="C2" s="81"/>
      <c r="D2" s="116"/>
      <c r="E2" s="116"/>
      <c r="F2" s="116"/>
      <c r="G2" s="123">
        <v>2014</v>
      </c>
      <c r="H2" s="123"/>
      <c r="I2" s="123"/>
      <c r="J2" s="124">
        <v>2017</v>
      </c>
      <c r="L2" s="123"/>
      <c r="M2" s="123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</row>
    <row r="3" spans="2:62" ht="15" hidden="1" customHeight="1">
      <c r="C3" s="81"/>
      <c r="D3" s="117"/>
      <c r="E3" s="117"/>
      <c r="F3" s="117"/>
      <c r="G3" s="118">
        <v>5.4037200000000007</v>
      </c>
      <c r="H3" s="118"/>
      <c r="I3" s="118"/>
      <c r="J3" s="119">
        <v>6.0799999999999965</v>
      </c>
      <c r="L3" s="118"/>
      <c r="M3" s="118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spans="2:62" ht="15" hidden="1" customHeight="1">
      <c r="C4" s="81"/>
      <c r="D4" s="112"/>
      <c r="E4" s="112"/>
      <c r="F4" s="112"/>
      <c r="G4" s="110">
        <v>3.54</v>
      </c>
      <c r="H4" s="110"/>
      <c r="I4" s="110"/>
      <c r="J4" s="111">
        <v>4</v>
      </c>
      <c r="L4" s="110"/>
      <c r="M4" s="110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</row>
    <row r="5" spans="2:62" ht="15" hidden="1" customHeight="1">
      <c r="C5" s="81"/>
      <c r="D5" s="120"/>
      <c r="E5" s="120"/>
      <c r="F5" s="120"/>
      <c r="G5" s="121">
        <v>1.8</v>
      </c>
      <c r="H5" s="121"/>
      <c r="I5" s="121"/>
      <c r="J5" s="131">
        <v>2</v>
      </c>
      <c r="L5" s="121"/>
      <c r="M5" s="12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</row>
    <row r="6" spans="2:62" ht="15" hidden="1" customHeight="1">
      <c r="C6" s="81"/>
      <c r="D6" s="122"/>
      <c r="E6" s="122"/>
      <c r="F6" s="122"/>
      <c r="G6" s="130">
        <v>2.3E-2</v>
      </c>
      <c r="H6" s="130"/>
      <c r="I6" s="130"/>
      <c r="J6" s="130">
        <v>5.1999999999999998E-2</v>
      </c>
      <c r="L6" s="130"/>
      <c r="M6" s="130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</row>
    <row r="7" spans="2:62" ht="15" hidden="1" customHeight="1">
      <c r="C7" s="81"/>
      <c r="D7" s="113"/>
      <c r="E7" s="113"/>
      <c r="F7" s="113"/>
      <c r="G7" s="113"/>
      <c r="H7" s="113"/>
      <c r="I7" s="113"/>
      <c r="J7" s="114"/>
      <c r="L7" s="113"/>
      <c r="M7" s="113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</row>
    <row r="8" spans="2:62" ht="15" hidden="1" customHeight="1">
      <c r="C8" s="81"/>
      <c r="D8" s="109"/>
      <c r="E8" s="109"/>
      <c r="F8" s="109"/>
      <c r="G8" s="125">
        <f>+J16/F16*100-100</f>
        <v>-10.171375871710424</v>
      </c>
      <c r="H8" s="125"/>
      <c r="I8" s="125"/>
      <c r="J8" s="127" t="e">
        <f>+#REF!/#REF!*100-100</f>
        <v>#REF!</v>
      </c>
      <c r="L8" s="125"/>
      <c r="M8" s="125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</row>
    <row r="9" spans="2:62" ht="15" hidden="1" customHeight="1">
      <c r="C9" s="81"/>
      <c r="D9" s="115"/>
      <c r="E9" s="115"/>
      <c r="F9" s="115"/>
      <c r="G9" s="126" t="e">
        <f>+J16/#REF!*100-100</f>
        <v>#REF!</v>
      </c>
      <c r="H9" s="126"/>
      <c r="I9" s="126"/>
      <c r="J9" s="128" t="e">
        <f>+#REF!/#REF!*100-100</f>
        <v>#REF!</v>
      </c>
      <c r="L9" s="126"/>
      <c r="M9" s="126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</row>
    <row r="10" spans="2:62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</row>
    <row r="11" spans="2:62" ht="18.75" customHeight="1" thickTop="1" thickBot="1">
      <c r="C11" s="173" t="str">
        <f>IF(MasterSheet!$A$1=1,MasterSheet!B67,MasterSheet!B66)</f>
        <v>BDP (u mil. €)</v>
      </c>
      <c r="D11" s="293">
        <v>4430900000</v>
      </c>
      <c r="E11" s="294"/>
      <c r="F11" s="294"/>
      <c r="G11" s="295"/>
      <c r="H11" s="298"/>
      <c r="I11" s="303"/>
      <c r="J11" s="300">
        <v>4236600000</v>
      </c>
      <c r="K11" s="300">
        <v>0</v>
      </c>
      <c r="L11" s="298"/>
      <c r="M11" s="299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</row>
    <row r="12" spans="2:62" ht="19.5" customHeight="1" thickTop="1">
      <c r="C12" s="81"/>
      <c r="D12" s="227"/>
      <c r="E12" s="227"/>
      <c r="F12" s="83"/>
      <c r="G12" s="83"/>
      <c r="H12" s="82"/>
      <c r="I12" s="82"/>
      <c r="J12" s="82"/>
      <c r="K12" s="82"/>
      <c r="L12" s="82"/>
      <c r="M12" s="82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</row>
    <row r="13" spans="2:62" ht="17.25" customHeight="1" thickBot="1">
      <c r="B13" s="85"/>
      <c r="C13" s="86"/>
      <c r="D13" s="305"/>
      <c r="E13" s="305"/>
      <c r="F13" s="226"/>
      <c r="G13" s="226"/>
      <c r="H13" s="226"/>
      <c r="I13" s="226"/>
      <c r="J13" s="304"/>
      <c r="K13" s="304"/>
      <c r="L13" s="157"/>
      <c r="M13" s="157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</row>
    <row r="14" spans="2:62" ht="15.75" customHeight="1" thickTop="1">
      <c r="B14" s="87"/>
      <c r="C14" s="296" t="str">
        <f>IF(MasterSheet!$A$1=1,MasterSheet!B71,MasterSheet!B70)</f>
        <v>Budžet Crne Gore</v>
      </c>
      <c r="D14" s="291" t="s">
        <v>466</v>
      </c>
      <c r="E14" s="292"/>
      <c r="F14" s="291" t="s">
        <v>467</v>
      </c>
      <c r="G14" s="292"/>
      <c r="H14" s="291" t="s">
        <v>444</v>
      </c>
      <c r="I14" s="292"/>
      <c r="J14" s="291" t="s">
        <v>464</v>
      </c>
      <c r="K14" s="292"/>
      <c r="L14" s="301" t="str">
        <f>+H14</f>
        <v>Odstupanje</v>
      </c>
      <c r="M14" s="302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</row>
    <row r="15" spans="2:62" ht="15" customHeight="1" thickBot="1">
      <c r="C15" s="297" t="str">
        <f>IF(MasterSheet!$A$1=1,MasterSheet!B71,MasterSheet!B70)</f>
        <v>Budžet Crne Gore</v>
      </c>
      <c r="D15" s="88" t="str">
        <f>+F15</f>
        <v>mil. €</v>
      </c>
      <c r="E15" s="195" t="str">
        <f>+G15</f>
        <v>% BDP</v>
      </c>
      <c r="F15" s="88" t="s">
        <v>262</v>
      </c>
      <c r="G15" s="89" t="s">
        <v>149</v>
      </c>
      <c r="H15" s="194" t="s">
        <v>262</v>
      </c>
      <c r="I15" s="194" t="s">
        <v>439</v>
      </c>
      <c r="J15" s="88" t="s">
        <v>262</v>
      </c>
      <c r="K15" s="89" t="s">
        <v>149</v>
      </c>
      <c r="L15" s="196" t="s">
        <v>262</v>
      </c>
      <c r="M15" s="129" t="s">
        <v>439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</row>
    <row r="16" spans="2:62" ht="15" customHeight="1" thickTop="1" thickBot="1">
      <c r="B16" s="80">
        <v>7</v>
      </c>
      <c r="C16" s="90" t="str">
        <f>IF(MasterSheet!$A$1=1,MasterSheet!C72,MasterSheet!B72)</f>
        <v>Izvorni prihodi</v>
      </c>
      <c r="D16" s="158">
        <f>+D17+D25+SUM(D30:D34)</f>
        <v>763781831.84000015</v>
      </c>
      <c r="E16" s="229">
        <f>+D16/$D$11*100</f>
        <v>17.237622872102737</v>
      </c>
      <c r="F16" s="158">
        <f>+F17+F25+SUM(F30:F34)</f>
        <v>759172268.49212456</v>
      </c>
      <c r="G16" s="229">
        <f>+F16/$D$11*100</f>
        <v>17.133590658604898</v>
      </c>
      <c r="H16" s="158">
        <f>+D16-F16</f>
        <v>4609563.3478755951</v>
      </c>
      <c r="I16" s="232">
        <f>+IF(ISNUMBER(D16/F16*100-100),D16/F16*100-100,"...")</f>
        <v>0.60718278830589156</v>
      </c>
      <c r="J16" s="158">
        <f>+J17+J25+SUM(J30:J34)</f>
        <v>681954003.54999995</v>
      </c>
      <c r="K16" s="229">
        <f>+J16/$J$11*100</f>
        <v>16.096728592503421</v>
      </c>
      <c r="L16" s="158">
        <f>+D16-J16</f>
        <v>81827828.2900002</v>
      </c>
      <c r="M16" s="229">
        <f t="shared" ref="M16:M59" si="0">+IF(ISNUMBER(D16/J16*100-100),D16/J16*100-100,"...")</f>
        <v>11.999024547701879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</row>
    <row r="17" spans="2:69" ht="15" customHeight="1" thickTop="1">
      <c r="B17" s="80">
        <v>711</v>
      </c>
      <c r="C17" s="93" t="str">
        <f>IF(MasterSheet!$A$1=1,MasterSheet!C73,MasterSheet!B73)</f>
        <v>Porezi</v>
      </c>
      <c r="D17" s="149">
        <f>+SUM(D18:D24)</f>
        <v>490211698.03000009</v>
      </c>
      <c r="E17" s="230">
        <f t="shared" ref="E17:E75" si="1">+D17/$D$11*100</f>
        <v>11.063479158410257</v>
      </c>
      <c r="F17" s="149">
        <f>+SUM(F18:F24)</f>
        <v>496468575.45689243</v>
      </c>
      <c r="G17" s="230">
        <f t="shared" ref="G17:G75" si="2">+F17/$D$11*100</f>
        <v>11.204689238233597</v>
      </c>
      <c r="H17" s="200">
        <f t="shared" ref="H17:H69" si="3">+D17-F17</f>
        <v>-6256877.4268923402</v>
      </c>
      <c r="I17" s="243">
        <f t="shared" ref="I17:I69" si="4">+IF(ISNUMBER(D17/F17*100-100),D17/F17*100-100,"...")</f>
        <v>-1.2602766290160901</v>
      </c>
      <c r="J17" s="149">
        <f>+SUM(J18:J24)</f>
        <v>439412306.61999989</v>
      </c>
      <c r="K17" s="230">
        <f t="shared" ref="K17:K69" si="5">+J17/$J$11*100</f>
        <v>10.371814818958597</v>
      </c>
      <c r="L17" s="200">
        <f t="shared" ref="L17:L35" si="6">+D17-J17</f>
        <v>50799391.410000205</v>
      </c>
      <c r="M17" s="243">
        <f t="shared" si="0"/>
        <v>11.560757549271614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</row>
    <row r="18" spans="2:69" ht="15" customHeight="1">
      <c r="B18" s="80">
        <v>7111</v>
      </c>
      <c r="C18" s="97" t="str">
        <f>IF(MasterSheet!$A$1=1,MasterSheet!C74,MasterSheet!B74)</f>
        <v>Porez na dohodak fizičkih lica</v>
      </c>
      <c r="D18" s="150">
        <v>53101208.940000005</v>
      </c>
      <c r="E18" s="231">
        <f t="shared" si="1"/>
        <v>1.1984294147915775</v>
      </c>
      <c r="F18" s="150">
        <v>52875951.359692708</v>
      </c>
      <c r="G18" s="231">
        <f t="shared" si="2"/>
        <v>1.1933456263895079</v>
      </c>
      <c r="H18" s="201">
        <f t="shared" si="3"/>
        <v>225257.58030729741</v>
      </c>
      <c r="I18" s="244">
        <f t="shared" si="4"/>
        <v>0.42601139935045751</v>
      </c>
      <c r="J18" s="151">
        <v>48974821.780000001</v>
      </c>
      <c r="K18" s="231">
        <f t="shared" si="5"/>
        <v>1.1559935273568427</v>
      </c>
      <c r="L18" s="201">
        <f t="shared" si="6"/>
        <v>4126387.1600000039</v>
      </c>
      <c r="M18" s="244">
        <f t="shared" si="0"/>
        <v>8.425527669168801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</row>
    <row r="19" spans="2:69" ht="15" customHeight="1">
      <c r="B19" s="80">
        <v>7112</v>
      </c>
      <c r="C19" s="97" t="str">
        <f>IF(MasterSheet!$A$1=1,MasterSheet!C75,MasterSheet!B75)</f>
        <v>Porez na dobit pravnih lica</v>
      </c>
      <c r="D19" s="151">
        <v>49608413.489999995</v>
      </c>
      <c r="E19" s="231">
        <f t="shared" si="1"/>
        <v>1.119601288451556</v>
      </c>
      <c r="F19" s="151">
        <v>41311083.893246874</v>
      </c>
      <c r="G19" s="231">
        <f t="shared" si="2"/>
        <v>0.9323406958687146</v>
      </c>
      <c r="H19" s="201">
        <f t="shared" si="3"/>
        <v>8297329.5967531204</v>
      </c>
      <c r="I19" s="244">
        <f t="shared" si="4"/>
        <v>20.084996119187963</v>
      </c>
      <c r="J19" s="151">
        <v>39170376.32</v>
      </c>
      <c r="K19" s="231">
        <f t="shared" si="5"/>
        <v>0.92457103148751352</v>
      </c>
      <c r="L19" s="201">
        <f t="shared" si="6"/>
        <v>10438037.169999994</v>
      </c>
      <c r="M19" s="244">
        <f t="shared" si="0"/>
        <v>26.647783735155087</v>
      </c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L19" s="81"/>
    </row>
    <row r="20" spans="2:69" ht="15" customHeight="1">
      <c r="B20" s="80">
        <v>7113</v>
      </c>
      <c r="C20" s="97" t="str">
        <f>IF(MasterSheet!$A$1=1,MasterSheet!C76,MasterSheet!B76)</f>
        <v>Porez na promet nepokretnosti</v>
      </c>
      <c r="D20" s="151">
        <v>796767.09</v>
      </c>
      <c r="E20" s="231">
        <f t="shared" si="1"/>
        <v>1.798205985240019E-2</v>
      </c>
      <c r="F20" s="151">
        <v>747258.65870954562</v>
      </c>
      <c r="G20" s="231">
        <f t="shared" si="2"/>
        <v>1.6864715040049327E-2</v>
      </c>
      <c r="H20" s="201">
        <f t="shared" si="3"/>
        <v>49508.431290454348</v>
      </c>
      <c r="I20" s="244">
        <f t="shared" si="4"/>
        <v>6.6253405983881493</v>
      </c>
      <c r="J20" s="151">
        <v>624080.07000000007</v>
      </c>
      <c r="K20" s="231">
        <f t="shared" si="5"/>
        <v>1.4730681914742956E-2</v>
      </c>
      <c r="L20" s="201">
        <f t="shared" si="6"/>
        <v>172687.0199999999</v>
      </c>
      <c r="M20" s="244">
        <f t="shared" si="0"/>
        <v>27.670651299600053</v>
      </c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</row>
    <row r="21" spans="2:69" ht="15" customHeight="1">
      <c r="B21" s="80">
        <v>7114</v>
      </c>
      <c r="C21" s="97" t="str">
        <f>IF(MasterSheet!$A$1=1,MasterSheet!C77,MasterSheet!B77)</f>
        <v>Porez na dodatu vrijednost</v>
      </c>
      <c r="D21" s="150">
        <v>276027947.92000002</v>
      </c>
      <c r="E21" s="231">
        <f t="shared" si="1"/>
        <v>6.2296135755715545</v>
      </c>
      <c r="F21" s="150">
        <v>282475762.13646638</v>
      </c>
      <c r="G21" s="231">
        <f t="shared" si="2"/>
        <v>6.3751328654780375</v>
      </c>
      <c r="H21" s="201">
        <f t="shared" si="3"/>
        <v>-6447814.2164663672</v>
      </c>
      <c r="I21" s="244">
        <f t="shared" si="4"/>
        <v>-2.2826079546433391</v>
      </c>
      <c r="J21" s="151">
        <v>241435618.02999997</v>
      </c>
      <c r="K21" s="231">
        <f t="shared" si="5"/>
        <v>5.6988060716140296</v>
      </c>
      <c r="L21" s="201">
        <f t="shared" si="6"/>
        <v>34592329.890000045</v>
      </c>
      <c r="M21" s="244">
        <f t="shared" si="0"/>
        <v>14.327765792080328</v>
      </c>
    </row>
    <row r="22" spans="2:69" ht="15" customHeight="1">
      <c r="B22" s="80">
        <v>7115</v>
      </c>
      <c r="C22" s="97" t="str">
        <f>IF(MasterSheet!$A$1=1,MasterSheet!C78,MasterSheet!B78)</f>
        <v>Akcize</v>
      </c>
      <c r="D22" s="151">
        <v>94041782.299999997</v>
      </c>
      <c r="E22" s="231">
        <f t="shared" si="1"/>
        <v>2.1224081405583513</v>
      </c>
      <c r="F22" s="151">
        <v>102002823.65809894</v>
      </c>
      <c r="G22" s="231">
        <f t="shared" si="2"/>
        <v>2.3020791184206129</v>
      </c>
      <c r="H22" s="201">
        <f t="shared" si="3"/>
        <v>-7961041.3580989391</v>
      </c>
      <c r="I22" s="244">
        <f t="shared" si="4"/>
        <v>-7.8047264503023825</v>
      </c>
      <c r="J22" s="151">
        <v>93215029.079999998</v>
      </c>
      <c r="K22" s="231">
        <f t="shared" si="5"/>
        <v>2.2002320039654437</v>
      </c>
      <c r="L22" s="201">
        <f t="shared" si="6"/>
        <v>826753.21999999881</v>
      </c>
      <c r="M22" s="244">
        <f t="shared" si="0"/>
        <v>0.88693124720310834</v>
      </c>
    </row>
    <row r="23" spans="2:69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1">
        <v>12246546.5</v>
      </c>
      <c r="E23" s="231">
        <f t="shared" si="1"/>
        <v>0.27638959353630188</v>
      </c>
      <c r="F23" s="151">
        <v>12200345.051630102</v>
      </c>
      <c r="G23" s="231">
        <f t="shared" si="2"/>
        <v>0.27534688328849899</v>
      </c>
      <c r="H23" s="201">
        <f t="shared" si="3"/>
        <v>46201.448369897902</v>
      </c>
      <c r="I23" s="244">
        <f t="shared" si="4"/>
        <v>0.37868968602427344</v>
      </c>
      <c r="J23" s="151">
        <v>11547175.710000001</v>
      </c>
      <c r="K23" s="231">
        <f t="shared" si="5"/>
        <v>0.27255761011188218</v>
      </c>
      <c r="L23" s="201">
        <f t="shared" si="6"/>
        <v>699370.78999999911</v>
      </c>
      <c r="M23" s="244">
        <f t="shared" si="0"/>
        <v>6.0566393684850226</v>
      </c>
      <c r="BM23" s="138"/>
      <c r="BN23" s="138"/>
      <c r="BO23" s="81"/>
    </row>
    <row r="24" spans="2:69" ht="15" customHeight="1">
      <c r="B24" s="80">
        <v>7118</v>
      </c>
      <c r="C24" s="97" t="s">
        <v>458</v>
      </c>
      <c r="D24" s="151">
        <v>4389031.79</v>
      </c>
      <c r="E24" s="231">
        <f t="shared" si="1"/>
        <v>9.9055085648513841E-2</v>
      </c>
      <c r="F24" s="151">
        <v>4855350.699047897</v>
      </c>
      <c r="G24" s="231">
        <f t="shared" si="2"/>
        <v>0.10957933374817524</v>
      </c>
      <c r="H24" s="201">
        <f t="shared" si="3"/>
        <v>-466318.90904789697</v>
      </c>
      <c r="I24" s="244">
        <f t="shared" si="4"/>
        <v>-9.6042271290380512</v>
      </c>
      <c r="J24" s="151">
        <v>4445205.63</v>
      </c>
      <c r="K24" s="231">
        <f t="shared" si="5"/>
        <v>0.10492389250814332</v>
      </c>
      <c r="L24" s="201">
        <f t="shared" si="6"/>
        <v>-56173.839999999851</v>
      </c>
      <c r="M24" s="244">
        <f t="shared" si="0"/>
        <v>-1.2636949710693131</v>
      </c>
      <c r="BM24" s="138"/>
      <c r="BN24" s="138"/>
      <c r="BO24" s="81"/>
    </row>
    <row r="25" spans="2:69" ht="15" customHeight="1">
      <c r="B25" s="80">
        <v>712</v>
      </c>
      <c r="C25" s="93" t="str">
        <f>IF(MasterSheet!$A$1=1,MasterSheet!C81,MasterSheet!B81)</f>
        <v>Doprinosi</v>
      </c>
      <c r="D25" s="149">
        <f>+SUM(D26:D29)</f>
        <v>218059646.81999999</v>
      </c>
      <c r="E25" s="230">
        <f t="shared" si="1"/>
        <v>4.9213398366020451</v>
      </c>
      <c r="F25" s="149">
        <f>+SUM(F26:F29)</f>
        <v>214491375.65306631</v>
      </c>
      <c r="G25" s="230">
        <f t="shared" si="2"/>
        <v>4.8408083155355861</v>
      </c>
      <c r="H25" s="200">
        <f t="shared" si="3"/>
        <v>3568271.1669336855</v>
      </c>
      <c r="I25" s="243">
        <f t="shared" si="4"/>
        <v>1.6635965693582335</v>
      </c>
      <c r="J25" s="149">
        <f>+SUM(J26:J29)</f>
        <v>202634938.36000001</v>
      </c>
      <c r="K25" s="230">
        <f t="shared" si="5"/>
        <v>4.7829612982108296</v>
      </c>
      <c r="L25" s="200">
        <f t="shared" si="6"/>
        <v>15424708.459999979</v>
      </c>
      <c r="M25" s="243">
        <f t="shared" si="0"/>
        <v>7.6120675855989646</v>
      </c>
      <c r="BM25" s="138"/>
      <c r="BN25" s="138"/>
      <c r="BO25" s="81"/>
    </row>
    <row r="26" spans="2:69" ht="15" customHeight="1">
      <c r="B26" s="80">
        <v>7121</v>
      </c>
      <c r="C26" s="97" t="str">
        <f>IF(MasterSheet!$A$1=1,MasterSheet!C82,MasterSheet!B82)</f>
        <v>Doprinosi za penzijsko i invalidsko osiguranje</v>
      </c>
      <c r="D26" s="151">
        <v>132038028.10000001</v>
      </c>
      <c r="E26" s="231">
        <f t="shared" si="1"/>
        <v>2.9799369902277193</v>
      </c>
      <c r="F26" s="151">
        <v>127414625.56294979</v>
      </c>
      <c r="G26" s="231">
        <f t="shared" si="2"/>
        <v>2.8755924431368296</v>
      </c>
      <c r="H26" s="201">
        <f t="shared" si="3"/>
        <v>4623402.5370502174</v>
      </c>
      <c r="I26" s="244">
        <f t="shared" si="4"/>
        <v>3.6286278098945672</v>
      </c>
      <c r="J26" s="151">
        <v>121869831.09</v>
      </c>
      <c r="K26" s="231">
        <f t="shared" si="5"/>
        <v>2.8765951727800596</v>
      </c>
      <c r="L26" s="201">
        <f t="shared" si="6"/>
        <v>10168197.010000005</v>
      </c>
      <c r="M26" s="244">
        <f t="shared" si="0"/>
        <v>8.3434898687033296</v>
      </c>
      <c r="BM26" s="138"/>
      <c r="BN26" s="138"/>
      <c r="BO26" s="81"/>
    </row>
    <row r="27" spans="2:69" ht="15" customHeight="1">
      <c r="B27" s="80">
        <v>7122</v>
      </c>
      <c r="C27" s="97" t="str">
        <f>IF(MasterSheet!$A$1=1,MasterSheet!C83,MasterSheet!B83)</f>
        <v>Doprinosi za zdravstveno osiguranje</v>
      </c>
      <c r="D27" s="151">
        <v>75271592.719999999</v>
      </c>
      <c r="E27" s="231">
        <f t="shared" si="1"/>
        <v>1.6987878923017896</v>
      </c>
      <c r="F27" s="151">
        <v>75527009.219187498</v>
      </c>
      <c r="G27" s="231">
        <f t="shared" si="2"/>
        <v>1.704552330659403</v>
      </c>
      <c r="H27" s="201">
        <f t="shared" si="3"/>
        <v>-255416.49918749928</v>
      </c>
      <c r="I27" s="244">
        <f t="shared" si="4"/>
        <v>-0.33817901943695006</v>
      </c>
      <c r="J27" s="151">
        <v>70075748.219999999</v>
      </c>
      <c r="K27" s="231">
        <f t="shared" si="5"/>
        <v>1.6540562767313411</v>
      </c>
      <c r="L27" s="201">
        <f t="shared" si="6"/>
        <v>5195844.5</v>
      </c>
      <c r="M27" s="244">
        <f t="shared" si="0"/>
        <v>7.4146115196485027</v>
      </c>
      <c r="BM27" s="138"/>
      <c r="BN27" s="138"/>
      <c r="BO27" s="81"/>
    </row>
    <row r="28" spans="2:69" ht="15" customHeight="1">
      <c r="B28" s="80">
        <v>7123</v>
      </c>
      <c r="C28" s="97" t="str">
        <f>IF(MasterSheet!$A$1=1,MasterSheet!C84,MasterSheet!B84)</f>
        <v>Doprinosi za osiguranje od nezaposlenosti</v>
      </c>
      <c r="D28" s="151">
        <v>5599513.4800000004</v>
      </c>
      <c r="E28" s="231">
        <f t="shared" si="1"/>
        <v>0.12637417860931188</v>
      </c>
      <c r="F28" s="151">
        <v>6138139.98305027</v>
      </c>
      <c r="G28" s="231">
        <f t="shared" si="2"/>
        <v>0.13853032077118124</v>
      </c>
      <c r="H28" s="201">
        <f t="shared" si="3"/>
        <v>-538626.50305026956</v>
      </c>
      <c r="I28" s="244">
        <f t="shared" si="4"/>
        <v>-8.775076888725593</v>
      </c>
      <c r="J28" s="151">
        <v>5580341.0800000001</v>
      </c>
      <c r="K28" s="231">
        <f t="shared" si="5"/>
        <v>0.13171744040032102</v>
      </c>
      <c r="L28" s="201">
        <f t="shared" si="6"/>
        <v>19172.400000000373</v>
      </c>
      <c r="M28" s="244">
        <f t="shared" si="0"/>
        <v>0.34357039695503033</v>
      </c>
      <c r="BM28" s="138"/>
      <c r="BN28" s="138"/>
      <c r="BO28" s="81"/>
    </row>
    <row r="29" spans="2:69" ht="15" customHeight="1">
      <c r="B29" s="80">
        <v>7124</v>
      </c>
      <c r="C29" s="97" t="str">
        <f>IF(MasterSheet!$A$1=1,MasterSheet!C85,MasterSheet!B85)</f>
        <v>Ostali doprinosi</v>
      </c>
      <c r="D29" s="150">
        <v>5150512.5199999996</v>
      </c>
      <c r="E29" s="231">
        <f t="shared" si="1"/>
        <v>0.11624077546322417</v>
      </c>
      <c r="F29" s="150">
        <v>5411600.8878787849</v>
      </c>
      <c r="G29" s="231">
        <f t="shared" si="2"/>
        <v>0.12213322096817317</v>
      </c>
      <c r="H29" s="201">
        <f t="shared" si="3"/>
        <v>-261088.36787878536</v>
      </c>
      <c r="I29" s="244">
        <f t="shared" si="4"/>
        <v>-4.824605015931354</v>
      </c>
      <c r="J29" s="151">
        <v>5109017.97</v>
      </c>
      <c r="K29" s="231">
        <f t="shared" si="5"/>
        <v>0.12059240829910776</v>
      </c>
      <c r="L29" s="201">
        <f t="shared" si="6"/>
        <v>41494.549999999814</v>
      </c>
      <c r="M29" s="244">
        <f t="shared" si="0"/>
        <v>0.81218250246240586</v>
      </c>
      <c r="BM29" s="81"/>
      <c r="BN29" s="81"/>
      <c r="BO29" s="81"/>
    </row>
    <row r="30" spans="2:69" ht="15" customHeight="1">
      <c r="B30" s="80">
        <v>713</v>
      </c>
      <c r="C30" s="93" t="str">
        <f>IF(MasterSheet!$A$1=1,MasterSheet!C86,MasterSheet!B86)</f>
        <v>Takse</v>
      </c>
      <c r="D30" s="149">
        <v>6988845.0399999991</v>
      </c>
      <c r="E30" s="230">
        <f t="shared" si="1"/>
        <v>0.15772969464442887</v>
      </c>
      <c r="F30" s="149">
        <v>7896190.9985816386</v>
      </c>
      <c r="G30" s="230">
        <f t="shared" si="2"/>
        <v>0.17820738447226611</v>
      </c>
      <c r="H30" s="200">
        <f t="shared" si="3"/>
        <v>-907345.95858163945</v>
      </c>
      <c r="I30" s="243">
        <f t="shared" si="4"/>
        <v>-11.490932257649575</v>
      </c>
      <c r="J30" s="149">
        <v>5704236.46</v>
      </c>
      <c r="K30" s="230">
        <f t="shared" si="5"/>
        <v>0.13464184629183779</v>
      </c>
      <c r="L30" s="200">
        <f t="shared" si="6"/>
        <v>1284608.5799999991</v>
      </c>
      <c r="M30" s="243">
        <f t="shared" si="0"/>
        <v>22.520254709076326</v>
      </c>
      <c r="BM30" s="81"/>
      <c r="BN30" s="81"/>
      <c r="BO30" s="81"/>
    </row>
    <row r="31" spans="2:69" ht="15" customHeight="1">
      <c r="B31" s="80">
        <v>714</v>
      </c>
      <c r="C31" s="93" t="str">
        <f>IF(MasterSheet!$A$1=1,MasterSheet!C91,MasterSheet!B91)</f>
        <v>Naknade</v>
      </c>
      <c r="D31" s="149">
        <v>12442148.739999998</v>
      </c>
      <c r="E31" s="230">
        <f t="shared" si="1"/>
        <v>0.280804097136022</v>
      </c>
      <c r="F31" s="149">
        <v>10285354.507845825</v>
      </c>
      <c r="G31" s="230">
        <f t="shared" si="2"/>
        <v>0.23212788615960245</v>
      </c>
      <c r="H31" s="200">
        <f t="shared" si="3"/>
        <v>2156794.2321541738</v>
      </c>
      <c r="I31" s="243">
        <f t="shared" si="4"/>
        <v>20.969566294569034</v>
      </c>
      <c r="J31" s="149">
        <v>8765602.5299999993</v>
      </c>
      <c r="K31" s="230">
        <f t="shared" si="5"/>
        <v>0.20690182056365952</v>
      </c>
      <c r="L31" s="200">
        <f t="shared" si="6"/>
        <v>3676546.209999999</v>
      </c>
      <c r="M31" s="243">
        <f t="shared" si="0"/>
        <v>41.942880679532692</v>
      </c>
      <c r="BM31" s="138"/>
      <c r="BN31" s="138"/>
      <c r="BO31" s="138"/>
    </row>
    <row r="32" spans="2:69" ht="15" customHeight="1">
      <c r="B32" s="80">
        <v>715</v>
      </c>
      <c r="C32" s="93" t="str">
        <f>IF(MasterSheet!$A$1=1,MasterSheet!C98,MasterSheet!B98)</f>
        <v>Ostali prihodi</v>
      </c>
      <c r="D32" s="149">
        <v>16455913.120000001</v>
      </c>
      <c r="E32" s="230">
        <f t="shared" si="1"/>
        <v>0.37138985578550637</v>
      </c>
      <c r="F32" s="149">
        <v>16519718.891167575</v>
      </c>
      <c r="G32" s="230">
        <f t="shared" si="2"/>
        <v>0.37282987409256757</v>
      </c>
      <c r="H32" s="200">
        <f t="shared" si="3"/>
        <v>-63805.77116757445</v>
      </c>
      <c r="I32" s="243">
        <f t="shared" si="4"/>
        <v>-0.38624005401017314</v>
      </c>
      <c r="J32" s="149">
        <v>15560513.809999999</v>
      </c>
      <c r="K32" s="230">
        <f t="shared" si="5"/>
        <v>0.36728777345040831</v>
      </c>
      <c r="L32" s="200">
        <f t="shared" si="6"/>
        <v>895399.31000000238</v>
      </c>
      <c r="M32" s="243">
        <f t="shared" si="0"/>
        <v>5.7543042661263115</v>
      </c>
      <c r="BM32" s="81"/>
      <c r="BN32" s="81"/>
      <c r="BO32" s="81"/>
      <c r="BP32" s="81"/>
      <c r="BQ32" s="81"/>
    </row>
    <row r="33" spans="1:70">
      <c r="B33" s="80">
        <v>73</v>
      </c>
      <c r="C33" s="101" t="str">
        <f>IF(MasterSheet!$A$1=1,MasterSheet!C103,MasterSheet!B103)</f>
        <v xml:space="preserve">Primici od otplate kredita </v>
      </c>
      <c r="D33" s="149">
        <v>4345737.25</v>
      </c>
      <c r="E33" s="230">
        <f t="shared" si="1"/>
        <v>9.8077980771400855E-2</v>
      </c>
      <c r="F33" s="149">
        <v>1857897.9174854909</v>
      </c>
      <c r="G33" s="230">
        <f t="shared" si="2"/>
        <v>4.1930486300424091E-2</v>
      </c>
      <c r="H33" s="200">
        <f t="shared" si="3"/>
        <v>2487839.3325145091</v>
      </c>
      <c r="I33" s="243">
        <f t="shared" si="4"/>
        <v>133.90613709721956</v>
      </c>
      <c r="J33" s="149">
        <v>2615772.2199999997</v>
      </c>
      <c r="K33" s="230">
        <f t="shared" si="5"/>
        <v>6.1742251333616577E-2</v>
      </c>
      <c r="L33" s="200">
        <f t="shared" si="6"/>
        <v>1729965.0300000003</v>
      </c>
      <c r="M33" s="243">
        <f t="shared" si="0"/>
        <v>66.135920275198913</v>
      </c>
      <c r="BL33" s="100"/>
      <c r="BM33" s="100"/>
      <c r="BN33" s="99"/>
      <c r="BO33" s="140"/>
      <c r="BP33" s="140"/>
      <c r="BQ33" s="140"/>
      <c r="BR33" s="139"/>
    </row>
    <row r="34" spans="1:70" ht="13.5" customHeight="1" thickBot="1">
      <c r="B34" s="80">
        <v>74</v>
      </c>
      <c r="C34" s="93" t="s">
        <v>122</v>
      </c>
      <c r="D34" s="149">
        <v>15277842.840000002</v>
      </c>
      <c r="E34" s="230">
        <f t="shared" si="1"/>
        <v>0.34480224875307502</v>
      </c>
      <c r="F34" s="149">
        <v>11653155.067085307</v>
      </c>
      <c r="G34" s="230">
        <f t="shared" si="2"/>
        <v>0.26299747381085803</v>
      </c>
      <c r="H34" s="200">
        <f t="shared" si="3"/>
        <v>3624687.7729146946</v>
      </c>
      <c r="I34" s="243">
        <f t="shared" si="4"/>
        <v>31.104775934482632</v>
      </c>
      <c r="J34" s="149">
        <v>7260633.5500000007</v>
      </c>
      <c r="K34" s="230">
        <f t="shared" si="5"/>
        <v>0.17137878369447199</v>
      </c>
      <c r="L34" s="200">
        <f t="shared" si="6"/>
        <v>8017209.290000001</v>
      </c>
      <c r="M34" s="243">
        <f t="shared" si="0"/>
        <v>110.42024411216843</v>
      </c>
      <c r="BM34" s="154"/>
      <c r="BN34" s="154"/>
      <c r="BO34" s="140"/>
      <c r="BP34" s="140"/>
      <c r="BQ34" s="140"/>
      <c r="BR34" s="139"/>
    </row>
    <row r="35" spans="1:70" ht="15" customHeight="1" thickTop="1" thickBot="1">
      <c r="B35" s="102"/>
      <c r="C35" s="90" t="s">
        <v>457</v>
      </c>
      <c r="D35" s="91">
        <f>+D37+D48+D54+SUM(D57:D62)</f>
        <v>848972352.17999995</v>
      </c>
      <c r="E35" s="232">
        <f t="shared" si="1"/>
        <v>19.16026884335011</v>
      </c>
      <c r="F35" s="91">
        <f>+F37+F48+F54+SUM(F57:F62)</f>
        <v>884745185.03266668</v>
      </c>
      <c r="G35" s="237">
        <f t="shared" si="2"/>
        <v>19.96761797902608</v>
      </c>
      <c r="H35" s="91">
        <f t="shared" si="3"/>
        <v>-35772832.852666736</v>
      </c>
      <c r="I35" s="232">
        <f t="shared" si="4"/>
        <v>-4.0432921769837975</v>
      </c>
      <c r="J35" s="91">
        <f>+J37+J48+J54+SUM(J57:J62)</f>
        <v>787043953.86000001</v>
      </c>
      <c r="K35" s="232">
        <f t="shared" si="5"/>
        <v>18.577254257187366</v>
      </c>
      <c r="L35" s="91">
        <f t="shared" si="6"/>
        <v>61928398.319999933</v>
      </c>
      <c r="M35" s="232">
        <f t="shared" si="0"/>
        <v>7.8684802819812774</v>
      </c>
      <c r="BM35" s="81"/>
      <c r="BN35" s="81"/>
      <c r="BO35" s="140"/>
      <c r="BP35" s="140"/>
      <c r="BQ35" s="140"/>
      <c r="BR35" s="139"/>
    </row>
    <row r="36" spans="1:70" ht="13.5" customHeight="1" thickTop="1" thickBot="1">
      <c r="C36" s="280" t="s">
        <v>445</v>
      </c>
      <c r="D36" s="91">
        <f>+D35-D57</f>
        <v>769806429.78999996</v>
      </c>
      <c r="E36" s="232">
        <f t="shared" si="1"/>
        <v>17.37359068789636</v>
      </c>
      <c r="F36" s="91">
        <f>+F35-F57</f>
        <v>755912685.03266668</v>
      </c>
      <c r="G36" s="237">
        <f t="shared" si="2"/>
        <v>17.060025841988459</v>
      </c>
      <c r="H36" s="91">
        <f t="shared" si="3"/>
        <v>13893744.757333279</v>
      </c>
      <c r="I36" s="232">
        <f t="shared" si="4"/>
        <v>1.8380092082636281</v>
      </c>
      <c r="J36" s="155">
        <f>+J35-J57</f>
        <v>745966014.76999998</v>
      </c>
      <c r="K36" s="232">
        <f t="shared" si="5"/>
        <v>17.607657432138978</v>
      </c>
      <c r="L36" s="91">
        <f t="shared" ref="L36:L75" si="7">+D36-J36</f>
        <v>23840415.019999981</v>
      </c>
      <c r="M36" s="232">
        <f t="shared" si="0"/>
        <v>3.1959116833694594</v>
      </c>
      <c r="N36" s="207"/>
      <c r="BM36" s="154"/>
      <c r="BN36" s="154"/>
      <c r="BO36" s="140"/>
      <c r="BP36" s="140"/>
      <c r="BQ36" s="140"/>
      <c r="BR36" s="139"/>
    </row>
    <row r="37" spans="1:70" ht="13.5" customHeight="1" thickTop="1">
      <c r="A37" s="80">
        <v>41</v>
      </c>
      <c r="B37" s="80">
        <v>41</v>
      </c>
      <c r="C37" s="93" t="s">
        <v>62</v>
      </c>
      <c r="D37" s="94">
        <f>+SUM(D38:D47)</f>
        <v>395277881.56999999</v>
      </c>
      <c r="E37" s="230">
        <f t="shared" si="1"/>
        <v>8.9209388966124266</v>
      </c>
      <c r="F37" s="94">
        <f>+SUM(F38:F47)</f>
        <v>372819493.29966664</v>
      </c>
      <c r="G37" s="238">
        <f t="shared" si="2"/>
        <v>8.4140805095954931</v>
      </c>
      <c r="H37" s="198">
        <f t="shared" si="3"/>
        <v>22458388.27033335</v>
      </c>
      <c r="I37" s="243">
        <f t="shared" si="4"/>
        <v>6.0239307959902391</v>
      </c>
      <c r="J37" s="94">
        <f>+SUM(J38:J47)</f>
        <v>385937698.44</v>
      </c>
      <c r="K37" s="230">
        <f t="shared" si="5"/>
        <v>9.1096090836991923</v>
      </c>
      <c r="L37" s="198">
        <f t="shared" si="7"/>
        <v>9340183.1299999952</v>
      </c>
      <c r="M37" s="243">
        <f t="shared" si="0"/>
        <v>2.4201271779756155</v>
      </c>
      <c r="BM37" s="154"/>
      <c r="BN37" s="154"/>
      <c r="BO37" s="140"/>
      <c r="BP37" s="140"/>
      <c r="BQ37" s="140"/>
      <c r="BR37" s="139"/>
    </row>
    <row r="38" spans="1:70" ht="13.5" customHeight="1">
      <c r="B38" s="80">
        <v>411</v>
      </c>
      <c r="C38" s="93" t="s">
        <v>63</v>
      </c>
      <c r="D38" s="159">
        <v>227772478.56999999</v>
      </c>
      <c r="E38" s="230">
        <f t="shared" si="1"/>
        <v>5.1405465835383328</v>
      </c>
      <c r="F38" s="149">
        <v>219488880.05499998</v>
      </c>
      <c r="G38" s="238">
        <f t="shared" si="2"/>
        <v>4.953595884696111</v>
      </c>
      <c r="H38" s="200">
        <f t="shared" si="3"/>
        <v>8283598.5150000155</v>
      </c>
      <c r="I38" s="243">
        <f t="shared" si="4"/>
        <v>3.7740401759416216</v>
      </c>
      <c r="J38" s="149">
        <v>220793436.63</v>
      </c>
      <c r="K38" s="230">
        <f t="shared" si="5"/>
        <v>5.2115714636737005</v>
      </c>
      <c r="L38" s="200">
        <f t="shared" si="7"/>
        <v>6979041.9399999976</v>
      </c>
      <c r="M38" s="243">
        <f t="shared" si="0"/>
        <v>3.1608919388737462</v>
      </c>
      <c r="BM38" s="154"/>
      <c r="BN38" s="154"/>
      <c r="BO38" s="140"/>
      <c r="BP38" s="140"/>
      <c r="BQ38" s="140"/>
      <c r="BR38" s="139"/>
    </row>
    <row r="39" spans="1:70" ht="13.5" customHeight="1">
      <c r="B39" s="80">
        <v>412</v>
      </c>
      <c r="C39" s="93" t="s">
        <v>74</v>
      </c>
      <c r="D39" s="149">
        <v>5128895.0600000005</v>
      </c>
      <c r="E39" s="230">
        <f t="shared" si="1"/>
        <v>0.11575289579995036</v>
      </c>
      <c r="F39" s="149">
        <v>6331261.7566666678</v>
      </c>
      <c r="G39" s="238">
        <f t="shared" si="2"/>
        <v>0.14288884327488022</v>
      </c>
      <c r="H39" s="200">
        <f t="shared" si="3"/>
        <v>-1202366.6966666672</v>
      </c>
      <c r="I39" s="243">
        <f t="shared" si="4"/>
        <v>-18.990949085316259</v>
      </c>
      <c r="J39" s="149">
        <v>4264765.3099999996</v>
      </c>
      <c r="K39" s="230">
        <f t="shared" si="5"/>
        <v>0.10066480928102722</v>
      </c>
      <c r="L39" s="200">
        <f t="shared" si="7"/>
        <v>864129.75000000093</v>
      </c>
      <c r="M39" s="243">
        <f t="shared" si="0"/>
        <v>20.262070411560359</v>
      </c>
      <c r="BM39" s="154"/>
      <c r="BN39" s="154"/>
      <c r="BO39" s="140"/>
      <c r="BP39" s="140"/>
      <c r="BQ39" s="140"/>
      <c r="BR39" s="139"/>
    </row>
    <row r="40" spans="1:70" ht="13.5" customHeight="1">
      <c r="B40" s="80">
        <v>413</v>
      </c>
      <c r="C40" s="93" t="s">
        <v>428</v>
      </c>
      <c r="D40" s="149">
        <v>14665968.030000001</v>
      </c>
      <c r="E40" s="230">
        <f t="shared" si="1"/>
        <v>0.33099298178699588</v>
      </c>
      <c r="F40" s="149">
        <v>14576239.928000001</v>
      </c>
      <c r="G40" s="238">
        <f t="shared" si="2"/>
        <v>0.32896792814100978</v>
      </c>
      <c r="H40" s="200">
        <f t="shared" si="3"/>
        <v>89728.101999999955</v>
      </c>
      <c r="I40" s="243">
        <f t="shared" si="4"/>
        <v>0.61557783381185516</v>
      </c>
      <c r="J40" s="149">
        <v>11792103.01</v>
      </c>
      <c r="K40" s="230">
        <f t="shared" si="5"/>
        <v>0.27833883326252179</v>
      </c>
      <c r="L40" s="200">
        <f t="shared" si="7"/>
        <v>2873865.0200000014</v>
      </c>
      <c r="M40" s="243">
        <f t="shared" si="0"/>
        <v>24.371098332187998</v>
      </c>
      <c r="BM40" s="154"/>
      <c r="BN40" s="154"/>
      <c r="BO40" s="140"/>
      <c r="BP40" s="140"/>
      <c r="BQ40" s="140"/>
      <c r="BR40" s="139"/>
    </row>
    <row r="41" spans="1:70" ht="13.5" customHeight="1">
      <c r="B41" s="80">
        <v>414</v>
      </c>
      <c r="C41" s="93" t="s">
        <v>429</v>
      </c>
      <c r="D41" s="149">
        <v>32823784.890000001</v>
      </c>
      <c r="E41" s="230">
        <f t="shared" si="1"/>
        <v>0.74079272585704936</v>
      </c>
      <c r="F41" s="149">
        <v>24251856.869333327</v>
      </c>
      <c r="G41" s="238">
        <f t="shared" si="2"/>
        <v>0.54733478230908683</v>
      </c>
      <c r="H41" s="200">
        <f t="shared" si="3"/>
        <v>8571928.0206666738</v>
      </c>
      <c r="I41" s="243">
        <f t="shared" si="4"/>
        <v>35.345450316861928</v>
      </c>
      <c r="J41" s="149">
        <v>25145532.019999996</v>
      </c>
      <c r="K41" s="230">
        <f t="shared" si="5"/>
        <v>0.59353094509748372</v>
      </c>
      <c r="L41" s="200">
        <f t="shared" si="7"/>
        <v>7678252.8700000048</v>
      </c>
      <c r="M41" s="243">
        <f t="shared" si="0"/>
        <v>30.535257173691747</v>
      </c>
      <c r="BM41" s="154"/>
      <c r="BN41" s="154"/>
      <c r="BO41" s="140"/>
      <c r="BP41" s="140"/>
      <c r="BQ41" s="140"/>
      <c r="BR41" s="139"/>
    </row>
    <row r="42" spans="1:70" ht="13.5" customHeight="1">
      <c r="B42" s="80">
        <v>415</v>
      </c>
      <c r="C42" s="93" t="s">
        <v>430</v>
      </c>
      <c r="D42" s="149">
        <v>8259991.4499999993</v>
      </c>
      <c r="E42" s="230">
        <f t="shared" si="1"/>
        <v>0.18641791622469472</v>
      </c>
      <c r="F42" s="149">
        <v>11161916.390000001</v>
      </c>
      <c r="G42" s="238">
        <f t="shared" si="2"/>
        <v>0.25191081698977635</v>
      </c>
      <c r="H42" s="200">
        <f t="shared" si="3"/>
        <v>-2901924.9400000013</v>
      </c>
      <c r="I42" s="243">
        <f t="shared" si="4"/>
        <v>-25.998447207505023</v>
      </c>
      <c r="J42" s="149">
        <v>7194763.4399999995</v>
      </c>
      <c r="K42" s="230">
        <f t="shared" si="5"/>
        <v>0.16982399660104799</v>
      </c>
      <c r="L42" s="200">
        <f t="shared" si="7"/>
        <v>1065228.0099999998</v>
      </c>
      <c r="M42" s="243">
        <f t="shared" si="0"/>
        <v>14.805601586255904</v>
      </c>
      <c r="BM42" s="154"/>
      <c r="BN42" s="154"/>
      <c r="BO42" s="140"/>
      <c r="BP42" s="140"/>
      <c r="BQ42" s="140"/>
      <c r="BR42" s="139"/>
    </row>
    <row r="43" spans="1:70" ht="13.5" customHeight="1">
      <c r="B43" s="80">
        <v>416</v>
      </c>
      <c r="C43" s="93" t="s">
        <v>79</v>
      </c>
      <c r="D43" s="149">
        <v>58421274.180000007</v>
      </c>
      <c r="E43" s="230">
        <f t="shared" si="1"/>
        <v>1.3184967880114651</v>
      </c>
      <c r="F43" s="149">
        <v>42736350</v>
      </c>
      <c r="G43" s="238">
        <f t="shared" si="2"/>
        <v>0.96450721072468337</v>
      </c>
      <c r="H43" s="200">
        <f t="shared" si="3"/>
        <v>15684924.180000007</v>
      </c>
      <c r="I43" s="243">
        <f t="shared" si="4"/>
        <v>36.701599879259703</v>
      </c>
      <c r="J43" s="149">
        <v>80913096.160000011</v>
      </c>
      <c r="K43" s="230">
        <f t="shared" si="5"/>
        <v>1.9098592305150357</v>
      </c>
      <c r="L43" s="200">
        <f t="shared" si="7"/>
        <v>-22491821.980000004</v>
      </c>
      <c r="M43" s="243">
        <f t="shared" si="0"/>
        <v>-27.797505036173618</v>
      </c>
      <c r="BM43" s="154"/>
      <c r="BN43" s="154"/>
      <c r="BO43" s="140"/>
      <c r="BP43" s="140"/>
      <c r="BQ43" s="140"/>
      <c r="BR43" s="139"/>
    </row>
    <row r="44" spans="1:70" ht="13.5" customHeight="1">
      <c r="B44" s="80">
        <v>417</v>
      </c>
      <c r="C44" s="93" t="s">
        <v>81</v>
      </c>
      <c r="D44" s="149">
        <v>4240827.53</v>
      </c>
      <c r="E44" s="230">
        <f t="shared" si="1"/>
        <v>9.5710296553747548E-2</v>
      </c>
      <c r="F44" s="149">
        <v>4800065.6000000006</v>
      </c>
      <c r="G44" s="238">
        <f t="shared" si="2"/>
        <v>0.10833161660159336</v>
      </c>
      <c r="H44" s="200">
        <f t="shared" si="3"/>
        <v>-559238.0700000003</v>
      </c>
      <c r="I44" s="243">
        <f t="shared" si="4"/>
        <v>-11.650633899670041</v>
      </c>
      <c r="J44" s="149">
        <v>3944289.04</v>
      </c>
      <c r="K44" s="230">
        <f t="shared" si="5"/>
        <v>9.3100340839352314E-2</v>
      </c>
      <c r="L44" s="200">
        <f t="shared" si="7"/>
        <v>296538.49000000022</v>
      </c>
      <c r="M44" s="243">
        <f t="shared" si="0"/>
        <v>7.5181734145933774</v>
      </c>
      <c r="BM44" s="154"/>
      <c r="BN44" s="154"/>
      <c r="BO44" s="140"/>
      <c r="BP44" s="140"/>
      <c r="BQ44" s="140"/>
      <c r="BR44" s="139"/>
    </row>
    <row r="45" spans="1:70" ht="13.5" customHeight="1">
      <c r="B45" s="80">
        <v>418</v>
      </c>
      <c r="C45" s="93" t="s">
        <v>83</v>
      </c>
      <c r="D45" s="149">
        <v>11089143.959999999</v>
      </c>
      <c r="E45" s="230">
        <f t="shared" si="1"/>
        <v>0.25026843214696787</v>
      </c>
      <c r="F45" s="149">
        <v>13505900.000000002</v>
      </c>
      <c r="G45" s="238">
        <f t="shared" si="2"/>
        <v>0.30481166354465233</v>
      </c>
      <c r="H45" s="200">
        <f t="shared" si="3"/>
        <v>-2416756.0400000028</v>
      </c>
      <c r="I45" s="243">
        <f t="shared" si="4"/>
        <v>-17.894076218541542</v>
      </c>
      <c r="J45" s="149">
        <v>5894573.0500000007</v>
      </c>
      <c r="K45" s="230">
        <f t="shared" si="5"/>
        <v>0.13913451942595478</v>
      </c>
      <c r="L45" s="200">
        <f t="shared" si="7"/>
        <v>5194570.9099999983</v>
      </c>
      <c r="M45" s="243">
        <f t="shared" si="0"/>
        <v>88.124633725592702</v>
      </c>
      <c r="BM45" s="154"/>
      <c r="BN45" s="154"/>
      <c r="BO45" s="140"/>
      <c r="BP45" s="140"/>
      <c r="BQ45" s="140"/>
      <c r="BR45" s="139"/>
    </row>
    <row r="46" spans="1:70" ht="13.5" customHeight="1">
      <c r="B46" s="80">
        <v>419</v>
      </c>
      <c r="C46" s="93" t="s">
        <v>85</v>
      </c>
      <c r="D46" s="149">
        <v>15267209.73</v>
      </c>
      <c r="E46" s="230">
        <f t="shared" si="1"/>
        <v>0.34456227245029225</v>
      </c>
      <c r="F46" s="149">
        <v>15834276.937333332</v>
      </c>
      <c r="G46" s="238">
        <f t="shared" si="2"/>
        <v>0.35736028656330165</v>
      </c>
      <c r="H46" s="200">
        <f t="shared" si="3"/>
        <v>-567067.20733333193</v>
      </c>
      <c r="I46" s="243">
        <f t="shared" si="4"/>
        <v>-3.5812636698069014</v>
      </c>
      <c r="J46" s="149">
        <v>14120067.26</v>
      </c>
      <c r="K46" s="230">
        <f>+J45/$J$11*100</f>
        <v>0.13913451942595478</v>
      </c>
      <c r="L46" s="200">
        <f t="shared" si="7"/>
        <v>1147142.4700000007</v>
      </c>
      <c r="M46" s="243">
        <f t="shared" si="0"/>
        <v>8.124199756821838</v>
      </c>
      <c r="BM46" s="154"/>
      <c r="BN46" s="154"/>
      <c r="BO46" s="140"/>
      <c r="BP46" s="140"/>
      <c r="BQ46" s="140"/>
      <c r="BR46" s="139"/>
    </row>
    <row r="47" spans="1:70" ht="13.5" customHeight="1">
      <c r="B47" s="80">
        <v>441</v>
      </c>
      <c r="C47" s="93" t="s">
        <v>129</v>
      </c>
      <c r="D47" s="159">
        <v>17608308.170000006</v>
      </c>
      <c r="E47" s="233">
        <f t="shared" si="1"/>
        <v>0.39739800424293042</v>
      </c>
      <c r="F47" s="149">
        <v>20132745.763333339</v>
      </c>
      <c r="G47" s="238">
        <f t="shared" si="2"/>
        <v>0.45437147675039702</v>
      </c>
      <c r="H47" s="200">
        <f t="shared" si="3"/>
        <v>-2524437.5933333337</v>
      </c>
      <c r="I47" s="245">
        <f t="shared" si="4"/>
        <v>-12.538963254237046</v>
      </c>
      <c r="J47" s="149">
        <v>11875072.52</v>
      </c>
      <c r="K47" s="233">
        <f>+J46/$J$11*100</f>
        <v>0.33328771326063356</v>
      </c>
      <c r="L47" s="200">
        <f t="shared" si="7"/>
        <v>5733235.650000006</v>
      </c>
      <c r="M47" s="245">
        <f t="shared" si="0"/>
        <v>48.279584317014411</v>
      </c>
      <c r="BM47" s="154"/>
      <c r="BN47" s="154"/>
      <c r="BO47" s="140"/>
      <c r="BP47" s="140"/>
      <c r="BQ47" s="140"/>
      <c r="BR47" s="139"/>
    </row>
    <row r="48" spans="1:70" ht="13.5" customHeight="1">
      <c r="A48" s="80">
        <v>42</v>
      </c>
      <c r="B48" s="80">
        <v>42</v>
      </c>
      <c r="C48" s="93" t="s">
        <v>86</v>
      </c>
      <c r="D48" s="149">
        <f>+SUM(D49:D53)</f>
        <v>265214445.67999995</v>
      </c>
      <c r="E48" s="230">
        <f t="shared" si="1"/>
        <v>5.9855660403078366</v>
      </c>
      <c r="F48" s="149">
        <f>+SUM(F49:F53)</f>
        <v>275704344.97500002</v>
      </c>
      <c r="G48" s="238">
        <f t="shared" si="2"/>
        <v>6.2223102524317859</v>
      </c>
      <c r="H48" s="198">
        <f t="shared" si="3"/>
        <v>-10489899.295000076</v>
      </c>
      <c r="I48" s="243">
        <f t="shared" si="4"/>
        <v>-3.8047638661448246</v>
      </c>
      <c r="J48" s="149">
        <f>+SUM(J49:J53)</f>
        <v>272934930.55000001</v>
      </c>
      <c r="K48" s="230">
        <f t="shared" si="5"/>
        <v>6.4423105922201769</v>
      </c>
      <c r="L48" s="198">
        <f t="shared" si="7"/>
        <v>-7720484.8700000644</v>
      </c>
      <c r="M48" s="243">
        <f t="shared" si="0"/>
        <v>-2.8286906532785139</v>
      </c>
      <c r="BM48" s="154"/>
      <c r="BN48" s="154"/>
      <c r="BO48" s="140"/>
      <c r="BP48" s="140"/>
      <c r="BQ48" s="140"/>
      <c r="BR48" s="139"/>
    </row>
    <row r="49" spans="1:70" ht="13.5" customHeight="1">
      <c r="B49" s="80">
        <v>421</v>
      </c>
      <c r="C49" s="97" t="s">
        <v>88</v>
      </c>
      <c r="D49" s="151">
        <v>38154008.969999999</v>
      </c>
      <c r="E49" s="231">
        <f t="shared" si="1"/>
        <v>0.86108937168521071</v>
      </c>
      <c r="F49" s="151">
        <v>39906000</v>
      </c>
      <c r="G49" s="239">
        <f t="shared" si="2"/>
        <v>0.90062966891602159</v>
      </c>
      <c r="H49" s="201">
        <f t="shared" si="3"/>
        <v>-1751991.0300000012</v>
      </c>
      <c r="I49" s="244">
        <f t="shared" si="4"/>
        <v>-4.3902947677041055</v>
      </c>
      <c r="J49" s="151">
        <v>57437898.479999997</v>
      </c>
      <c r="K49" s="231">
        <f t="shared" si="5"/>
        <v>1.3557545786715763</v>
      </c>
      <c r="L49" s="201">
        <f t="shared" si="7"/>
        <v>-19283889.509999998</v>
      </c>
      <c r="M49" s="244">
        <f t="shared" si="0"/>
        <v>-33.573459371454348</v>
      </c>
      <c r="BM49" s="154"/>
      <c r="BN49" s="154"/>
      <c r="BO49" s="140"/>
      <c r="BP49" s="140"/>
      <c r="BQ49" s="140"/>
      <c r="BR49" s="139"/>
    </row>
    <row r="50" spans="1:70" ht="13.5" customHeight="1">
      <c r="B50" s="80">
        <v>422</v>
      </c>
      <c r="C50" s="97" t="s">
        <v>90</v>
      </c>
      <c r="D50" s="151">
        <v>6014821.4799999995</v>
      </c>
      <c r="E50" s="231">
        <f t="shared" si="1"/>
        <v>0.13574717280913584</v>
      </c>
      <c r="F50" s="151">
        <v>10199399.760000002</v>
      </c>
      <c r="G50" s="239">
        <f t="shared" si="2"/>
        <v>0.23018799250716562</v>
      </c>
      <c r="H50" s="201">
        <f t="shared" si="3"/>
        <v>-4184578.2800000021</v>
      </c>
      <c r="I50" s="244">
        <f t="shared" si="4"/>
        <v>-41.027691613883768</v>
      </c>
      <c r="J50" s="151">
        <v>5536005.5500000007</v>
      </c>
      <c r="K50" s="231">
        <f t="shared" si="5"/>
        <v>0.13067095194259551</v>
      </c>
      <c r="L50" s="201">
        <f t="shared" si="7"/>
        <v>478815.92999999877</v>
      </c>
      <c r="M50" s="244">
        <f t="shared" si="0"/>
        <v>8.6491230125301968</v>
      </c>
      <c r="BM50" s="154"/>
      <c r="BN50" s="154"/>
      <c r="BO50" s="140"/>
      <c r="BP50" s="140"/>
      <c r="BQ50" s="140"/>
      <c r="BR50" s="139"/>
    </row>
    <row r="51" spans="1:70" ht="13.5" customHeight="1">
      <c r="B51" s="80">
        <v>423</v>
      </c>
      <c r="C51" s="97" t="s">
        <v>92</v>
      </c>
      <c r="D51" s="151">
        <v>207351126.36999997</v>
      </c>
      <c r="E51" s="231">
        <f t="shared" si="1"/>
        <v>4.6796616120878367</v>
      </c>
      <c r="F51" s="151">
        <v>212836395.215</v>
      </c>
      <c r="G51" s="239">
        <f t="shared" si="2"/>
        <v>4.8034574288519263</v>
      </c>
      <c r="H51" s="201">
        <f t="shared" si="3"/>
        <v>-5485268.8450000286</v>
      </c>
      <c r="I51" s="244">
        <f t="shared" si="4"/>
        <v>-2.5772231480706012</v>
      </c>
      <c r="J51" s="151">
        <v>198586743.64000002</v>
      </c>
      <c r="K51" s="231">
        <f t="shared" si="5"/>
        <v>4.6874083850257282</v>
      </c>
      <c r="L51" s="201">
        <f t="shared" si="7"/>
        <v>8764382.7299999595</v>
      </c>
      <c r="M51" s="244">
        <f t="shared" si="0"/>
        <v>4.4133775343474753</v>
      </c>
      <c r="BM51" s="154"/>
      <c r="BN51" s="154"/>
      <c r="BO51" s="140"/>
      <c r="BP51" s="140"/>
      <c r="BQ51" s="140"/>
      <c r="BR51" s="139"/>
    </row>
    <row r="52" spans="1:70" ht="13.5" customHeight="1">
      <c r="B52" s="80">
        <v>424</v>
      </c>
      <c r="C52" s="97" t="s">
        <v>94</v>
      </c>
      <c r="D52" s="151">
        <v>9384720.8499999996</v>
      </c>
      <c r="E52" s="231">
        <f t="shared" si="1"/>
        <v>0.21180168475930394</v>
      </c>
      <c r="F52" s="151">
        <v>8250049.9999999991</v>
      </c>
      <c r="G52" s="239">
        <f t="shared" si="2"/>
        <v>0.18619354984314695</v>
      </c>
      <c r="H52" s="201">
        <f t="shared" si="3"/>
        <v>1134670.8500000006</v>
      </c>
      <c r="I52" s="244">
        <f t="shared" si="4"/>
        <v>13.753502706044202</v>
      </c>
      <c r="J52" s="151">
        <v>7180365.1899999995</v>
      </c>
      <c r="K52" s="231">
        <f t="shared" si="5"/>
        <v>0.1694841427087759</v>
      </c>
      <c r="L52" s="201">
        <f t="shared" si="7"/>
        <v>2204355.66</v>
      </c>
      <c r="M52" s="244">
        <f t="shared" si="0"/>
        <v>30.699770856640782</v>
      </c>
      <c r="BM52" s="154"/>
      <c r="BN52" s="154"/>
      <c r="BO52" s="140"/>
      <c r="BP52" s="140"/>
      <c r="BQ52" s="140"/>
      <c r="BR52" s="139"/>
    </row>
    <row r="53" spans="1:70" ht="13.5" customHeight="1">
      <c r="B53" s="80">
        <v>425</v>
      </c>
      <c r="C53" s="97" t="s">
        <v>431</v>
      </c>
      <c r="D53" s="151">
        <v>4309768.01</v>
      </c>
      <c r="E53" s="231">
        <f t="shared" si="1"/>
        <v>9.7266198966349943E-2</v>
      </c>
      <c r="F53" s="151">
        <v>4512500</v>
      </c>
      <c r="G53" s="239">
        <f t="shared" si="2"/>
        <v>0.10184161231352547</v>
      </c>
      <c r="H53" s="201">
        <f t="shared" si="3"/>
        <v>-202731.99000000022</v>
      </c>
      <c r="I53" s="244">
        <f t="shared" si="4"/>
        <v>-4.4926756786703663</v>
      </c>
      <c r="J53" s="151">
        <v>4193917.6899999995</v>
      </c>
      <c r="K53" s="231">
        <f t="shared" si="5"/>
        <v>9.8992533871500726E-2</v>
      </c>
      <c r="L53" s="201">
        <f t="shared" si="7"/>
        <v>115850.3200000003</v>
      </c>
      <c r="M53" s="244">
        <f t="shared" si="0"/>
        <v>2.7623412895354278</v>
      </c>
      <c r="BM53" s="154"/>
      <c r="BN53" s="154"/>
      <c r="BO53" s="140"/>
      <c r="BP53" s="140"/>
      <c r="BQ53" s="140"/>
      <c r="BR53" s="139"/>
    </row>
    <row r="54" spans="1:70" ht="13.5" customHeight="1">
      <c r="A54" s="80">
        <v>43</v>
      </c>
      <c r="B54" s="80">
        <v>431</v>
      </c>
      <c r="C54" s="93" t="s">
        <v>432</v>
      </c>
      <c r="D54" s="149">
        <f>SUM(D55:D56)</f>
        <v>87354384.560000002</v>
      </c>
      <c r="E54" s="230">
        <f t="shared" si="1"/>
        <v>1.9714817432124401</v>
      </c>
      <c r="F54" s="149">
        <f>SUM(F55:F56)</f>
        <v>100371269.34999999</v>
      </c>
      <c r="G54" s="238">
        <f t="shared" si="2"/>
        <v>2.265256930871832</v>
      </c>
      <c r="H54" s="198">
        <f t="shared" si="3"/>
        <v>-13016884.789999992</v>
      </c>
      <c r="I54" s="243">
        <f t="shared" si="4"/>
        <v>-12.968735848711262</v>
      </c>
      <c r="J54" s="149">
        <f>SUM(J55:J56)</f>
        <v>65888641.469999999</v>
      </c>
      <c r="K54" s="230">
        <f t="shared" si="5"/>
        <v>1.5552245071519615</v>
      </c>
      <c r="L54" s="198">
        <f t="shared" si="7"/>
        <v>21465743.090000004</v>
      </c>
      <c r="M54" s="243">
        <f t="shared" si="0"/>
        <v>32.578821798554856</v>
      </c>
      <c r="BM54" s="154"/>
      <c r="BN54" s="154"/>
      <c r="BO54" s="140"/>
      <c r="BP54" s="140"/>
      <c r="BQ54" s="140"/>
      <c r="BR54" s="139"/>
    </row>
    <row r="55" spans="1:70" ht="13.5" customHeight="1">
      <c r="C55" s="228" t="s">
        <v>432</v>
      </c>
      <c r="D55" s="281">
        <v>85064384.579999998</v>
      </c>
      <c r="E55" s="230">
        <f t="shared" si="1"/>
        <v>1.9197992412376716</v>
      </c>
      <c r="F55" s="281">
        <v>97463271</v>
      </c>
      <c r="G55" s="238">
        <f t="shared" si="2"/>
        <v>2.1996269606626191</v>
      </c>
      <c r="H55" s="288">
        <f t="shared" si="3"/>
        <v>-12398886.420000002</v>
      </c>
      <c r="I55" s="287">
        <f t="shared" si="4"/>
        <v>-12.721598908782781</v>
      </c>
      <c r="J55" s="281">
        <v>65161508.119999997</v>
      </c>
      <c r="K55" s="230">
        <f t="shared" si="5"/>
        <v>1.5380613727989425</v>
      </c>
      <c r="L55" s="288">
        <f t="shared" si="7"/>
        <v>19902876.460000001</v>
      </c>
      <c r="M55" s="287">
        <f t="shared" si="0"/>
        <v>30.54391623862864</v>
      </c>
      <c r="BM55" s="154"/>
      <c r="BN55" s="154"/>
      <c r="BO55" s="140"/>
      <c r="BP55" s="140"/>
      <c r="BQ55" s="140"/>
      <c r="BR55" s="139"/>
    </row>
    <row r="56" spans="1:70" ht="13.5" customHeight="1" thickBot="1">
      <c r="C56" s="228" t="s">
        <v>460</v>
      </c>
      <c r="D56" s="281">
        <v>2289999.98</v>
      </c>
      <c r="E56" s="230">
        <f t="shared" si="1"/>
        <v>5.1682501974768105E-2</v>
      </c>
      <c r="F56" s="281">
        <v>2907998.35</v>
      </c>
      <c r="G56" s="238">
        <f t="shared" si="2"/>
        <v>6.5629970209212588E-2</v>
      </c>
      <c r="H56" s="288">
        <f t="shared" si="3"/>
        <v>-617998.37000000011</v>
      </c>
      <c r="I56" s="287">
        <f t="shared" si="4"/>
        <v>-21.251675400709914</v>
      </c>
      <c r="J56" s="281">
        <v>727133.35</v>
      </c>
      <c r="K56" s="230">
        <f t="shared" si="5"/>
        <v>1.716313435301893E-2</v>
      </c>
      <c r="L56" s="288">
        <f t="shared" si="7"/>
        <v>1562866.63</v>
      </c>
      <c r="M56" s="287">
        <f t="shared" si="0"/>
        <v>214.93535264198789</v>
      </c>
      <c r="BM56" s="154"/>
      <c r="BN56" s="154"/>
      <c r="BO56" s="140"/>
      <c r="BP56" s="140"/>
      <c r="BQ56" s="140"/>
      <c r="BR56" s="139"/>
    </row>
    <row r="57" spans="1:70" ht="13.5" customHeight="1" thickTop="1" thickBot="1">
      <c r="B57" s="80">
        <v>44</v>
      </c>
      <c r="C57" s="90" t="s">
        <v>130</v>
      </c>
      <c r="D57" s="282">
        <v>79165922.390000001</v>
      </c>
      <c r="E57" s="232">
        <f t="shared" si="1"/>
        <v>1.7866781554537452</v>
      </c>
      <c r="F57" s="155">
        <v>128832499.99999999</v>
      </c>
      <c r="G57" s="237">
        <f t="shared" si="2"/>
        <v>2.9075921370376219</v>
      </c>
      <c r="H57" s="155">
        <f t="shared" si="3"/>
        <v>-49666577.609999985</v>
      </c>
      <c r="I57" s="232">
        <f t="shared" si="4"/>
        <v>-38.551279847864471</v>
      </c>
      <c r="J57" s="155">
        <v>41077939.090000004</v>
      </c>
      <c r="K57" s="232">
        <f t="shared" si="5"/>
        <v>0.96959682504838796</v>
      </c>
      <c r="L57" s="155">
        <f>+D57-J57</f>
        <v>38087983.299999997</v>
      </c>
      <c r="M57" s="232">
        <f t="shared" si="0"/>
        <v>92.721261445348716</v>
      </c>
      <c r="BM57" s="154"/>
      <c r="BN57" s="154"/>
      <c r="BO57" s="140"/>
      <c r="BP57" s="140"/>
      <c r="BQ57" s="140"/>
      <c r="BR57" s="139"/>
    </row>
    <row r="58" spans="1:70" ht="13.5" customHeight="1" thickTop="1">
      <c r="B58" s="80">
        <v>451</v>
      </c>
      <c r="C58" s="93" t="s">
        <v>110</v>
      </c>
      <c r="D58" s="149">
        <v>1234392.67</v>
      </c>
      <c r="E58" s="230">
        <f t="shared" si="1"/>
        <v>2.78587345685978E-2</v>
      </c>
      <c r="F58" s="149">
        <v>1437500.5</v>
      </c>
      <c r="G58" s="238">
        <f t="shared" si="2"/>
        <v>3.2442630165429143E-2</v>
      </c>
      <c r="H58" s="200">
        <f t="shared" si="3"/>
        <v>-203107.83000000007</v>
      </c>
      <c r="I58" s="243">
        <f t="shared" si="4"/>
        <v>-14.129235433309418</v>
      </c>
      <c r="J58" s="149">
        <v>1089216.67</v>
      </c>
      <c r="K58" s="230">
        <f t="shared" si="5"/>
        <v>2.5709688665439264E-2</v>
      </c>
      <c r="L58" s="149">
        <f t="shared" si="7"/>
        <v>145176</v>
      </c>
      <c r="M58" s="243">
        <f t="shared" si="0"/>
        <v>13.328477611346145</v>
      </c>
      <c r="BM58" s="154"/>
      <c r="BN58" s="154"/>
      <c r="BO58" s="140"/>
      <c r="BP58" s="140"/>
      <c r="BQ58" s="140"/>
      <c r="BR58" s="139"/>
    </row>
    <row r="59" spans="1:70" ht="13.5" customHeight="1" thickBot="1">
      <c r="B59" s="80">
        <v>47</v>
      </c>
      <c r="C59" s="93" t="s">
        <v>117</v>
      </c>
      <c r="D59" s="149">
        <v>9118214.6500000004</v>
      </c>
      <c r="E59" s="230">
        <f t="shared" si="1"/>
        <v>0.20578696540206279</v>
      </c>
      <c r="F59" s="149">
        <v>5580076.9079999998</v>
      </c>
      <c r="G59" s="238">
        <f t="shared" si="2"/>
        <v>0.12593551892392066</v>
      </c>
      <c r="H59" s="200">
        <f t="shared" si="3"/>
        <v>3538137.7420000006</v>
      </c>
      <c r="I59" s="243">
        <f t="shared" si="4"/>
        <v>63.40661249538465</v>
      </c>
      <c r="J59" s="149">
        <v>6422808.75</v>
      </c>
      <c r="K59" s="230">
        <f t="shared" si="5"/>
        <v>0.15160290681206628</v>
      </c>
      <c r="L59" s="149">
        <f t="shared" si="7"/>
        <v>2695405.9000000004</v>
      </c>
      <c r="M59" s="243">
        <f t="shared" si="0"/>
        <v>41.966155383343789</v>
      </c>
      <c r="BM59" s="154"/>
      <c r="BN59" s="154"/>
      <c r="BO59" s="140"/>
      <c r="BP59" s="140"/>
      <c r="BQ59" s="140"/>
      <c r="BR59" s="139"/>
    </row>
    <row r="60" spans="1:70" ht="13.5" customHeight="1" thickTop="1" thickBot="1">
      <c r="B60" s="80">
        <v>462</v>
      </c>
      <c r="C60" s="143" t="s">
        <v>112</v>
      </c>
      <c r="D60" s="156">
        <v>0</v>
      </c>
      <c r="E60" s="234">
        <f t="shared" si="1"/>
        <v>0</v>
      </c>
      <c r="F60" s="156">
        <v>0</v>
      </c>
      <c r="G60" s="240">
        <f t="shared" si="2"/>
        <v>0</v>
      </c>
      <c r="H60" s="202">
        <f t="shared" si="3"/>
        <v>0</v>
      </c>
      <c r="I60" s="246" t="str">
        <f t="shared" si="4"/>
        <v>...</v>
      </c>
      <c r="J60" s="156">
        <v>0</v>
      </c>
      <c r="K60" s="234">
        <f t="shared" si="5"/>
        <v>0</v>
      </c>
      <c r="L60" s="156">
        <f t="shared" si="7"/>
        <v>0</v>
      </c>
      <c r="M60" s="246" t="str">
        <f t="shared" ref="M60:M75" si="8">+IF(ISNUMBER(D60/J60*100-100),D60/J60*100-100,"...")</f>
        <v>...</v>
      </c>
      <c r="BM60" s="154"/>
      <c r="BN60" s="154"/>
      <c r="BO60" s="140"/>
      <c r="BP60" s="140"/>
      <c r="BQ60" s="140"/>
      <c r="BR60" s="139"/>
    </row>
    <row r="61" spans="1:70" ht="13.5" customHeight="1" thickTop="1" thickBot="1">
      <c r="B61" s="283" t="s">
        <v>447</v>
      </c>
      <c r="C61" s="204" t="s">
        <v>446</v>
      </c>
      <c r="D61" s="205">
        <v>11607110.66</v>
      </c>
      <c r="E61" s="235">
        <f t="shared" si="1"/>
        <v>0.26195830779299917</v>
      </c>
      <c r="F61" s="205">
        <v>0</v>
      </c>
      <c r="G61" s="241">
        <f t="shared" si="2"/>
        <v>0</v>
      </c>
      <c r="H61" s="206">
        <f>+D61-F61</f>
        <v>11607110.66</v>
      </c>
      <c r="I61" s="247" t="str">
        <f>+IF(ISNUMBER(D61/F61*100-100),D61/F61*100-100,"...")</f>
        <v>...</v>
      </c>
      <c r="J61" s="205">
        <v>13692718.890000001</v>
      </c>
      <c r="K61" s="235">
        <f>+J61/$J$11*100</f>
        <v>0.32320065359014305</v>
      </c>
      <c r="L61" s="206">
        <f>+D61-J61</f>
        <v>-2085608.2300000004</v>
      </c>
      <c r="M61" s="246">
        <f t="shared" si="8"/>
        <v>-15.231512797090659</v>
      </c>
      <c r="BM61" s="154"/>
      <c r="BN61" s="154"/>
      <c r="BO61" s="140"/>
      <c r="BP61" s="140"/>
      <c r="BQ61" s="140"/>
      <c r="BR61" s="139"/>
    </row>
    <row r="62" spans="1:70" ht="13.5" customHeight="1" thickTop="1" thickBot="1">
      <c r="B62" s="80">
        <v>990</v>
      </c>
      <c r="C62" s="193" t="s">
        <v>151</v>
      </c>
      <c r="D62" s="149">
        <v>0</v>
      </c>
      <c r="E62" s="230">
        <f t="shared" si="1"/>
        <v>0</v>
      </c>
      <c r="F62" s="149">
        <v>0</v>
      </c>
      <c r="G62" s="238">
        <f t="shared" si="2"/>
        <v>0</v>
      </c>
      <c r="H62" s="200">
        <f t="shared" si="3"/>
        <v>0</v>
      </c>
      <c r="I62" s="248" t="str">
        <f t="shared" si="4"/>
        <v>...</v>
      </c>
      <c r="J62" s="149">
        <v>0</v>
      </c>
      <c r="K62" s="230">
        <f t="shared" si="5"/>
        <v>0</v>
      </c>
      <c r="L62" s="149">
        <f t="shared" si="7"/>
        <v>0</v>
      </c>
      <c r="M62" s="246" t="str">
        <f t="shared" si="8"/>
        <v>...</v>
      </c>
      <c r="BM62" s="154"/>
      <c r="BN62" s="154"/>
      <c r="BO62" s="140"/>
      <c r="BP62" s="140"/>
      <c r="BQ62" s="140"/>
      <c r="BR62" s="139"/>
    </row>
    <row r="63" spans="1:70" ht="13.5" customHeight="1" thickTop="1" thickBot="1">
      <c r="C63" s="90" t="s">
        <v>443</v>
      </c>
      <c r="D63" s="91">
        <f>+D16-D35</f>
        <v>-85190520.339999795</v>
      </c>
      <c r="E63" s="232">
        <f>+D63/$D$11*100</f>
        <v>-1.9226459712473716</v>
      </c>
      <c r="F63" s="91">
        <f>+F16-F35</f>
        <v>-125572916.54054213</v>
      </c>
      <c r="G63" s="237">
        <f t="shared" si="2"/>
        <v>-2.8340273204211814</v>
      </c>
      <c r="H63" s="91">
        <f t="shared" si="3"/>
        <v>40382396.200542331</v>
      </c>
      <c r="I63" s="232">
        <f t="shared" si="4"/>
        <v>-32.158523758986348</v>
      </c>
      <c r="J63" s="91">
        <f>+J16-J35-J62</f>
        <v>-105089950.31000006</v>
      </c>
      <c r="K63" s="232">
        <f t="shared" si="5"/>
        <v>-2.4805256646839462</v>
      </c>
      <c r="L63" s="91">
        <f>+D63-J63</f>
        <v>19899429.970000267</v>
      </c>
      <c r="M63" s="232">
        <f t="shared" si="8"/>
        <v>-18.935616499294028</v>
      </c>
      <c r="BM63" s="154"/>
      <c r="BN63" s="154"/>
      <c r="BO63" s="140"/>
      <c r="BP63" s="140"/>
      <c r="BQ63" s="140"/>
      <c r="BR63" s="139"/>
    </row>
    <row r="64" spans="1:70" ht="13.5" customHeight="1" thickTop="1" thickBot="1">
      <c r="C64" s="90" t="s">
        <v>449</v>
      </c>
      <c r="D64" s="91">
        <f>+D63+D43</f>
        <v>-26769246.159999788</v>
      </c>
      <c r="E64" s="232">
        <f t="shared" si="1"/>
        <v>-0.60414918323590672</v>
      </c>
      <c r="F64" s="91">
        <f>+F63+F43</f>
        <v>-82836566.540542126</v>
      </c>
      <c r="G64" s="237">
        <f t="shared" si="2"/>
        <v>-1.869520109696498</v>
      </c>
      <c r="H64" s="91">
        <f t="shared" si="3"/>
        <v>56067320.380542338</v>
      </c>
      <c r="I64" s="232">
        <f t="shared" si="4"/>
        <v>-67.684263993609264</v>
      </c>
      <c r="J64" s="91">
        <f>+J63+J43</f>
        <v>-24176854.150000051</v>
      </c>
      <c r="K64" s="232">
        <f t="shared" si="5"/>
        <v>-0.57066643416891027</v>
      </c>
      <c r="L64" s="91">
        <f t="shared" si="7"/>
        <v>-2592392.0099997371</v>
      </c>
      <c r="M64" s="232">
        <f t="shared" si="8"/>
        <v>10.72261922049826</v>
      </c>
      <c r="BM64" s="154"/>
      <c r="BN64" s="154"/>
      <c r="BO64" s="140"/>
      <c r="BP64" s="140"/>
      <c r="BQ64" s="140"/>
      <c r="BR64" s="139"/>
    </row>
    <row r="65" spans="2:70" ht="13.5" customHeight="1" thickTop="1" thickBot="1">
      <c r="C65" s="90" t="s">
        <v>450</v>
      </c>
      <c r="D65" s="91">
        <f>+SUM(D66:D67)</f>
        <v>147426879.79000002</v>
      </c>
      <c r="E65" s="232">
        <f t="shared" si="1"/>
        <v>3.3272445731115581</v>
      </c>
      <c r="F65" s="91">
        <f>+SUM(F66:F68)</f>
        <v>93509757.43176645</v>
      </c>
      <c r="G65" s="237">
        <f t="shared" si="2"/>
        <v>2.1104009892294218</v>
      </c>
      <c r="H65" s="91">
        <f t="shared" si="3"/>
        <v>53917122.358233571</v>
      </c>
      <c r="I65" s="232">
        <f t="shared" si="4"/>
        <v>57.659354316662188</v>
      </c>
      <c r="J65" s="91">
        <f>+SUM(J66:J67)</f>
        <v>198557682.85000002</v>
      </c>
      <c r="K65" s="232">
        <f t="shared" si="5"/>
        <v>4.6867224389840914</v>
      </c>
      <c r="L65" s="91">
        <f t="shared" si="7"/>
        <v>-51130803.060000002</v>
      </c>
      <c r="M65" s="232">
        <f t="shared" si="8"/>
        <v>-25.751107852435325</v>
      </c>
      <c r="BM65" s="154"/>
      <c r="BN65" s="154"/>
      <c r="BO65" s="140"/>
      <c r="BP65" s="140"/>
      <c r="BQ65" s="140"/>
      <c r="BR65" s="139"/>
    </row>
    <row r="66" spans="2:70" ht="13.5" customHeight="1" thickTop="1">
      <c r="B66" s="80">
        <v>4611</v>
      </c>
      <c r="C66" s="97" t="s">
        <v>451</v>
      </c>
      <c r="D66" s="151">
        <v>90053708.820000008</v>
      </c>
      <c r="E66" s="231">
        <f t="shared" si="1"/>
        <v>2.0324021941366315</v>
      </c>
      <c r="F66" s="151">
        <v>23268492.480000004</v>
      </c>
      <c r="G66" s="239">
        <f t="shared" si="2"/>
        <v>0.52514144936694584</v>
      </c>
      <c r="H66" s="201">
        <f t="shared" si="3"/>
        <v>66785216.340000004</v>
      </c>
      <c r="I66" s="244">
        <f t="shared" si="4"/>
        <v>287.01995368803534</v>
      </c>
      <c r="J66" s="151">
        <v>105168394.56999999</v>
      </c>
      <c r="K66" s="231">
        <f t="shared" si="5"/>
        <v>2.4823772499173864</v>
      </c>
      <c r="L66" s="201">
        <f t="shared" si="7"/>
        <v>-15114685.749999985</v>
      </c>
      <c r="M66" s="244">
        <f t="shared" si="8"/>
        <v>-14.371889779053021</v>
      </c>
      <c r="BM66" s="154"/>
      <c r="BN66" s="154"/>
      <c r="BO66" s="140"/>
      <c r="BP66" s="140"/>
      <c r="BQ66" s="140"/>
      <c r="BR66" s="139"/>
    </row>
    <row r="67" spans="2:70" ht="13.5" customHeight="1">
      <c r="B67" s="80">
        <v>4612</v>
      </c>
      <c r="C67" s="97" t="s">
        <v>452</v>
      </c>
      <c r="D67" s="151">
        <v>57373170.969999999</v>
      </c>
      <c r="E67" s="231">
        <f t="shared" si="1"/>
        <v>1.2948423789749262</v>
      </c>
      <c r="F67" s="151">
        <v>58826517.451766439</v>
      </c>
      <c r="G67" s="239">
        <f t="shared" si="2"/>
        <v>1.3276426335906124</v>
      </c>
      <c r="H67" s="201">
        <f t="shared" si="3"/>
        <v>-1453346.48176644</v>
      </c>
      <c r="I67" s="244">
        <f t="shared" si="4"/>
        <v>-2.470563522578189</v>
      </c>
      <c r="J67" s="151">
        <v>93389288.280000016</v>
      </c>
      <c r="K67" s="231">
        <f t="shared" si="5"/>
        <v>2.204345189066705</v>
      </c>
      <c r="L67" s="201">
        <f t="shared" si="7"/>
        <v>-36016117.310000017</v>
      </c>
      <c r="M67" s="244">
        <f t="shared" si="8"/>
        <v>-38.565576388178904</v>
      </c>
      <c r="BM67" s="154"/>
      <c r="BN67" s="154"/>
      <c r="BO67" s="140"/>
      <c r="BP67" s="140"/>
      <c r="BQ67" s="140"/>
      <c r="BR67" s="139"/>
    </row>
    <row r="68" spans="2:70" ht="13.5" customHeight="1" thickBot="1">
      <c r="B68" s="80" t="s">
        <v>448</v>
      </c>
      <c r="C68" s="97" t="s">
        <v>446</v>
      </c>
      <c r="D68" s="151">
        <v>0</v>
      </c>
      <c r="E68" s="231">
        <f t="shared" si="1"/>
        <v>0</v>
      </c>
      <c r="F68" s="284">
        <v>11414747.5</v>
      </c>
      <c r="G68" s="239">
        <f t="shared" si="2"/>
        <v>0.25761690627186351</v>
      </c>
      <c r="H68" s="201">
        <f t="shared" si="3"/>
        <v>-11414747.5</v>
      </c>
      <c r="I68" s="244">
        <f t="shared" si="4"/>
        <v>-100</v>
      </c>
      <c r="J68" s="151">
        <v>0</v>
      </c>
      <c r="K68" s="231">
        <f t="shared" si="5"/>
        <v>0</v>
      </c>
      <c r="L68" s="201">
        <f t="shared" si="7"/>
        <v>0</v>
      </c>
      <c r="M68" s="244" t="str">
        <f t="shared" si="8"/>
        <v>...</v>
      </c>
      <c r="BM68" s="154"/>
      <c r="BN68" s="154"/>
      <c r="BO68" s="140"/>
      <c r="BP68" s="140"/>
      <c r="BQ68" s="140"/>
      <c r="BR68" s="139"/>
    </row>
    <row r="69" spans="2:70" ht="13.5" customHeight="1" thickTop="1" thickBot="1">
      <c r="C69" s="90" t="s">
        <v>468</v>
      </c>
      <c r="D69" s="91">
        <v>68939595.359999999</v>
      </c>
      <c r="E69" s="232">
        <f t="shared" si="1"/>
        <v>1.5558824473583244</v>
      </c>
      <c r="F69" s="91">
        <v>70000000</v>
      </c>
      <c r="G69" s="237">
        <f t="shared" si="2"/>
        <v>1.5798144846419462</v>
      </c>
      <c r="H69" s="91">
        <f t="shared" si="3"/>
        <v>-1060404.6400000006</v>
      </c>
      <c r="I69" s="232">
        <f t="shared" si="4"/>
        <v>-1.5148637714285798</v>
      </c>
      <c r="J69" s="91">
        <v>0</v>
      </c>
      <c r="K69" s="232">
        <f t="shared" si="5"/>
        <v>0</v>
      </c>
      <c r="L69" s="91">
        <f t="shared" si="7"/>
        <v>68939595.359999999</v>
      </c>
      <c r="M69" s="232" t="str">
        <f t="shared" si="8"/>
        <v>...</v>
      </c>
      <c r="BM69" s="154"/>
      <c r="BN69" s="154"/>
      <c r="BO69" s="140"/>
      <c r="BP69" s="140"/>
      <c r="BQ69" s="140"/>
      <c r="BR69" s="139"/>
    </row>
    <row r="70" spans="2:70" ht="13.5" customHeight="1" thickTop="1" thickBot="1">
      <c r="C70" s="90" t="s">
        <v>140</v>
      </c>
      <c r="D70" s="91">
        <f>+D63-D65-D69</f>
        <v>-301556995.48999983</v>
      </c>
      <c r="E70" s="232">
        <f t="shared" si="1"/>
        <v>-6.8057729917172542</v>
      </c>
      <c r="F70" s="91">
        <f>+F63-F65-F69</f>
        <v>-289082673.97230858</v>
      </c>
      <c r="G70" s="237">
        <f t="shared" si="2"/>
        <v>-6.5242427942925492</v>
      </c>
      <c r="H70" s="91">
        <f>+D70-F70</f>
        <v>-12474321.517691255</v>
      </c>
      <c r="I70" s="232">
        <f t="shared" ref="I70:I75" si="9">+IF(ISNUMBER(D70/F70*100-100),D70/F70*100-100,"...")</f>
        <v>4.3151397993800771</v>
      </c>
      <c r="J70" s="91">
        <f>+J63-J65-J69</f>
        <v>-303647633.16000009</v>
      </c>
      <c r="K70" s="232">
        <f t="shared" ref="K70:K75" si="10">+J70/$J$11*100</f>
        <v>-7.1672481036680376</v>
      </c>
      <c r="L70" s="91">
        <f t="shared" si="7"/>
        <v>2090637.6700002551</v>
      </c>
      <c r="M70" s="232">
        <f t="shared" si="8"/>
        <v>-0.68850781026790742</v>
      </c>
      <c r="BM70" s="154"/>
      <c r="BN70" s="154"/>
      <c r="BO70" s="140"/>
      <c r="BP70" s="140"/>
      <c r="BQ70" s="140"/>
      <c r="BR70" s="139"/>
    </row>
    <row r="71" spans="2:70" ht="13.5" customHeight="1" thickTop="1" thickBot="1">
      <c r="C71" s="90" t="s">
        <v>120</v>
      </c>
      <c r="D71" s="91">
        <f>+SUM(D72:D75)</f>
        <v>301556995.48999983</v>
      </c>
      <c r="E71" s="232">
        <f t="shared" si="1"/>
        <v>6.8057729917172542</v>
      </c>
      <c r="F71" s="91">
        <f>+SUM(F72:F75)</f>
        <v>289082673.97230858</v>
      </c>
      <c r="G71" s="237">
        <f t="shared" si="2"/>
        <v>6.5242427942925492</v>
      </c>
      <c r="H71" s="91">
        <f t="shared" ref="H71:H75" si="11">+D71-F71</f>
        <v>12474321.517691255</v>
      </c>
      <c r="I71" s="232">
        <f t="shared" si="9"/>
        <v>4.3151397993800771</v>
      </c>
      <c r="J71" s="91">
        <f>+SUM(J72:J75)</f>
        <v>303647633.16000009</v>
      </c>
      <c r="K71" s="232">
        <f t="shared" si="10"/>
        <v>7.1672481036680376</v>
      </c>
      <c r="L71" s="91">
        <f>+SUM(L72:L75)</f>
        <v>-2090637.6700002179</v>
      </c>
      <c r="M71" s="232">
        <f t="shared" si="8"/>
        <v>-0.68850781026790742</v>
      </c>
      <c r="BM71" s="154"/>
      <c r="BN71" s="154"/>
      <c r="BO71" s="140"/>
      <c r="BP71" s="140"/>
      <c r="BQ71" s="140"/>
      <c r="BR71" s="139"/>
    </row>
    <row r="72" spans="2:70" ht="13.5" customHeight="1" thickTop="1">
      <c r="B72" s="80">
        <v>7511</v>
      </c>
      <c r="C72" s="97" t="s">
        <v>453</v>
      </c>
      <c r="D72" s="151">
        <v>120600000</v>
      </c>
      <c r="E72" s="231">
        <f t="shared" si="1"/>
        <v>2.7217946692545532</v>
      </c>
      <c r="F72" s="151">
        <v>0</v>
      </c>
      <c r="G72" s="239">
        <f t="shared" si="2"/>
        <v>0</v>
      </c>
      <c r="H72" s="201">
        <f t="shared" si="11"/>
        <v>120600000</v>
      </c>
      <c r="I72" s="244" t="str">
        <f t="shared" si="9"/>
        <v>...</v>
      </c>
      <c r="J72" s="151">
        <v>182535000</v>
      </c>
      <c r="K72" s="231">
        <f t="shared" si="10"/>
        <v>4.3085257045744232</v>
      </c>
      <c r="L72" s="201">
        <f t="shared" si="7"/>
        <v>-61935000</v>
      </c>
      <c r="M72" s="244">
        <f t="shared" si="8"/>
        <v>-33.930479086202652</v>
      </c>
      <c r="BM72" s="154"/>
      <c r="BN72" s="154"/>
      <c r="BO72" s="140"/>
      <c r="BP72" s="140"/>
      <c r="BQ72" s="140"/>
      <c r="BR72" s="139"/>
    </row>
    <row r="73" spans="2:70" ht="13.5" customHeight="1">
      <c r="B73" s="80">
        <v>7512</v>
      </c>
      <c r="C73" s="97" t="s">
        <v>454</v>
      </c>
      <c r="D73" s="151">
        <v>154835551.28</v>
      </c>
      <c r="E73" s="231">
        <f t="shared" si="1"/>
        <v>3.4944492378523555</v>
      </c>
      <c r="F73" s="151">
        <v>147949999.97999999</v>
      </c>
      <c r="G73" s="239">
        <f t="shared" si="2"/>
        <v>3.3390507567311376</v>
      </c>
      <c r="H73" s="201">
        <f t="shared" si="11"/>
        <v>6885551.3000000119</v>
      </c>
      <c r="I73" s="244">
        <f t="shared" si="9"/>
        <v>4.6539718154314329</v>
      </c>
      <c r="J73" s="151">
        <v>106544893.94</v>
      </c>
      <c r="K73" s="231">
        <f t="shared" si="10"/>
        <v>2.514867911532833</v>
      </c>
      <c r="L73" s="201">
        <f t="shared" si="7"/>
        <v>48290657.340000004</v>
      </c>
      <c r="M73" s="244">
        <f t="shared" si="8"/>
        <v>45.324234277425376</v>
      </c>
      <c r="BM73" s="154"/>
      <c r="BN73" s="154"/>
      <c r="BO73" s="140"/>
      <c r="BP73" s="140"/>
      <c r="BQ73" s="140"/>
      <c r="BR73" s="139"/>
    </row>
    <row r="74" spans="2:70" ht="13.5" customHeight="1" thickBot="1">
      <c r="B74" s="80">
        <v>72</v>
      </c>
      <c r="C74" s="103" t="s">
        <v>401</v>
      </c>
      <c r="D74" s="151">
        <v>13389210.450000001</v>
      </c>
      <c r="E74" s="236">
        <f t="shared" si="1"/>
        <v>0.30217812295470448</v>
      </c>
      <c r="F74" s="151">
        <v>0</v>
      </c>
      <c r="G74" s="242">
        <f t="shared" si="2"/>
        <v>0</v>
      </c>
      <c r="H74" s="201">
        <f t="shared" si="11"/>
        <v>13389210.450000001</v>
      </c>
      <c r="I74" s="244" t="str">
        <f t="shared" si="9"/>
        <v>...</v>
      </c>
      <c r="J74" s="151">
        <v>3383257.63</v>
      </c>
      <c r="K74" s="236">
        <f t="shared" si="10"/>
        <v>7.9857848982674784E-2</v>
      </c>
      <c r="L74" s="201">
        <f t="shared" si="7"/>
        <v>10005952.82</v>
      </c>
      <c r="M74" s="244">
        <f t="shared" si="8"/>
        <v>295.74906537637816</v>
      </c>
      <c r="BM74" s="154"/>
      <c r="BN74" s="154"/>
      <c r="BO74" s="140"/>
      <c r="BP74" s="140"/>
      <c r="BQ74" s="140"/>
      <c r="BR74" s="139"/>
    </row>
    <row r="75" spans="2:70" ht="13.5" customHeight="1" thickTop="1" thickBot="1">
      <c r="C75" s="143" t="s">
        <v>455</v>
      </c>
      <c r="D75" s="156">
        <f>-D70-SUM(D72:D74)</f>
        <v>12732233.759999871</v>
      </c>
      <c r="E75" s="234">
        <f t="shared" si="1"/>
        <v>0.28735096165564267</v>
      </c>
      <c r="F75" s="156">
        <f>-F70-SUM(F72:F74)</f>
        <v>141132673.99230859</v>
      </c>
      <c r="G75" s="240">
        <f t="shared" si="2"/>
        <v>3.1851920375614116</v>
      </c>
      <c r="H75" s="199">
        <f t="shared" si="11"/>
        <v>-128400440.23230872</v>
      </c>
      <c r="I75" s="249">
        <f t="shared" si="9"/>
        <v>-90.978535728237006</v>
      </c>
      <c r="J75" s="156">
        <f>-J70-SUM(J72:J74)</f>
        <v>11184481.590000093</v>
      </c>
      <c r="K75" s="234">
        <f t="shared" si="10"/>
        <v>0.26399663857810729</v>
      </c>
      <c r="L75" s="206">
        <f t="shared" si="7"/>
        <v>1547752.1699997783</v>
      </c>
      <c r="M75" s="249">
        <f t="shared" si="8"/>
        <v>13.83838989357902</v>
      </c>
      <c r="BM75" s="154"/>
      <c r="BN75" s="154"/>
      <c r="BO75" s="140"/>
      <c r="BP75" s="140"/>
      <c r="BQ75" s="140"/>
      <c r="BR75" s="139"/>
    </row>
    <row r="76" spans="2:70" s="182" customFormat="1" ht="13.5" thickTop="1">
      <c r="C76" s="183" t="str">
        <f>IF([1]MasterSheet!$A$1=1,[1]MasterSheet!C151,[1]MasterSheet!B151)</f>
        <v>Izvor: Ministarstvo finansija Crne Gore</v>
      </c>
      <c r="D76" s="188"/>
      <c r="E76" s="188"/>
      <c r="F76" s="187"/>
      <c r="G76" s="188"/>
      <c r="H76" s="188"/>
      <c r="I76" s="188"/>
      <c r="J76" s="187"/>
      <c r="K76" s="188"/>
      <c r="L76" s="188"/>
      <c r="M76" s="188"/>
    </row>
    <row r="77" spans="2:70" s="182" customFormat="1">
      <c r="C77" s="185"/>
      <c r="D77" s="184"/>
      <c r="E77" s="184"/>
      <c r="F77" s="189"/>
      <c r="G77" s="184"/>
      <c r="H77" s="184"/>
      <c r="I77" s="184"/>
      <c r="J77" s="189"/>
      <c r="K77" s="192"/>
      <c r="L77" s="184"/>
      <c r="M77" s="184"/>
    </row>
    <row r="78" spans="2:70" s="182" customFormat="1">
      <c r="F78" s="184"/>
      <c r="G78" s="184"/>
      <c r="H78" s="184"/>
      <c r="I78" s="184"/>
      <c r="J78" s="184"/>
      <c r="K78" s="184"/>
      <c r="L78" s="184"/>
      <c r="M78" s="184"/>
    </row>
    <row r="79" spans="2:70" s="182" customFormat="1">
      <c r="C79" s="186"/>
    </row>
  </sheetData>
  <sheetProtection formatCells="0" formatColumns="0" formatRows="0" sort="0" autoFilter="0"/>
  <mergeCells count="12">
    <mergeCell ref="D14:E14"/>
    <mergeCell ref="H14:I14"/>
    <mergeCell ref="D11:G11"/>
    <mergeCell ref="C14:C15"/>
    <mergeCell ref="L11:M11"/>
    <mergeCell ref="J14:K14"/>
    <mergeCell ref="F14:G14"/>
    <mergeCell ref="J11:K11"/>
    <mergeCell ref="L14:M14"/>
    <mergeCell ref="H11:I11"/>
    <mergeCell ref="J13:K13"/>
    <mergeCell ref="D13:E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CD77"/>
  <sheetViews>
    <sheetView topLeftCell="B1" zoomScaleNormal="100" workbookViewId="0">
      <selection activeCell="B52" sqref="B52"/>
    </sheetView>
  </sheetViews>
  <sheetFormatPr defaultColWidth="9.140625" defaultRowHeight="12.75"/>
  <cols>
    <col min="1" max="2" width="9.140625" style="80" customWidth="1"/>
    <col min="3" max="3" width="40.42578125" style="80" customWidth="1"/>
    <col min="4" max="13" width="7.7109375" style="80" customWidth="1"/>
    <col min="14" max="14" width="6.85546875" style="80" customWidth="1"/>
    <col min="15" max="76" width="9.140625" style="80" customWidth="1"/>
    <col min="77" max="77" width="9.140625" style="80"/>
    <col min="78" max="78" width="15.42578125" style="80" customWidth="1"/>
    <col min="79" max="79" width="12.7109375" style="80" customWidth="1"/>
    <col min="80" max="80" width="11.85546875" style="80" customWidth="1"/>
    <col min="81" max="16384" width="9.140625" style="80"/>
  </cols>
  <sheetData>
    <row r="1" spans="2:76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</row>
    <row r="2" spans="2:76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</row>
    <row r="3" spans="2:76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</row>
    <row r="4" spans="2:76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</row>
    <row r="5" spans="2:76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</row>
    <row r="6" spans="2:76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</row>
    <row r="7" spans="2:76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</row>
    <row r="8" spans="2:76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</row>
    <row r="9" spans="2:76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</row>
    <row r="10" spans="2:76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</row>
    <row r="11" spans="2:76" ht="18.75" customHeight="1" thickTop="1" thickBot="1">
      <c r="C11" s="146" t="str">
        <f>+'Cental Budget'!C11</f>
        <v>BDP (u mil. €)</v>
      </c>
      <c r="D11" s="315">
        <f>+'Cental Budget'!D11:G11</f>
        <v>4430900000</v>
      </c>
      <c r="E11" s="316"/>
      <c r="F11" s="316"/>
      <c r="G11" s="317"/>
      <c r="H11" s="310"/>
      <c r="I11" s="311"/>
      <c r="J11" s="312">
        <f>+'Cental Budget'!J11:K11</f>
        <v>4236600000</v>
      </c>
      <c r="K11" s="313" t="e">
        <f>+'Cental Budget'!#REF!</f>
        <v>#REF!</v>
      </c>
      <c r="L11" s="310"/>
      <c r="M11" s="314"/>
      <c r="N11" s="197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</row>
    <row r="12" spans="2:76" ht="19.5" customHeight="1" thickTop="1"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4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</row>
    <row r="13" spans="2:76" ht="17.25" customHeight="1" thickBot="1">
      <c r="B13" s="85"/>
      <c r="C13" s="86"/>
      <c r="D13" s="318"/>
      <c r="E13" s="318"/>
      <c r="F13" s="86"/>
      <c r="G13" s="86"/>
      <c r="H13" s="86"/>
      <c r="I13" s="86"/>
      <c r="J13" s="318"/>
      <c r="K13" s="318"/>
      <c r="L13" s="86"/>
      <c r="M13" s="86"/>
      <c r="N13" s="84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</row>
    <row r="14" spans="2:76" ht="15.75" customHeight="1" thickTop="1">
      <c r="B14" s="87"/>
      <c r="C14" s="306" t="s">
        <v>258</v>
      </c>
      <c r="D14" s="308" t="s">
        <v>466</v>
      </c>
      <c r="E14" s="309"/>
      <c r="F14" s="308" t="s">
        <v>467</v>
      </c>
      <c r="G14" s="309"/>
      <c r="H14" s="308" t="str">
        <f>+'Cental Budget'!H14:I14</f>
        <v>Odstupanje</v>
      </c>
      <c r="I14" s="309"/>
      <c r="J14" s="308" t="s">
        <v>464</v>
      </c>
      <c r="K14" s="309"/>
      <c r="L14" s="308" t="str">
        <f>+H14</f>
        <v>Odstupanje</v>
      </c>
      <c r="M14" s="309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</row>
    <row r="15" spans="2:76" ht="15" customHeight="1" thickBot="1">
      <c r="C15" s="307"/>
      <c r="D15" s="147" t="str">
        <f>IF(MasterSheet!$A$1=1,MasterSheet!C71,MasterSheet!C70)</f>
        <v>mil. €</v>
      </c>
      <c r="E15" s="152" t="str">
        <f>IF(MasterSheet!$A$1=1,MasterSheet!D71,MasterSheet!D70)</f>
        <v>% BDP</v>
      </c>
      <c r="F15" s="147" t="str">
        <f>IF(MasterSheet!$A$1=1,MasterSheet!E71,MasterSheet!E70)</f>
        <v>mil. €</v>
      </c>
      <c r="G15" s="152" t="str">
        <f>IF(MasterSheet!$A$1=1,MasterSheet!F71,MasterSheet!F70)</f>
        <v>% BDP</v>
      </c>
      <c r="H15" s="147" t="str">
        <f>IF(MasterSheet!$A$1=1,MasterSheet!G71,MasterSheet!G70)</f>
        <v>mil. €</v>
      </c>
      <c r="I15" s="152" t="s">
        <v>439</v>
      </c>
      <c r="J15" s="147" t="str">
        <f>IF(MasterSheet!$A$1=1,MasterSheet!I71,MasterSheet!I70)</f>
        <v>mil. €</v>
      </c>
      <c r="K15" s="152" t="str">
        <f>IF(MasterSheet!$A$1=1,MasterSheet!J71,MasterSheet!J70)</f>
        <v>% BDP</v>
      </c>
      <c r="L15" s="147" t="str">
        <f>IF(MasterSheet!$A$1=1,MasterSheet!K71,MasterSheet!K70)</f>
        <v>mil. €</v>
      </c>
      <c r="M15" s="152" t="s">
        <v>439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</row>
    <row r="16" spans="2:76" ht="15" customHeight="1" thickTop="1" thickBot="1">
      <c r="B16" s="80">
        <v>7</v>
      </c>
      <c r="C16" s="148" t="str">
        <f>IF(MasterSheet!$A$1=1,MasterSheet!C72,MasterSheet!B72)</f>
        <v>Izvorni prihodi</v>
      </c>
      <c r="D16" s="208">
        <f>+D17+D21+D22+D23+D24+D25</f>
        <v>94853338.012000009</v>
      </c>
      <c r="E16" s="250">
        <f>+D16/$D$11*100</f>
        <v>2.1407239615428018</v>
      </c>
      <c r="F16" s="208">
        <f>+F17+F21+F22+F23+F24+F25</f>
        <v>91039357.480430841</v>
      </c>
      <c r="G16" s="250">
        <f t="shared" ref="G16:G60" si="0">+F16/$D$11*100</f>
        <v>2.0546470802868684</v>
      </c>
      <c r="H16" s="208">
        <f>+D16-F16</f>
        <v>3813980.531569168</v>
      </c>
      <c r="I16" s="250">
        <f>+D16/F16*100-100</f>
        <v>4.1893754933288108</v>
      </c>
      <c r="J16" s="208">
        <f>+J17+J21+J22+J23+J24+J25</f>
        <v>78517637.590000004</v>
      </c>
      <c r="K16" s="250">
        <f>+J16/$J$11*100</f>
        <v>1.8533172258414765</v>
      </c>
      <c r="L16" s="208">
        <f>+D16-J16</f>
        <v>16335700.422000006</v>
      </c>
      <c r="M16" s="250">
        <f>+D16/J16*100-100</f>
        <v>20.805134901410383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</row>
    <row r="17" spans="1:82" ht="15" customHeight="1" thickTop="1">
      <c r="B17" s="80">
        <v>711</v>
      </c>
      <c r="C17" s="93" t="str">
        <f>IF(MasterSheet!$A$1=1,MasterSheet!C73,MasterSheet!B73)</f>
        <v>Porezi</v>
      </c>
      <c r="D17" s="209">
        <f>+SUM(D18:D20)</f>
        <v>59513202.800000004</v>
      </c>
      <c r="E17" s="251">
        <f t="shared" ref="E17:E60" si="1">+D17/$D$11*100</f>
        <v>1.3431402830124806</v>
      </c>
      <c r="F17" s="209">
        <f>+SUM(F18:F20)</f>
        <v>52749594.15057084</v>
      </c>
      <c r="G17" s="251">
        <f t="shared" si="0"/>
        <v>1.1904938985436557</v>
      </c>
      <c r="H17" s="210">
        <f t="shared" ref="H17:H60" si="2">+D17-F17</f>
        <v>6763608.6494291648</v>
      </c>
      <c r="I17" s="259">
        <f t="shared" ref="I17:I60" si="3">+D17/F17*100-100</f>
        <v>12.822105569424494</v>
      </c>
      <c r="J17" s="209">
        <f>+J18+J19+J20</f>
        <v>47711638.009999998</v>
      </c>
      <c r="K17" s="251">
        <f t="shared" ref="K17:K60" si="4">+J17/$J$11*100</f>
        <v>1.1261775482698391</v>
      </c>
      <c r="L17" s="210">
        <f t="shared" ref="L17:L60" si="5">+D17-J17</f>
        <v>11801564.790000007</v>
      </c>
      <c r="M17" s="259">
        <f t="shared" ref="M17:M60" si="6">+D17/J17*100-100</f>
        <v>24.735190997899693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</row>
    <row r="18" spans="1:82" ht="15" customHeight="1">
      <c r="B18" s="80">
        <v>7111</v>
      </c>
      <c r="C18" s="97" t="str">
        <f>IF(MasterSheet!$A$1=1,MasterSheet!C74,MasterSheet!B74)</f>
        <v>Porez na dohodak fizičkih lica</v>
      </c>
      <c r="D18" s="211">
        <v>17776247.009999998</v>
      </c>
      <c r="E18" s="252">
        <f t="shared" si="1"/>
        <v>0.40118817869958695</v>
      </c>
      <c r="F18" s="211">
        <v>13691859.321561674</v>
      </c>
      <c r="G18" s="252">
        <f t="shared" si="0"/>
        <v>0.3090085382554712</v>
      </c>
      <c r="H18" s="212">
        <f>+D18-F18</f>
        <v>4084387.6884383243</v>
      </c>
      <c r="I18" s="260">
        <f>+D18/F18*100-100</f>
        <v>29.830774568405843</v>
      </c>
      <c r="J18" s="211">
        <v>14848682.570000002</v>
      </c>
      <c r="K18" s="252">
        <f t="shared" si="4"/>
        <v>0.3504858275503942</v>
      </c>
      <c r="L18" s="212">
        <f>+D18-J18</f>
        <v>2927564.4399999958</v>
      </c>
      <c r="M18" s="260">
        <f>+D18/J18*100-100</f>
        <v>19.715987773317948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</row>
    <row r="19" spans="1:82" ht="15" customHeight="1">
      <c r="B19" s="80">
        <v>7113</v>
      </c>
      <c r="C19" s="97" t="str">
        <f>IF(MasterSheet!$A$1=1,MasterSheet!C76,MasterSheet!B76)</f>
        <v>Porez na promet nepokretnosti</v>
      </c>
      <c r="D19" s="211">
        <v>8730475.040000001</v>
      </c>
      <c r="E19" s="252">
        <f t="shared" si="1"/>
        <v>0.19703615608567113</v>
      </c>
      <c r="F19" s="211">
        <v>7512337.4286811659</v>
      </c>
      <c r="G19" s="252">
        <f t="shared" si="0"/>
        <v>0.16954427833354771</v>
      </c>
      <c r="H19" s="212">
        <f>+D19-F19</f>
        <v>1218137.6113188351</v>
      </c>
      <c r="I19" s="260">
        <f>+D19/F19*100-100</f>
        <v>16.215161031879873</v>
      </c>
      <c r="J19" s="211">
        <v>5447738.4899999993</v>
      </c>
      <c r="K19" s="252">
        <f t="shared" si="4"/>
        <v>0.12858751097578244</v>
      </c>
      <c r="L19" s="212">
        <f>+D19-J19</f>
        <v>3282736.5500000017</v>
      </c>
      <c r="M19" s="260">
        <f>+D19/J19*100-100</f>
        <v>60.258702873235791</v>
      </c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7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</row>
    <row r="20" spans="1:82" ht="15" customHeight="1">
      <c r="B20" s="80">
        <v>7117</v>
      </c>
      <c r="C20" s="97" t="s">
        <v>11</v>
      </c>
      <c r="D20" s="211">
        <v>33006480.750000007</v>
      </c>
      <c r="E20" s="252">
        <f t="shared" si="1"/>
        <v>0.74491594822722262</v>
      </c>
      <c r="F20" s="211">
        <v>31545397.400328003</v>
      </c>
      <c r="G20" s="252">
        <f t="shared" si="0"/>
        <v>0.71194108195463679</v>
      </c>
      <c r="H20" s="212">
        <f>+D20-F20</f>
        <v>1461083.3496720046</v>
      </c>
      <c r="I20" s="260">
        <f>+D20/F20*100-100</f>
        <v>4.6316847149841607</v>
      </c>
      <c r="J20" s="211">
        <v>27415216.949999996</v>
      </c>
      <c r="K20" s="252">
        <f t="shared" si="4"/>
        <v>0.64710420974366223</v>
      </c>
      <c r="L20" s="212">
        <f>+D20-J20</f>
        <v>5591263.8000000119</v>
      </c>
      <c r="M20" s="260">
        <f>+D20/J20*100-100</f>
        <v>20.394745772748706</v>
      </c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7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</row>
    <row r="21" spans="1:82" ht="15" customHeight="1">
      <c r="B21" s="80">
        <v>713</v>
      </c>
      <c r="C21" s="93" t="str">
        <f>IF(MasterSheet!$A$1=1,MasterSheet!C86,MasterSheet!B86)</f>
        <v>Takse</v>
      </c>
      <c r="D21" s="94">
        <v>2784896.6019999995</v>
      </c>
      <c r="E21" s="230">
        <f t="shared" si="1"/>
        <v>6.2851714143853377E-2</v>
      </c>
      <c r="F21" s="94">
        <v>4013252.7789599998</v>
      </c>
      <c r="G21" s="230">
        <f t="shared" si="0"/>
        <v>9.0574212439007873E-2</v>
      </c>
      <c r="H21" s="198">
        <f t="shared" si="2"/>
        <v>-1228356.1769600003</v>
      </c>
      <c r="I21" s="243">
        <f t="shared" si="3"/>
        <v>-30.607495829812109</v>
      </c>
      <c r="J21" s="94">
        <v>3009301.5199999996</v>
      </c>
      <c r="K21" s="233">
        <f t="shared" si="4"/>
        <v>7.1031051314733501E-2</v>
      </c>
      <c r="L21" s="198">
        <f t="shared" si="5"/>
        <v>-224404.91800000006</v>
      </c>
      <c r="M21" s="243">
        <f t="shared" si="6"/>
        <v>-7.4570433208035638</v>
      </c>
      <c r="BY21" s="81"/>
      <c r="BZ21" s="81"/>
      <c r="CA21" s="81"/>
    </row>
    <row r="22" spans="1:82" ht="15" customHeight="1">
      <c r="B22" s="80">
        <v>714</v>
      </c>
      <c r="C22" s="93" t="str">
        <f>IF(MasterSheet!$A$1=1,MasterSheet!C91,MasterSheet!B91)</f>
        <v>Naknade</v>
      </c>
      <c r="D22" s="94">
        <v>21290263.370000005</v>
      </c>
      <c r="E22" s="230">
        <f t="shared" si="1"/>
        <v>0.48049523505382663</v>
      </c>
      <c r="F22" s="94">
        <v>26808107.137280002</v>
      </c>
      <c r="G22" s="230">
        <f>+F22/$D$11*100</f>
        <v>0.605026228018687</v>
      </c>
      <c r="H22" s="198">
        <f>+D22-F22</f>
        <v>-5517843.7672799975</v>
      </c>
      <c r="I22" s="243">
        <f>+D22/F22*100-100</f>
        <v>-20.582742895736743</v>
      </c>
      <c r="J22" s="94">
        <v>21010447.060000002</v>
      </c>
      <c r="K22" s="233">
        <f t="shared" si="4"/>
        <v>0.49592708917528211</v>
      </c>
      <c r="L22" s="198">
        <f t="shared" si="5"/>
        <v>279816.31000000238</v>
      </c>
      <c r="M22" s="243">
        <f t="shared" si="6"/>
        <v>1.331796078402931</v>
      </c>
      <c r="BY22" s="138"/>
      <c r="BZ22" s="138"/>
      <c r="CA22" s="138"/>
    </row>
    <row r="23" spans="1:82" ht="15" customHeight="1">
      <c r="B23" s="80">
        <v>715</v>
      </c>
      <c r="C23" s="93" t="str">
        <f>IF(MasterSheet!$A$1=1,MasterSheet!C98,MasterSheet!B98)</f>
        <v>Ostali prihodi</v>
      </c>
      <c r="D23" s="213">
        <v>10283099.190000001</v>
      </c>
      <c r="E23" s="253">
        <f t="shared" si="1"/>
        <v>0.2320769863910267</v>
      </c>
      <c r="F23" s="213">
        <v>5458658.4016800001</v>
      </c>
      <c r="G23" s="253">
        <f t="shared" si="0"/>
        <v>0.12319525156695028</v>
      </c>
      <c r="H23" s="214">
        <f t="shared" si="2"/>
        <v>4824440.7883200012</v>
      </c>
      <c r="I23" s="261">
        <f t="shared" si="3"/>
        <v>88.381437952504825</v>
      </c>
      <c r="J23" s="213">
        <v>4713546.2300000004</v>
      </c>
      <c r="K23" s="253">
        <f t="shared" si="4"/>
        <v>0.11125775928810841</v>
      </c>
      <c r="L23" s="214">
        <f t="shared" si="5"/>
        <v>5569552.9600000009</v>
      </c>
      <c r="M23" s="261">
        <f t="shared" si="6"/>
        <v>118.16056718722371</v>
      </c>
      <c r="BY23" s="81"/>
      <c r="BZ23" s="81"/>
      <c r="CA23" s="81"/>
      <c r="CB23" s="81"/>
      <c r="CC23" s="81"/>
    </row>
    <row r="24" spans="1:82">
      <c r="B24" s="80">
        <v>73</v>
      </c>
      <c r="C24" s="101" t="str">
        <f>IF(MasterSheet!$A$1=1,MasterSheet!C103,MasterSheet!B103)</f>
        <v xml:space="preserve">Primici od otplate kredita </v>
      </c>
      <c r="D24" s="213">
        <v>0</v>
      </c>
      <c r="E24" s="253">
        <f t="shared" si="1"/>
        <v>0</v>
      </c>
      <c r="F24" s="213">
        <v>0</v>
      </c>
      <c r="G24" s="253">
        <f t="shared" si="0"/>
        <v>0</v>
      </c>
      <c r="H24" s="214">
        <f t="shared" si="2"/>
        <v>0</v>
      </c>
      <c r="I24" s="260" t="e">
        <f t="shared" si="3"/>
        <v>#DIV/0!</v>
      </c>
      <c r="J24" s="213">
        <v>0</v>
      </c>
      <c r="K24" s="253">
        <f t="shared" si="4"/>
        <v>0</v>
      </c>
      <c r="L24" s="214">
        <f t="shared" si="5"/>
        <v>0</v>
      </c>
      <c r="M24" s="261" t="e">
        <f t="shared" si="6"/>
        <v>#DIV/0!</v>
      </c>
      <c r="BX24" s="100"/>
      <c r="BY24" s="100"/>
      <c r="BZ24" s="99"/>
      <c r="CA24" s="140"/>
      <c r="CB24" s="140"/>
      <c r="CC24" s="140"/>
      <c r="CD24" s="139"/>
    </row>
    <row r="25" spans="1:82" ht="13.5" customHeight="1" thickBot="1">
      <c r="B25" s="80">
        <v>74</v>
      </c>
      <c r="C25" s="93" t="s">
        <v>122</v>
      </c>
      <c r="D25" s="213">
        <v>981876.05</v>
      </c>
      <c r="E25" s="253">
        <f t="shared" si="1"/>
        <v>2.2159742941614571E-2</v>
      </c>
      <c r="F25" s="213">
        <v>2009745.0119400003</v>
      </c>
      <c r="G25" s="253">
        <f t="shared" si="0"/>
        <v>4.5357489718567338E-2</v>
      </c>
      <c r="H25" s="214">
        <f t="shared" si="2"/>
        <v>-1027868.9619400003</v>
      </c>
      <c r="I25" s="261">
        <f t="shared" si="3"/>
        <v>-51.14424744598827</v>
      </c>
      <c r="J25" s="213">
        <v>2072704.77</v>
      </c>
      <c r="K25" s="253">
        <f t="shared" si="4"/>
        <v>4.8923777793513666E-2</v>
      </c>
      <c r="L25" s="214">
        <f t="shared" si="5"/>
        <v>-1090828.72</v>
      </c>
      <c r="M25" s="261">
        <f t="shared" si="6"/>
        <v>-52.628272766506925</v>
      </c>
      <c r="BY25" s="141"/>
      <c r="BZ25" s="141"/>
      <c r="CA25" s="140"/>
      <c r="CB25" s="140"/>
      <c r="CC25" s="140"/>
      <c r="CD25" s="139"/>
    </row>
    <row r="26" spans="1:82" ht="15" customHeight="1" thickTop="1" thickBot="1">
      <c r="B26" s="102"/>
      <c r="C26" s="148" t="str">
        <f>IF(MasterSheet!$A$1=1,MasterSheet!C104,MasterSheet!B104)</f>
        <v>Izdaci</v>
      </c>
      <c r="D26" s="215">
        <f>+D28+D38+D40+D41+D42+D43+D44+D45+D46</f>
        <v>106028521.15000001</v>
      </c>
      <c r="E26" s="254">
        <f t="shared" si="1"/>
        <v>2.3929341928276426</v>
      </c>
      <c r="F26" s="215">
        <f>+F28+F38+F40+F41+F42+F43+F44+F45+F46</f>
        <v>72241283.699659988</v>
      </c>
      <c r="G26" s="254">
        <f t="shared" si="0"/>
        <v>1.6303975196835856</v>
      </c>
      <c r="H26" s="215">
        <f t="shared" si="2"/>
        <v>33787237.450340018</v>
      </c>
      <c r="I26" s="254">
        <f t="shared" si="3"/>
        <v>46.769984861854056</v>
      </c>
      <c r="J26" s="215">
        <f>+J28+J38+J40+J41+J42+J43+J44+J45+J46</f>
        <v>85499872.280000001</v>
      </c>
      <c r="K26" s="277">
        <f t="shared" si="4"/>
        <v>2.0181247292640325</v>
      </c>
      <c r="L26" s="215">
        <f t="shared" si="5"/>
        <v>20528648.870000005</v>
      </c>
      <c r="M26" s="254">
        <f t="shared" si="6"/>
        <v>24.010151503819316</v>
      </c>
      <c r="BY26" s="81"/>
      <c r="BZ26" s="81"/>
      <c r="CA26" s="140"/>
      <c r="CB26" s="140"/>
      <c r="CC26" s="140"/>
      <c r="CD26" s="139"/>
    </row>
    <row r="27" spans="1:82" ht="13.5" customHeight="1" thickTop="1" thickBot="1">
      <c r="C27" s="148" t="str">
        <f>IF(MasterSheet!$A$1=1,MasterSheet!C105,MasterSheet!B105)</f>
        <v>Tekuća budžetska potrošnja</v>
      </c>
      <c r="D27" s="215">
        <f>+D26-D41</f>
        <v>87291104.020000011</v>
      </c>
      <c r="E27" s="254">
        <f t="shared" si="1"/>
        <v>1.9700535787311835</v>
      </c>
      <c r="F27" s="215">
        <f>+F26-F41</f>
        <v>56627389.849999994</v>
      </c>
      <c r="G27" s="254">
        <f t="shared" si="0"/>
        <v>1.2780110101785189</v>
      </c>
      <c r="H27" s="215">
        <f t="shared" si="2"/>
        <v>30663714.170000017</v>
      </c>
      <c r="I27" s="254">
        <f t="shared" si="3"/>
        <v>54.149969213175751</v>
      </c>
      <c r="J27" s="215">
        <f>+J26-J41</f>
        <v>74429949.609999999</v>
      </c>
      <c r="K27" s="277">
        <f t="shared" si="4"/>
        <v>1.7568321203323418</v>
      </c>
      <c r="L27" s="215">
        <f t="shared" si="5"/>
        <v>12861154.410000011</v>
      </c>
      <c r="M27" s="254">
        <f t="shared" si="6"/>
        <v>17.279542008815298</v>
      </c>
      <c r="BY27" s="141"/>
      <c r="BZ27" s="141"/>
      <c r="CA27" s="140"/>
      <c r="CB27" s="140"/>
      <c r="CC27" s="140"/>
      <c r="CD27" s="139"/>
    </row>
    <row r="28" spans="1:82" ht="13.5" customHeight="1" thickTop="1">
      <c r="A28" s="80">
        <v>41</v>
      </c>
      <c r="C28" s="93" t="str">
        <f>+'Cental Budget'!C37</f>
        <v>Tekući izdaci</v>
      </c>
      <c r="D28" s="94">
        <f>+SUM(D29:D37)</f>
        <v>34689593.539999999</v>
      </c>
      <c r="E28" s="230">
        <f t="shared" si="1"/>
        <v>0.78290174772619558</v>
      </c>
      <c r="F28" s="94">
        <f>+SUM(F29:F37)</f>
        <v>35962984.177039996</v>
      </c>
      <c r="G28" s="230">
        <f t="shared" si="0"/>
        <v>0.81164061876909877</v>
      </c>
      <c r="H28" s="198">
        <f t="shared" si="2"/>
        <v>-1273390.6370399967</v>
      </c>
      <c r="I28" s="243">
        <f t="shared" si="3"/>
        <v>-3.5408369638384158</v>
      </c>
      <c r="J28" s="94">
        <f>+SUM(J29:J37)</f>
        <v>32120964.380000003</v>
      </c>
      <c r="K28" s="233">
        <f t="shared" si="4"/>
        <v>0.75817788745692305</v>
      </c>
      <c r="L28" s="198">
        <f t="shared" si="5"/>
        <v>2568629.1599999964</v>
      </c>
      <c r="M28" s="243">
        <f t="shared" si="6"/>
        <v>7.9967373632136258</v>
      </c>
      <c r="BY28" s="141"/>
      <c r="BZ28" s="141"/>
      <c r="CA28" s="140"/>
      <c r="CB28" s="140"/>
      <c r="CC28" s="140"/>
      <c r="CD28" s="139"/>
    </row>
    <row r="29" spans="1:82" ht="13.5" customHeight="1">
      <c r="B29" s="80">
        <v>411</v>
      </c>
      <c r="C29" s="93" t="str">
        <f>+'Cental Budget'!C38</f>
        <v>Bruto zarade i doprinosi na teret poslodavca</v>
      </c>
      <c r="D29" s="213">
        <v>20504266.300000001</v>
      </c>
      <c r="E29" s="253">
        <f t="shared" si="1"/>
        <v>0.4627562413956533</v>
      </c>
      <c r="F29" s="213">
        <v>19258857.113839995</v>
      </c>
      <c r="G29" s="253">
        <f t="shared" si="0"/>
        <v>0.43464887751562881</v>
      </c>
      <c r="H29" s="214">
        <f t="shared" si="2"/>
        <v>1245409.1861600056</v>
      </c>
      <c r="I29" s="261">
        <f t="shared" si="3"/>
        <v>6.4666827257626665</v>
      </c>
      <c r="J29" s="213">
        <v>18029955.270000003</v>
      </c>
      <c r="K29" s="253">
        <f t="shared" si="4"/>
        <v>0.42557605792380687</v>
      </c>
      <c r="L29" s="214">
        <f t="shared" si="5"/>
        <v>2474311.0299999975</v>
      </c>
      <c r="M29" s="261">
        <f t="shared" si="6"/>
        <v>13.723334267595206</v>
      </c>
      <c r="BY29" s="141"/>
      <c r="BZ29" s="141"/>
      <c r="CA29" s="140"/>
      <c r="CB29" s="140"/>
      <c r="CC29" s="140"/>
      <c r="CD29" s="139"/>
    </row>
    <row r="30" spans="1:82" ht="13.5" customHeight="1">
      <c r="B30" s="80">
        <v>412</v>
      </c>
      <c r="C30" s="93" t="str">
        <f>+'Cental Budget'!C39</f>
        <v>Ostala lična primanja</v>
      </c>
      <c r="D30" s="213">
        <v>1519897.1099999999</v>
      </c>
      <c r="E30" s="253">
        <f t="shared" si="1"/>
        <v>3.4302220993477621E-2</v>
      </c>
      <c r="F30" s="213">
        <v>1975410.5155200001</v>
      </c>
      <c r="G30" s="253">
        <f t="shared" si="0"/>
        <v>4.4582602079035867E-2</v>
      </c>
      <c r="H30" s="214">
        <f t="shared" si="2"/>
        <v>-455513.40552000026</v>
      </c>
      <c r="I30" s="261">
        <f t="shared" si="3"/>
        <v>-23.059176912404595</v>
      </c>
      <c r="J30" s="213">
        <v>2492503.59</v>
      </c>
      <c r="K30" s="253">
        <f t="shared" si="4"/>
        <v>5.8832639144597083E-2</v>
      </c>
      <c r="L30" s="214">
        <f t="shared" si="5"/>
        <v>-972606.48</v>
      </c>
      <c r="M30" s="261">
        <f t="shared" si="6"/>
        <v>-39.021266966359711</v>
      </c>
      <c r="BY30" s="141"/>
      <c r="BZ30" s="141"/>
      <c r="CA30" s="140"/>
      <c r="CB30" s="140"/>
      <c r="CC30" s="140"/>
      <c r="CD30" s="139"/>
    </row>
    <row r="31" spans="1:82" ht="13.5" customHeight="1">
      <c r="B31" s="80">
        <v>413</v>
      </c>
      <c r="C31" s="93" t="str">
        <f>+'Cental Budget'!C40</f>
        <v>Rashodi za materijal</v>
      </c>
      <c r="D31" s="213">
        <v>3569383.94</v>
      </c>
      <c r="E31" s="253">
        <f t="shared" si="1"/>
        <v>8.0556634995147716E-2</v>
      </c>
      <c r="F31" s="213">
        <v>5147652.1471667988</v>
      </c>
      <c r="G31" s="253">
        <f t="shared" si="0"/>
        <v>0.11617622034274749</v>
      </c>
      <c r="H31" s="214">
        <f t="shared" si="2"/>
        <v>-1578268.2071667989</v>
      </c>
      <c r="I31" s="261">
        <f t="shared" si="3"/>
        <v>-30.659962290487272</v>
      </c>
      <c r="J31" s="213">
        <v>3090915.5300000007</v>
      </c>
      <c r="K31" s="253">
        <f t="shared" si="4"/>
        <v>7.295745479865931E-2</v>
      </c>
      <c r="L31" s="214">
        <f t="shared" si="5"/>
        <v>478468.40999999922</v>
      </c>
      <c r="M31" s="261">
        <f t="shared" si="6"/>
        <v>15.479828075405194</v>
      </c>
      <c r="BY31" s="141"/>
      <c r="BZ31" s="141"/>
      <c r="CA31" s="140"/>
      <c r="CB31" s="140"/>
      <c r="CC31" s="140"/>
      <c r="CD31" s="139"/>
    </row>
    <row r="32" spans="1:82" ht="13.5" customHeight="1">
      <c r="B32" s="80">
        <v>414</v>
      </c>
      <c r="C32" s="93" t="str">
        <f>+'Cental Budget'!C41</f>
        <v>Rashodi za usluge</v>
      </c>
      <c r="D32" s="94">
        <v>2904780.1700000009</v>
      </c>
      <c r="E32" s="230">
        <f t="shared" si="1"/>
        <v>6.5557339818095667E-2</v>
      </c>
      <c r="F32" s="213">
        <v>3883316.5320732007</v>
      </c>
      <c r="G32" s="230">
        <f t="shared" si="0"/>
        <v>8.7641710083125338E-2</v>
      </c>
      <c r="H32" s="198">
        <f t="shared" si="2"/>
        <v>-978536.36207319982</v>
      </c>
      <c r="I32" s="261">
        <f t="shared" si="3"/>
        <v>-25.198470276405331</v>
      </c>
      <c r="J32" s="149">
        <v>3122041.5100000002</v>
      </c>
      <c r="K32" s="233">
        <f t="shared" si="4"/>
        <v>7.3692147240711894E-2</v>
      </c>
      <c r="L32" s="198">
        <f t="shared" si="5"/>
        <v>-217261.33999999939</v>
      </c>
      <c r="M32" s="243">
        <f t="shared" si="6"/>
        <v>-6.9589510358560034</v>
      </c>
      <c r="BY32" s="141"/>
      <c r="BZ32" s="141"/>
      <c r="CA32" s="140"/>
      <c r="CB32" s="140"/>
      <c r="CC32" s="140"/>
      <c r="CD32" s="139"/>
    </row>
    <row r="33" spans="1:82" ht="13.5" customHeight="1">
      <c r="B33" s="80">
        <v>415</v>
      </c>
      <c r="C33" s="93" t="str">
        <f>+'Cental Budget'!C42</f>
        <v>Rashodi za tekuće održavanje</v>
      </c>
      <c r="D33" s="213">
        <v>2082421.07</v>
      </c>
      <c r="E33" s="253">
        <f t="shared" si="1"/>
        <v>4.6997699564422582E-2</v>
      </c>
      <c r="F33" s="213">
        <v>1888407.5000400003</v>
      </c>
      <c r="G33" s="253">
        <f t="shared" si="0"/>
        <v>4.2619050306709705E-2</v>
      </c>
      <c r="H33" s="214">
        <f t="shared" si="2"/>
        <v>194013.56995999976</v>
      </c>
      <c r="I33" s="261">
        <f t="shared" si="3"/>
        <v>10.273924984723365</v>
      </c>
      <c r="J33" s="213">
        <v>1919878.8200000003</v>
      </c>
      <c r="K33" s="253">
        <f t="shared" si="4"/>
        <v>4.5316499551527174E-2</v>
      </c>
      <c r="L33" s="214">
        <f t="shared" si="5"/>
        <v>162542.24999999977</v>
      </c>
      <c r="M33" s="261">
        <f t="shared" si="6"/>
        <v>8.4662765330157441</v>
      </c>
      <c r="BY33" s="141"/>
      <c r="BZ33" s="141"/>
      <c r="CA33" s="140"/>
      <c r="CB33" s="140"/>
      <c r="CC33" s="140"/>
      <c r="CD33" s="139"/>
    </row>
    <row r="34" spans="1:82" ht="13.5" customHeight="1">
      <c r="B34" s="80">
        <v>416</v>
      </c>
      <c r="C34" s="93" t="str">
        <f>+'Cental Budget'!C43</f>
        <v>Kamate</v>
      </c>
      <c r="D34" s="213">
        <v>1476559.2599999998</v>
      </c>
      <c r="E34" s="253">
        <f t="shared" si="1"/>
        <v>3.3324138662574193E-2</v>
      </c>
      <c r="F34" s="213">
        <v>1553939.1021600002</v>
      </c>
      <c r="G34" s="253">
        <f t="shared" si="0"/>
        <v>3.5070507169198135E-2</v>
      </c>
      <c r="H34" s="214">
        <f t="shared" si="2"/>
        <v>-77379.842160000466</v>
      </c>
      <c r="I34" s="261">
        <f t="shared" si="3"/>
        <v>-4.9795929616830676</v>
      </c>
      <c r="J34" s="213">
        <v>1718836.81</v>
      </c>
      <c r="K34" s="253">
        <f t="shared" si="4"/>
        <v>4.057113746872492E-2</v>
      </c>
      <c r="L34" s="214">
        <f t="shared" si="5"/>
        <v>-242277.55000000028</v>
      </c>
      <c r="M34" s="261">
        <f t="shared" si="6"/>
        <v>-14.095436436458471</v>
      </c>
      <c r="BY34" s="141"/>
      <c r="BZ34" s="141"/>
      <c r="CA34" s="140"/>
      <c r="CB34" s="140"/>
      <c r="CC34" s="140"/>
      <c r="CD34" s="139"/>
    </row>
    <row r="35" spans="1:82" ht="13.5" customHeight="1">
      <c r="B35" s="80">
        <v>417</v>
      </c>
      <c r="C35" s="93" t="str">
        <f>+'Cental Budget'!C44</f>
        <v>Renta</v>
      </c>
      <c r="D35" s="213">
        <v>303798.11999999994</v>
      </c>
      <c r="E35" s="253">
        <f t="shared" si="1"/>
        <v>6.856352434042744E-3</v>
      </c>
      <c r="F35" s="213">
        <v>238235.92056</v>
      </c>
      <c r="G35" s="253">
        <f t="shared" si="0"/>
        <v>5.3766936866099435E-3</v>
      </c>
      <c r="H35" s="214">
        <f t="shared" si="2"/>
        <v>65562.199439999938</v>
      </c>
      <c r="I35" s="261">
        <f t="shared" si="3"/>
        <v>27.519863203621327</v>
      </c>
      <c r="J35" s="213">
        <v>208697.58999999997</v>
      </c>
      <c r="K35" s="253">
        <f t="shared" si="4"/>
        <v>4.9260631166501432E-3</v>
      </c>
      <c r="L35" s="214">
        <f t="shared" si="5"/>
        <v>95100.52999999997</v>
      </c>
      <c r="M35" s="261">
        <f t="shared" si="6"/>
        <v>45.568580835073362</v>
      </c>
      <c r="BY35" s="141"/>
      <c r="BZ35" s="141"/>
      <c r="CA35" s="140"/>
      <c r="CB35" s="140"/>
      <c r="CC35" s="140"/>
      <c r="CD35" s="139"/>
    </row>
    <row r="36" spans="1:82" ht="13.5" customHeight="1">
      <c r="B36" s="80">
        <v>418</v>
      </c>
      <c r="C36" s="93" t="str">
        <f>+'Cental Budget'!C45</f>
        <v>Subvencije</v>
      </c>
      <c r="D36" s="213">
        <v>471105.29</v>
      </c>
      <c r="E36" s="253">
        <f t="shared" si="1"/>
        <v>1.0632270870477781E-2</v>
      </c>
      <c r="F36" s="213">
        <v>494988.73751999997</v>
      </c>
      <c r="G36" s="253">
        <f t="shared" si="0"/>
        <v>1.1171291103838948E-2</v>
      </c>
      <c r="H36" s="214">
        <f t="shared" si="2"/>
        <v>-23883.447519999987</v>
      </c>
      <c r="I36" s="261">
        <f t="shared" si="3"/>
        <v>-4.8250486747761556</v>
      </c>
      <c r="J36" s="213">
        <v>311647.09000000003</v>
      </c>
      <c r="K36" s="253">
        <f t="shared" si="4"/>
        <v>7.3560659491101361E-3</v>
      </c>
      <c r="L36" s="214">
        <f t="shared" si="5"/>
        <v>159458.19999999995</v>
      </c>
      <c r="M36" s="261">
        <f t="shared" si="6"/>
        <v>51.166272722135773</v>
      </c>
      <c r="BY36" s="141"/>
      <c r="BZ36" s="141"/>
      <c r="CA36" s="140"/>
      <c r="CB36" s="140"/>
      <c r="CC36" s="140"/>
      <c r="CD36" s="139"/>
    </row>
    <row r="37" spans="1:82" ht="13.5" customHeight="1">
      <c r="B37" s="80">
        <v>419</v>
      </c>
      <c r="C37" s="93" t="str">
        <f>+'Cental Budget'!C46</f>
        <v>Ostali izdaci</v>
      </c>
      <c r="D37" s="213">
        <v>1857382.2799999998</v>
      </c>
      <c r="E37" s="253">
        <f t="shared" si="1"/>
        <v>4.1918848992304039E-2</v>
      </c>
      <c r="F37" s="213">
        <v>1522176.6081599998</v>
      </c>
      <c r="G37" s="253">
        <f t="shared" si="0"/>
        <v>3.4353666482204517E-2</v>
      </c>
      <c r="H37" s="214">
        <f t="shared" si="2"/>
        <v>335205.67183999997</v>
      </c>
      <c r="I37" s="261">
        <f t="shared" si="3"/>
        <v>22.021470441934781</v>
      </c>
      <c r="J37" s="213">
        <v>1226488.17</v>
      </c>
      <c r="K37" s="253">
        <f t="shared" si="4"/>
        <v>2.8949822263135531E-2</v>
      </c>
      <c r="L37" s="214">
        <f t="shared" si="5"/>
        <v>630894.10999999987</v>
      </c>
      <c r="M37" s="261">
        <f t="shared" si="6"/>
        <v>51.439070137953308</v>
      </c>
      <c r="BY37" s="141"/>
      <c r="BZ37" s="141"/>
      <c r="CA37" s="140"/>
      <c r="CB37" s="140"/>
      <c r="CC37" s="140"/>
      <c r="CD37" s="139"/>
    </row>
    <row r="38" spans="1:82" ht="13.5" customHeight="1">
      <c r="A38" s="80">
        <v>42</v>
      </c>
      <c r="B38" s="80" t="s">
        <v>427</v>
      </c>
      <c r="C38" s="93" t="str">
        <f>+'Cental Budget'!C48</f>
        <v>Transferi za socijalnu zaštitu</v>
      </c>
      <c r="D38" s="213">
        <f>+D39</f>
        <v>213568.84</v>
      </c>
      <c r="E38" s="253">
        <f t="shared" si="1"/>
        <v>4.8199878128596897E-3</v>
      </c>
      <c r="F38" s="213">
        <f>+F39</f>
        <v>414386.09760000004</v>
      </c>
      <c r="G38" s="253">
        <f t="shared" si="0"/>
        <v>9.3521879888961625E-3</v>
      </c>
      <c r="H38" s="214">
        <f t="shared" si="2"/>
        <v>-200817.25760000004</v>
      </c>
      <c r="I38" s="261">
        <f t="shared" si="3"/>
        <v>-48.461388729755498</v>
      </c>
      <c r="J38" s="213">
        <f>+J39</f>
        <v>721000.5</v>
      </c>
      <c r="K38" s="253">
        <f t="shared" si="4"/>
        <v>1.7018375584194872E-2</v>
      </c>
      <c r="L38" s="214">
        <f t="shared" si="5"/>
        <v>-507431.66000000003</v>
      </c>
      <c r="M38" s="261">
        <f t="shared" si="6"/>
        <v>-70.378822206087236</v>
      </c>
      <c r="BY38" s="141"/>
      <c r="BZ38" s="141"/>
      <c r="CA38" s="140"/>
      <c r="CB38" s="140"/>
      <c r="CC38" s="140"/>
      <c r="CD38" s="139"/>
    </row>
    <row r="39" spans="1:82" ht="13.5" customHeight="1">
      <c r="B39" s="80">
        <v>421</v>
      </c>
      <c r="C39" s="97" t="s">
        <v>88</v>
      </c>
      <c r="D39" s="211">
        <v>213568.84</v>
      </c>
      <c r="E39" s="252">
        <f>+D39/$D$11*100</f>
        <v>4.8199878128596897E-3</v>
      </c>
      <c r="F39" s="211">
        <v>414386.09760000004</v>
      </c>
      <c r="G39" s="252">
        <f t="shared" si="0"/>
        <v>9.3521879888961625E-3</v>
      </c>
      <c r="H39" s="212">
        <f>+D39-F39</f>
        <v>-200817.25760000004</v>
      </c>
      <c r="I39" s="260">
        <f>+D39/F39*100-100</f>
        <v>-48.461388729755498</v>
      </c>
      <c r="J39" s="211">
        <v>721000.5</v>
      </c>
      <c r="K39" s="252">
        <f t="shared" si="4"/>
        <v>1.7018375584194872E-2</v>
      </c>
      <c r="L39" s="212">
        <f>+D39-J39</f>
        <v>-507431.66000000003</v>
      </c>
      <c r="M39" s="260">
        <f>+D39/J39*100-100</f>
        <v>-70.378822206087236</v>
      </c>
      <c r="BY39" s="141"/>
      <c r="BZ39" s="141"/>
      <c r="CA39" s="140"/>
      <c r="CB39" s="140"/>
      <c r="CC39" s="140"/>
      <c r="CD39" s="139"/>
    </row>
    <row r="40" spans="1:82" ht="13.5" customHeight="1" thickBot="1">
      <c r="A40" s="80">
        <v>43</v>
      </c>
      <c r="C40" s="93" t="str">
        <f>+'Cental Budget'!C54</f>
        <v xml:space="preserve">Transferi institucijama, pojedincima, nevladinom i javnom sektoru </v>
      </c>
      <c r="D40" s="94">
        <v>22709378.350000001</v>
      </c>
      <c r="E40" s="230">
        <f t="shared" si="1"/>
        <v>0.51252292649348896</v>
      </c>
      <c r="F40" s="94">
        <v>18718768.394400001</v>
      </c>
      <c r="G40" s="230">
        <f t="shared" si="0"/>
        <v>0.42245973491615701</v>
      </c>
      <c r="H40" s="198">
        <f t="shared" si="2"/>
        <v>3990609.9556000009</v>
      </c>
      <c r="I40" s="243">
        <f t="shared" si="3"/>
        <v>21.318763454511512</v>
      </c>
      <c r="J40" s="149">
        <v>18035121.219999999</v>
      </c>
      <c r="K40" s="233">
        <f t="shared" si="4"/>
        <v>0.42569799414624931</v>
      </c>
      <c r="L40" s="198">
        <f t="shared" si="5"/>
        <v>4674257.1300000027</v>
      </c>
      <c r="M40" s="243">
        <f t="shared" si="6"/>
        <v>25.917525438179467</v>
      </c>
      <c r="BY40" s="141"/>
      <c r="BZ40" s="141"/>
      <c r="CA40" s="140"/>
      <c r="CB40" s="140"/>
      <c r="CC40" s="140"/>
      <c r="CD40" s="139"/>
    </row>
    <row r="41" spans="1:82" ht="13.5" customHeight="1" thickTop="1" thickBot="1">
      <c r="B41" s="80">
        <v>44</v>
      </c>
      <c r="C41" s="148" t="str">
        <f>+'Cental Budget'!C57</f>
        <v>Kapitalni budžet</v>
      </c>
      <c r="D41" s="215">
        <v>18737417.129999999</v>
      </c>
      <c r="E41" s="254">
        <f t="shared" si="1"/>
        <v>0.422880614096459</v>
      </c>
      <c r="F41" s="216">
        <v>15613893.849659998</v>
      </c>
      <c r="G41" s="254">
        <f t="shared" si="0"/>
        <v>0.35238650950506661</v>
      </c>
      <c r="H41" s="215">
        <f t="shared" si="2"/>
        <v>3123523.280340001</v>
      </c>
      <c r="I41" s="254">
        <f t="shared" si="3"/>
        <v>20.004768255857059</v>
      </c>
      <c r="J41" s="216">
        <v>11069922.669999998</v>
      </c>
      <c r="K41" s="277">
        <f t="shared" si="4"/>
        <v>0.26129260893169048</v>
      </c>
      <c r="L41" s="215">
        <f t="shared" si="5"/>
        <v>7667494.4600000009</v>
      </c>
      <c r="M41" s="254">
        <f t="shared" si="6"/>
        <v>69.264209774285632</v>
      </c>
      <c r="BY41" s="141"/>
      <c r="BZ41" s="141"/>
      <c r="CA41" s="140"/>
      <c r="CB41" s="140"/>
      <c r="CC41" s="140"/>
      <c r="CD41" s="139"/>
    </row>
    <row r="42" spans="1:82" ht="13.5" customHeight="1" thickTop="1">
      <c r="B42" s="80">
        <v>451</v>
      </c>
      <c r="C42" s="93" t="str">
        <f>+'Cental Budget'!C58</f>
        <v>Pozajmice i krediti</v>
      </c>
      <c r="D42" s="213">
        <v>319322.25</v>
      </c>
      <c r="E42" s="253">
        <f t="shared" si="1"/>
        <v>7.2067130831208106E-3</v>
      </c>
      <c r="F42" s="213">
        <v>716798.9412</v>
      </c>
      <c r="G42" s="253">
        <f t="shared" si="0"/>
        <v>1.6177276426911011E-2</v>
      </c>
      <c r="H42" s="214">
        <f t="shared" si="2"/>
        <v>-397476.6912</v>
      </c>
      <c r="I42" s="261">
        <f t="shared" si="3"/>
        <v>-55.451629230168848</v>
      </c>
      <c r="J42" s="213">
        <v>261498.18</v>
      </c>
      <c r="K42" s="253">
        <f t="shared" si="4"/>
        <v>6.1723594391729216E-3</v>
      </c>
      <c r="L42" s="214">
        <f t="shared" si="5"/>
        <v>57824.070000000007</v>
      </c>
      <c r="M42" s="261">
        <f t="shared" si="6"/>
        <v>22.112608967297589</v>
      </c>
      <c r="BY42" s="141"/>
      <c r="BZ42" s="141"/>
      <c r="CA42" s="140"/>
      <c r="CB42" s="140"/>
      <c r="CC42" s="140"/>
      <c r="CD42" s="139"/>
    </row>
    <row r="43" spans="1:82" ht="13.5" customHeight="1" thickBot="1">
      <c r="B43" s="80">
        <v>47</v>
      </c>
      <c r="C43" s="93" t="str">
        <f>+'Cental Budget'!C59</f>
        <v>Rezerve</v>
      </c>
      <c r="D43" s="217">
        <v>1599832.06</v>
      </c>
      <c r="E43" s="255">
        <f t="shared" si="1"/>
        <v>3.6106255162608049E-2</v>
      </c>
      <c r="F43" s="217">
        <v>814452.23975999991</v>
      </c>
      <c r="G43" s="255">
        <f t="shared" si="0"/>
        <v>1.8381192077456046E-2</v>
      </c>
      <c r="H43" s="218">
        <f t="shared" si="2"/>
        <v>785379.82024000015</v>
      </c>
      <c r="I43" s="262">
        <f t="shared" si="3"/>
        <v>96.430432860180133</v>
      </c>
      <c r="J43" s="217">
        <v>781214.35999999987</v>
      </c>
      <c r="K43" s="255">
        <f t="shared" si="4"/>
        <v>1.8439653495727702E-2</v>
      </c>
      <c r="L43" s="218">
        <f t="shared" si="5"/>
        <v>818617.70000000019</v>
      </c>
      <c r="M43" s="262">
        <f t="shared" si="6"/>
        <v>104.78784593770146</v>
      </c>
      <c r="BY43" s="141"/>
      <c r="BZ43" s="141"/>
      <c r="CA43" s="140"/>
      <c r="CB43" s="140"/>
      <c r="CC43" s="140"/>
      <c r="CD43" s="139"/>
    </row>
    <row r="44" spans="1:82" ht="13.5" customHeight="1" thickTop="1" thickBot="1">
      <c r="B44" s="80">
        <v>462</v>
      </c>
      <c r="C44" s="190" t="s">
        <v>112</v>
      </c>
      <c r="D44" s="219">
        <v>0</v>
      </c>
      <c r="E44" s="256">
        <f t="shared" si="1"/>
        <v>0</v>
      </c>
      <c r="F44" s="219">
        <v>0</v>
      </c>
      <c r="G44" s="256">
        <f t="shared" si="0"/>
        <v>0</v>
      </c>
      <c r="H44" s="220">
        <f t="shared" si="2"/>
        <v>0</v>
      </c>
      <c r="I44" s="262" t="e">
        <f t="shared" si="3"/>
        <v>#DIV/0!</v>
      </c>
      <c r="J44" s="219">
        <v>0</v>
      </c>
      <c r="K44" s="256">
        <f t="shared" si="4"/>
        <v>0</v>
      </c>
      <c r="L44" s="220">
        <f t="shared" si="5"/>
        <v>0</v>
      </c>
      <c r="M44" s="263" t="e">
        <f t="shared" si="6"/>
        <v>#DIV/0!</v>
      </c>
      <c r="BY44" s="141"/>
      <c r="BZ44" s="141"/>
      <c r="CA44" s="140"/>
      <c r="CB44" s="140"/>
      <c r="CC44" s="140"/>
      <c r="CD44" s="139"/>
    </row>
    <row r="45" spans="1:82" ht="13.5" customHeight="1" thickTop="1" thickBot="1">
      <c r="B45" s="80" t="s">
        <v>448</v>
      </c>
      <c r="C45" s="190" t="s">
        <v>446</v>
      </c>
      <c r="D45" s="213">
        <v>27759408.98</v>
      </c>
      <c r="E45" s="256">
        <f t="shared" si="1"/>
        <v>0.62649594845291023</v>
      </c>
      <c r="F45" s="225">
        <v>0</v>
      </c>
      <c r="G45" s="256">
        <f t="shared" si="0"/>
        <v>0</v>
      </c>
      <c r="H45" s="220">
        <f t="shared" si="2"/>
        <v>27759408.98</v>
      </c>
      <c r="I45" s="262" t="e">
        <f t="shared" si="3"/>
        <v>#DIV/0!</v>
      </c>
      <c r="J45" s="213">
        <v>22510150.970000003</v>
      </c>
      <c r="K45" s="256">
        <f t="shared" si="4"/>
        <v>0.53132585021007417</v>
      </c>
      <c r="L45" s="220">
        <f t="shared" si="5"/>
        <v>5249258.0099999979</v>
      </c>
      <c r="M45" s="263">
        <f t="shared" si="6"/>
        <v>23.319514902391589</v>
      </c>
      <c r="BY45" s="141"/>
      <c r="BZ45" s="141"/>
      <c r="CA45" s="140"/>
      <c r="CB45" s="140"/>
      <c r="CC45" s="140"/>
      <c r="CD45" s="139"/>
    </row>
    <row r="46" spans="1:82" ht="13.5" customHeight="1" thickTop="1" thickBot="1">
      <c r="B46" s="80">
        <v>990</v>
      </c>
      <c r="C46" s="191" t="s">
        <v>151</v>
      </c>
      <c r="D46" s="221">
        <v>0</v>
      </c>
      <c r="E46" s="257">
        <f t="shared" si="1"/>
        <v>0</v>
      </c>
      <c r="F46" s="221">
        <v>0</v>
      </c>
      <c r="G46" s="257">
        <f t="shared" si="0"/>
        <v>0</v>
      </c>
      <c r="H46" s="222">
        <f t="shared" si="2"/>
        <v>0</v>
      </c>
      <c r="I46" s="262" t="e">
        <f t="shared" si="3"/>
        <v>#DIV/0!</v>
      </c>
      <c r="J46" s="222">
        <v>0</v>
      </c>
      <c r="K46" s="257">
        <f t="shared" si="4"/>
        <v>0</v>
      </c>
      <c r="L46" s="222">
        <f t="shared" si="5"/>
        <v>0</v>
      </c>
      <c r="M46" s="263" t="e">
        <f t="shared" si="6"/>
        <v>#DIV/0!</v>
      </c>
      <c r="BY46" s="141"/>
      <c r="BZ46" s="141"/>
      <c r="CA46" s="140"/>
      <c r="CB46" s="140"/>
      <c r="CC46" s="140"/>
      <c r="CD46" s="139"/>
    </row>
    <row r="47" spans="1:82" ht="13.5" customHeight="1" thickTop="1" thickBot="1">
      <c r="C47" s="148" t="str">
        <f>+'Cental Budget'!C63</f>
        <v>Suficit / deficit</v>
      </c>
      <c r="D47" s="215">
        <f>+D16-D26</f>
        <v>-11175183.137999997</v>
      </c>
      <c r="E47" s="254">
        <f t="shared" si="1"/>
        <v>-0.25221023128484049</v>
      </c>
      <c r="F47" s="215">
        <f>+F16-F26</f>
        <v>18798073.780770853</v>
      </c>
      <c r="G47" s="254">
        <f t="shared" si="0"/>
        <v>0.42424956060328267</v>
      </c>
      <c r="H47" s="215">
        <f>+D47-F47</f>
        <v>-29973256.91877085</v>
      </c>
      <c r="I47" s="254">
        <f t="shared" si="3"/>
        <v>-159.44855450791692</v>
      </c>
      <c r="J47" s="215">
        <f>+J16-J26</f>
        <v>-6982234.6899999976</v>
      </c>
      <c r="K47" s="277">
        <f t="shared" si="4"/>
        <v>-0.16480750342255576</v>
      </c>
      <c r="L47" s="215">
        <f t="shared" si="5"/>
        <v>-4192948.4479999989</v>
      </c>
      <c r="M47" s="254">
        <f t="shared" si="6"/>
        <v>60.051668758788168</v>
      </c>
      <c r="BY47" s="141"/>
      <c r="BZ47" s="141"/>
      <c r="CA47" s="140"/>
      <c r="CB47" s="140"/>
      <c r="CC47" s="140"/>
      <c r="CD47" s="139"/>
    </row>
    <row r="48" spans="1:82" ht="13.5" customHeight="1" thickTop="1" thickBot="1">
      <c r="C48" s="148" t="str">
        <f>+'Cental Budget'!C64</f>
        <v>Primarni bilans</v>
      </c>
      <c r="D48" s="215">
        <f>+D47+D34</f>
        <v>-9698623.8779999968</v>
      </c>
      <c r="E48" s="254">
        <f t="shared" si="1"/>
        <v>-0.21888609262226627</v>
      </c>
      <c r="F48" s="215">
        <f>+F47+F34</f>
        <v>20352012.882930852</v>
      </c>
      <c r="G48" s="254">
        <f t="shared" si="0"/>
        <v>0.4593200677724808</v>
      </c>
      <c r="H48" s="215">
        <f t="shared" si="2"/>
        <v>-30050636.760930851</v>
      </c>
      <c r="I48" s="254">
        <f t="shared" si="3"/>
        <v>-147.65437175078733</v>
      </c>
      <c r="J48" s="215">
        <f>+J47+J34</f>
        <v>-5263397.8799999971</v>
      </c>
      <c r="K48" s="277">
        <f t="shared" si="4"/>
        <v>-0.12423636595383084</v>
      </c>
      <c r="L48" s="215">
        <f t="shared" si="5"/>
        <v>-4435225.9979999997</v>
      </c>
      <c r="M48" s="254">
        <f t="shared" si="6"/>
        <v>84.265451693346108</v>
      </c>
      <c r="BY48" s="141"/>
      <c r="BZ48" s="141"/>
      <c r="CA48" s="140"/>
      <c r="CB48" s="140"/>
      <c r="CC48" s="140"/>
      <c r="CD48" s="139"/>
    </row>
    <row r="49" spans="2:82" ht="13.5" customHeight="1" thickTop="1" thickBot="1">
      <c r="C49" s="148" t="str">
        <f>+'Cental Budget'!C65</f>
        <v>Otplata dugova</v>
      </c>
      <c r="D49" s="215">
        <f>+SUM(D50:D51)</f>
        <v>6765888.870000001</v>
      </c>
      <c r="E49" s="254">
        <f t="shared" si="1"/>
        <v>0.15269784626148189</v>
      </c>
      <c r="F49" s="215">
        <f>+SUM(F50:F52)</f>
        <v>29000000</v>
      </c>
      <c r="G49" s="254">
        <f t="shared" si="0"/>
        <v>0.65449457220880636</v>
      </c>
      <c r="H49" s="215">
        <f t="shared" si="2"/>
        <v>-22234111.129999999</v>
      </c>
      <c r="I49" s="254">
        <f t="shared" si="3"/>
        <v>-76.669348724137933</v>
      </c>
      <c r="J49" s="215">
        <f>+SUM(J50:J51)</f>
        <v>9568388.6799999997</v>
      </c>
      <c r="K49" s="277">
        <f t="shared" si="4"/>
        <v>0.22585065099372134</v>
      </c>
      <c r="L49" s="215">
        <f t="shared" si="5"/>
        <v>-2802499.8099999987</v>
      </c>
      <c r="M49" s="254">
        <f t="shared" si="6"/>
        <v>-29.289151013041817</v>
      </c>
      <c r="BY49" s="141"/>
      <c r="BZ49" s="141"/>
      <c r="CA49" s="140"/>
      <c r="CB49" s="140"/>
      <c r="CC49" s="140"/>
      <c r="CD49" s="139"/>
    </row>
    <row r="50" spans="2:82" ht="13.5" customHeight="1" thickTop="1">
      <c r="B50" s="80">
        <v>4611</v>
      </c>
      <c r="C50" s="97" t="str">
        <f>+'Cental Budget'!C66</f>
        <v>Otplata hartija od vrijednosti i kredita rezidentima</v>
      </c>
      <c r="D50" s="223">
        <v>5545613.4400000013</v>
      </c>
      <c r="E50" s="258">
        <f t="shared" si="1"/>
        <v>0.12515772055338648</v>
      </c>
      <c r="F50" s="223">
        <v>7200000</v>
      </c>
      <c r="G50" s="258">
        <f t="shared" si="0"/>
        <v>0.1624952041346002</v>
      </c>
      <c r="H50" s="224">
        <f t="shared" si="2"/>
        <v>-1654386.5599999987</v>
      </c>
      <c r="I50" s="264">
        <f t="shared" si="3"/>
        <v>-22.977591111111096</v>
      </c>
      <c r="J50" s="223">
        <v>8542930.6999999993</v>
      </c>
      <c r="K50" s="258">
        <f t="shared" si="4"/>
        <v>0.20164591181607894</v>
      </c>
      <c r="L50" s="224">
        <f t="shared" si="5"/>
        <v>-2997317.2599999979</v>
      </c>
      <c r="M50" s="264">
        <f t="shared" si="6"/>
        <v>-35.085351447366861</v>
      </c>
      <c r="BY50" s="141"/>
      <c r="BZ50" s="141"/>
      <c r="CA50" s="140"/>
      <c r="CB50" s="140"/>
      <c r="CC50" s="140"/>
      <c r="CD50" s="139"/>
    </row>
    <row r="51" spans="2:82" ht="13.5" customHeight="1">
      <c r="B51" s="80">
        <v>4612</v>
      </c>
      <c r="C51" s="97" t="str">
        <f>+'Cental Budget'!C67</f>
        <v>Otplata hartija od vrijednosti i kredita nerezidentima</v>
      </c>
      <c r="D51" s="225">
        <v>1220275.43</v>
      </c>
      <c r="E51" s="252">
        <f t="shared" si="1"/>
        <v>2.7540125708095418E-2</v>
      </c>
      <c r="F51" s="225">
        <v>2000000</v>
      </c>
      <c r="G51" s="252">
        <f t="shared" si="0"/>
        <v>4.5137556704055615E-2</v>
      </c>
      <c r="H51" s="212">
        <f t="shared" si="2"/>
        <v>-779724.57000000007</v>
      </c>
      <c r="I51" s="260">
        <f t="shared" si="3"/>
        <v>-38.98622850000001</v>
      </c>
      <c r="J51" s="225">
        <v>1025457.98</v>
      </c>
      <c r="K51" s="252">
        <f t="shared" si="4"/>
        <v>2.4204739177642449E-2</v>
      </c>
      <c r="L51" s="212">
        <f t="shared" si="5"/>
        <v>194817.44999999995</v>
      </c>
      <c r="M51" s="260">
        <f t="shared" si="6"/>
        <v>18.998091954972153</v>
      </c>
      <c r="BY51" s="141"/>
      <c r="BZ51" s="141"/>
      <c r="CA51" s="140"/>
      <c r="CB51" s="140"/>
      <c r="CC51" s="140"/>
      <c r="CD51" s="139"/>
    </row>
    <row r="52" spans="2:82" ht="13.5" customHeight="1" thickBot="1">
      <c r="B52" s="80" t="s">
        <v>448</v>
      </c>
      <c r="C52" s="97" t="s">
        <v>446</v>
      </c>
      <c r="D52" s="225">
        <v>0</v>
      </c>
      <c r="E52" s="252">
        <f t="shared" si="1"/>
        <v>0</v>
      </c>
      <c r="F52" s="225">
        <v>19800000</v>
      </c>
      <c r="G52" s="252">
        <f t="shared" si="0"/>
        <v>0.44686181137015052</v>
      </c>
      <c r="H52" s="212">
        <f t="shared" si="2"/>
        <v>-19800000</v>
      </c>
      <c r="I52" s="260">
        <f t="shared" si="3"/>
        <v>-100</v>
      </c>
      <c r="J52" s="225">
        <v>0</v>
      </c>
      <c r="K52" s="252">
        <f t="shared" si="4"/>
        <v>0</v>
      </c>
      <c r="L52" s="212">
        <f t="shared" si="5"/>
        <v>0</v>
      </c>
      <c r="M52" s="260" t="e">
        <f t="shared" si="6"/>
        <v>#DIV/0!</v>
      </c>
      <c r="BY52" s="141"/>
      <c r="BZ52" s="141"/>
      <c r="CA52" s="140"/>
      <c r="CB52" s="140"/>
      <c r="CC52" s="140"/>
      <c r="CD52" s="139"/>
    </row>
    <row r="53" spans="2:82" ht="13.5" customHeight="1" thickTop="1" thickBot="1">
      <c r="C53" s="148" t="s">
        <v>469</v>
      </c>
      <c r="D53" s="215">
        <v>0</v>
      </c>
      <c r="E53" s="254">
        <f t="shared" si="1"/>
        <v>0</v>
      </c>
      <c r="F53" s="215">
        <v>0</v>
      </c>
      <c r="G53" s="254">
        <f t="shared" si="0"/>
        <v>0</v>
      </c>
      <c r="H53" s="215">
        <f t="shared" si="2"/>
        <v>0</v>
      </c>
      <c r="I53" s="254" t="e">
        <f t="shared" si="3"/>
        <v>#DIV/0!</v>
      </c>
      <c r="J53" s="215">
        <v>0</v>
      </c>
      <c r="K53" s="277">
        <f t="shared" si="4"/>
        <v>0</v>
      </c>
      <c r="L53" s="215">
        <f t="shared" si="5"/>
        <v>0</v>
      </c>
      <c r="M53" s="254" t="e">
        <f t="shared" si="6"/>
        <v>#DIV/0!</v>
      </c>
      <c r="BY53" s="141"/>
      <c r="BZ53" s="141"/>
      <c r="CA53" s="140"/>
      <c r="CB53" s="140"/>
      <c r="CC53" s="140"/>
      <c r="CD53" s="139"/>
    </row>
    <row r="54" spans="2:82" ht="13.5" customHeight="1" thickTop="1" thickBot="1">
      <c r="C54" s="148" t="str">
        <f>+'Cental Budget'!C70</f>
        <v>Nedostajuća sredstva</v>
      </c>
      <c r="D54" s="215">
        <f>+D47-D49-D53</f>
        <v>-17941072.007999998</v>
      </c>
      <c r="E54" s="254">
        <f t="shared" si="1"/>
        <v>-0.40490807754632241</v>
      </c>
      <c r="F54" s="215">
        <f>+F47-F49-F53</f>
        <v>-10201926.219229147</v>
      </c>
      <c r="G54" s="254">
        <f t="shared" si="0"/>
        <v>-0.23024501160552363</v>
      </c>
      <c r="H54" s="215">
        <f t="shared" si="2"/>
        <v>-7739145.7887708507</v>
      </c>
      <c r="I54" s="254">
        <f t="shared" si="3"/>
        <v>75.859652603482743</v>
      </c>
      <c r="J54" s="215">
        <f>+J47-J49-J53</f>
        <v>-16550623.369999997</v>
      </c>
      <c r="K54" s="277">
        <f t="shared" si="4"/>
        <v>-0.39065815441627716</v>
      </c>
      <c r="L54" s="215">
        <f t="shared" si="5"/>
        <v>-1390448.6380000003</v>
      </c>
      <c r="M54" s="254">
        <f t="shared" si="6"/>
        <v>8.4011859065100651</v>
      </c>
      <c r="BY54" s="141"/>
      <c r="BZ54" s="141"/>
      <c r="CA54" s="140"/>
      <c r="CB54" s="140"/>
      <c r="CC54" s="140"/>
      <c r="CD54" s="139"/>
    </row>
    <row r="55" spans="2:82" ht="13.5" customHeight="1" thickTop="1" thickBot="1">
      <c r="C55" s="148" t="str">
        <f>+'Cental Budget'!C71</f>
        <v>Finansiranje</v>
      </c>
      <c r="D55" s="215">
        <f>+SUM(D56:D60)</f>
        <v>17941072.007999998</v>
      </c>
      <c r="E55" s="254">
        <f t="shared" si="1"/>
        <v>0.40490807754632241</v>
      </c>
      <c r="F55" s="215">
        <f>+SUM(F56:F60)</f>
        <v>10201926.219229147</v>
      </c>
      <c r="G55" s="254">
        <f t="shared" si="0"/>
        <v>0.23024501160552363</v>
      </c>
      <c r="H55" s="215">
        <f t="shared" si="2"/>
        <v>7739145.7887708507</v>
      </c>
      <c r="I55" s="254">
        <f t="shared" si="3"/>
        <v>75.859652603482743</v>
      </c>
      <c r="J55" s="215">
        <f>+SUM(J56:J60)</f>
        <v>16550623.369999997</v>
      </c>
      <c r="K55" s="277">
        <f t="shared" si="4"/>
        <v>0.39065815441627716</v>
      </c>
      <c r="L55" s="215">
        <f t="shared" si="5"/>
        <v>1390448.6380000003</v>
      </c>
      <c r="M55" s="254">
        <f t="shared" si="6"/>
        <v>8.4011859065100651</v>
      </c>
      <c r="BY55" s="141"/>
      <c r="BZ55" s="141"/>
      <c r="CA55" s="140"/>
      <c r="CB55" s="140"/>
      <c r="CC55" s="140"/>
      <c r="CD55" s="139"/>
    </row>
    <row r="56" spans="2:82" ht="13.5" customHeight="1" thickTop="1">
      <c r="B56" s="80">
        <v>7511</v>
      </c>
      <c r="C56" s="97" t="str">
        <f>+'Cental Budget'!C72</f>
        <v>Pozajmice i krediti od domaćih izvora</v>
      </c>
      <c r="D56" s="223">
        <v>3233423.13</v>
      </c>
      <c r="E56" s="258">
        <f t="shared" si="1"/>
        <v>7.2974409939289983E-2</v>
      </c>
      <c r="F56" s="223">
        <v>9000000</v>
      </c>
      <c r="G56" s="258">
        <f t="shared" si="0"/>
        <v>0.20311900516825024</v>
      </c>
      <c r="H56" s="224">
        <f t="shared" si="2"/>
        <v>-5766576.8700000001</v>
      </c>
      <c r="I56" s="264">
        <f t="shared" si="3"/>
        <v>-64.073076333333333</v>
      </c>
      <c r="J56" s="223">
        <v>10448412.914999999</v>
      </c>
      <c r="K56" s="258">
        <f t="shared" si="4"/>
        <v>0.2466225963036397</v>
      </c>
      <c r="L56" s="224">
        <f t="shared" si="5"/>
        <v>-7214989.7849999992</v>
      </c>
      <c r="M56" s="264">
        <f t="shared" si="6"/>
        <v>-69.053451884945915</v>
      </c>
      <c r="BY56" s="141"/>
      <c r="BZ56" s="141"/>
      <c r="CA56" s="140"/>
      <c r="CB56" s="140"/>
      <c r="CC56" s="140"/>
      <c r="CD56" s="139"/>
    </row>
    <row r="57" spans="2:82" ht="13.5" customHeight="1">
      <c r="B57" s="80">
        <v>7512</v>
      </c>
      <c r="C57" s="97" t="str">
        <f>+'Cental Budget'!C73</f>
        <v>Pozajmice i krediti od inostranih izvora</v>
      </c>
      <c r="D57" s="225">
        <v>1191263.28</v>
      </c>
      <c r="E57" s="252">
        <f t="shared" si="1"/>
        <v>2.6885356925229639E-2</v>
      </c>
      <c r="F57" s="225">
        <v>2400000</v>
      </c>
      <c r="G57" s="252">
        <f t="shared" si="0"/>
        <v>5.4165068044866732E-2</v>
      </c>
      <c r="H57" s="212">
        <f t="shared" si="2"/>
        <v>-1208736.72</v>
      </c>
      <c r="I57" s="260">
        <f t="shared" si="3"/>
        <v>-50.36403</v>
      </c>
      <c r="J57" s="225">
        <v>80040</v>
      </c>
      <c r="K57" s="252">
        <f t="shared" si="4"/>
        <v>1.8892508143322476E-3</v>
      </c>
      <c r="L57" s="212">
        <f t="shared" si="5"/>
        <v>1111223.28</v>
      </c>
      <c r="M57" s="279">
        <f t="shared" si="6"/>
        <v>1388.3349325337331</v>
      </c>
      <c r="BY57" s="141"/>
      <c r="BZ57" s="141"/>
      <c r="CA57" s="140"/>
      <c r="CB57" s="140"/>
      <c r="CC57" s="140"/>
      <c r="CD57" s="139"/>
    </row>
    <row r="58" spans="2:82" ht="13.5" customHeight="1" thickBot="1">
      <c r="B58" s="80">
        <v>72</v>
      </c>
      <c r="C58" s="103" t="str">
        <f>+'Cental Budget'!C74</f>
        <v>Primici od prodaje imovine</v>
      </c>
      <c r="D58" s="225">
        <v>2277539.98</v>
      </c>
      <c r="E58" s="252">
        <f t="shared" si="1"/>
        <v>5.140129499650184E-2</v>
      </c>
      <c r="F58" s="225">
        <v>1000000</v>
      </c>
      <c r="G58" s="252">
        <f t="shared" si="0"/>
        <v>2.2568778352027807E-2</v>
      </c>
      <c r="H58" s="212">
        <f t="shared" si="2"/>
        <v>1277539.98</v>
      </c>
      <c r="I58" s="260">
        <f t="shared" si="3"/>
        <v>127.75399799999997</v>
      </c>
      <c r="J58" s="225">
        <v>1460154.2800000003</v>
      </c>
      <c r="K58" s="252">
        <f t="shared" si="4"/>
        <v>3.4465238162677631E-2</v>
      </c>
      <c r="L58" s="212">
        <f t="shared" si="5"/>
        <v>817385.69999999972</v>
      </c>
      <c r="M58" s="260">
        <f t="shared" si="6"/>
        <v>55.979406504907104</v>
      </c>
      <c r="BY58" s="141"/>
      <c r="BZ58" s="141"/>
      <c r="CA58" s="140"/>
      <c r="CB58" s="140"/>
      <c r="CC58" s="140"/>
      <c r="CD58" s="139"/>
    </row>
    <row r="59" spans="2:82" ht="13.5" customHeight="1" thickTop="1" thickBot="1">
      <c r="C59" s="143" t="str">
        <f>+'Cental Budget'!C75</f>
        <v>Povećanje / smanjenje depozita</v>
      </c>
      <c r="D59" s="144">
        <f>-D54-SUM(D56:D58)-D60</f>
        <v>8723237.4579999968</v>
      </c>
      <c r="E59" s="234">
        <f t="shared" si="1"/>
        <v>0.19687281270170837</v>
      </c>
      <c r="F59" s="144">
        <f>-F54-SUM(F56:F58)-F60</f>
        <v>-3798073.7807708532</v>
      </c>
      <c r="G59" s="234">
        <f t="shared" si="0"/>
        <v>-8.5717885322865617E-2</v>
      </c>
      <c r="H59" s="199">
        <f t="shared" si="2"/>
        <v>12521311.23877085</v>
      </c>
      <c r="I59" s="249">
        <f t="shared" si="3"/>
        <v>-329.67530283810174</v>
      </c>
      <c r="J59" s="144">
        <f>-J54-SUM(J56:J58)-J60</f>
        <v>3951230.944999997</v>
      </c>
      <c r="K59" s="278">
        <f t="shared" si="4"/>
        <v>9.3264196407496502E-2</v>
      </c>
      <c r="L59" s="199">
        <f t="shared" si="5"/>
        <v>4772006.5130000003</v>
      </c>
      <c r="M59" s="249">
        <f t="shared" si="6"/>
        <v>120.77265488717219</v>
      </c>
      <c r="BY59" s="141"/>
      <c r="BZ59" s="141"/>
      <c r="CA59" s="140"/>
      <c r="CB59" s="140"/>
      <c r="CC59" s="140"/>
      <c r="CD59" s="139"/>
    </row>
    <row r="60" spans="2:82" ht="13.5" customHeight="1" thickTop="1" thickBot="1">
      <c r="B60" s="80">
        <v>999</v>
      </c>
      <c r="C60" s="148" t="s">
        <v>456</v>
      </c>
      <c r="D60" s="216">
        <v>2515608.16</v>
      </c>
      <c r="E60" s="254">
        <f t="shared" si="1"/>
        <v>5.6774202983592509E-2</v>
      </c>
      <c r="F60" s="216">
        <v>1600000</v>
      </c>
      <c r="G60" s="254">
        <f t="shared" si="0"/>
        <v>3.6110045363244483E-2</v>
      </c>
      <c r="H60" s="215">
        <f t="shared" si="2"/>
        <v>915608.16000000015</v>
      </c>
      <c r="I60" s="254">
        <f t="shared" si="3"/>
        <v>57.225510000000014</v>
      </c>
      <c r="J60" s="216">
        <v>610785.23</v>
      </c>
      <c r="K60" s="277">
        <f t="shared" si="4"/>
        <v>1.4416872728131047E-2</v>
      </c>
      <c r="L60" s="215">
        <f t="shared" si="5"/>
        <v>1904822.9300000002</v>
      </c>
      <c r="M60" s="254">
        <f t="shared" si="6"/>
        <v>311.86460255432183</v>
      </c>
      <c r="N60" s="203"/>
      <c r="BY60" s="141"/>
      <c r="BZ60" s="141"/>
      <c r="CA60" s="140"/>
      <c r="CB60" s="140"/>
      <c r="CC60" s="140"/>
      <c r="CD60" s="139"/>
    </row>
    <row r="61" spans="2:82" ht="13.5" thickTop="1">
      <c r="C61" s="106" t="str">
        <f>IF(MasterSheet!$A$1=1,MasterSheet!C151,MasterSheet!B151)</f>
        <v>Izvor: Ministarstvo finansija Crne Gore</v>
      </c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O61" s="81"/>
    </row>
    <row r="62" spans="2:82">
      <c r="C62" s="105"/>
      <c r="D62" s="105"/>
      <c r="E62" s="105"/>
      <c r="F62" s="105"/>
      <c r="G62" s="105"/>
      <c r="H62" s="105"/>
      <c r="I62" s="105"/>
      <c r="J62" s="105"/>
      <c r="K62" s="289"/>
      <c r="L62" s="105"/>
      <c r="M62" s="105"/>
      <c r="O62" s="81"/>
    </row>
    <row r="63" spans="2:82">
      <c r="D63" s="133"/>
      <c r="E63" s="134"/>
      <c r="F63" s="134"/>
      <c r="G63" s="134"/>
      <c r="H63" s="134"/>
      <c r="I63" s="134"/>
      <c r="J63" s="134"/>
      <c r="K63" s="134"/>
      <c r="L63" s="134"/>
      <c r="M63" s="285"/>
    </row>
    <row r="64" spans="2:82">
      <c r="D64" s="133"/>
      <c r="E64" s="134"/>
      <c r="F64" s="134"/>
      <c r="G64" s="134"/>
      <c r="H64" s="134"/>
      <c r="I64" s="134"/>
      <c r="J64" s="134"/>
      <c r="K64" s="134"/>
      <c r="L64" s="134"/>
      <c r="M64" s="134"/>
    </row>
    <row r="65" spans="3:13"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3:13" ht="15">
      <c r="E66" s="134"/>
      <c r="F66" s="134"/>
      <c r="G66" s="134"/>
      <c r="H66" s="134"/>
      <c r="I66" s="134"/>
      <c r="J66" s="134"/>
      <c r="K66" s="286"/>
      <c r="L66" s="134"/>
      <c r="M66" s="134"/>
    </row>
    <row r="67" spans="3:13">
      <c r="E67" s="134"/>
      <c r="F67" s="134"/>
      <c r="G67" s="134"/>
      <c r="H67" s="134"/>
      <c r="I67" s="134"/>
      <c r="J67" s="134"/>
      <c r="K67" s="134"/>
      <c r="L67" s="134"/>
      <c r="M67" s="134"/>
    </row>
    <row r="68" spans="3:13">
      <c r="E68" s="134"/>
      <c r="F68" s="134"/>
      <c r="G68" s="134"/>
      <c r="H68" s="134"/>
      <c r="I68" s="134"/>
      <c r="J68" s="134"/>
      <c r="K68" s="134"/>
      <c r="L68" s="134"/>
      <c r="M68" s="134"/>
    </row>
    <row r="69" spans="3:13">
      <c r="E69" s="134"/>
      <c r="F69" s="134"/>
      <c r="G69" s="134"/>
      <c r="H69" s="134"/>
      <c r="I69" s="134"/>
      <c r="J69" s="134"/>
      <c r="K69" s="134"/>
      <c r="L69" s="134"/>
      <c r="M69" s="134"/>
    </row>
    <row r="70" spans="3:13">
      <c r="E70" s="134"/>
      <c r="F70" s="134"/>
      <c r="G70" s="134"/>
      <c r="H70" s="134"/>
      <c r="I70" s="134"/>
      <c r="J70" s="134"/>
      <c r="K70" s="134"/>
      <c r="L70" s="134"/>
      <c r="M70" s="134"/>
    </row>
    <row r="71" spans="3:13">
      <c r="E71" s="134"/>
      <c r="F71" s="134"/>
      <c r="G71" s="134"/>
      <c r="H71" s="134"/>
      <c r="I71" s="134"/>
      <c r="J71" s="134"/>
      <c r="K71" s="134"/>
      <c r="L71" s="134"/>
      <c r="M71" s="134"/>
    </row>
    <row r="72" spans="3:13">
      <c r="E72" s="134"/>
      <c r="F72" s="134"/>
      <c r="G72" s="134"/>
      <c r="H72" s="134"/>
      <c r="I72" s="134"/>
      <c r="J72" s="134"/>
      <c r="K72" s="134"/>
      <c r="L72" s="134"/>
      <c r="M72" s="134"/>
    </row>
    <row r="73" spans="3:13">
      <c r="E73" s="134"/>
      <c r="F73" s="134"/>
      <c r="G73" s="134"/>
      <c r="H73" s="134"/>
      <c r="I73" s="134"/>
      <c r="J73" s="134"/>
      <c r="K73" s="134"/>
      <c r="L73" s="134"/>
      <c r="M73" s="134"/>
    </row>
    <row r="74" spans="3:13">
      <c r="E74" s="134"/>
      <c r="F74" s="134"/>
      <c r="G74" s="134"/>
      <c r="H74" s="134"/>
      <c r="I74" s="134"/>
      <c r="J74" s="134"/>
      <c r="K74" s="134"/>
      <c r="L74" s="134"/>
      <c r="M74" s="134"/>
    </row>
    <row r="75" spans="3:13">
      <c r="E75" s="134"/>
      <c r="F75" s="134"/>
      <c r="G75" s="134"/>
      <c r="H75" s="134"/>
      <c r="I75" s="134"/>
      <c r="J75" s="134"/>
      <c r="K75" s="134"/>
      <c r="L75" s="134"/>
      <c r="M75" s="134"/>
    </row>
    <row r="76" spans="3:13">
      <c r="E76" s="134"/>
      <c r="F76" s="134"/>
      <c r="G76" s="134"/>
      <c r="H76" s="134"/>
      <c r="I76" s="134"/>
      <c r="J76" s="134"/>
      <c r="K76" s="134"/>
      <c r="L76" s="134"/>
      <c r="M76" s="134"/>
    </row>
    <row r="77" spans="3:13">
      <c r="E77" s="134"/>
      <c r="F77" s="134"/>
      <c r="G77" s="134"/>
      <c r="H77" s="134"/>
      <c r="I77" s="134"/>
      <c r="J77" s="134"/>
      <c r="K77" s="134"/>
      <c r="L77" s="134"/>
      <c r="M77" s="134"/>
    </row>
  </sheetData>
  <sheetProtection formatCells="0" formatColumns="0" formatRows="0" sort="0" autoFilter="0"/>
  <mergeCells count="12">
    <mergeCell ref="L14:M14"/>
    <mergeCell ref="H11:I11"/>
    <mergeCell ref="J11:K11"/>
    <mergeCell ref="L11:M11"/>
    <mergeCell ref="D11:G11"/>
    <mergeCell ref="D13:E13"/>
    <mergeCell ref="J13:K13"/>
    <mergeCell ref="C14:C15"/>
    <mergeCell ref="D14:E14"/>
    <mergeCell ref="F14:G14"/>
    <mergeCell ref="H14:I14"/>
    <mergeCell ref="J14:K14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BK81"/>
  <sheetViews>
    <sheetView topLeftCell="B1" zoomScaleNormal="100" workbookViewId="0">
      <selection activeCell="F60" sqref="F60"/>
    </sheetView>
  </sheetViews>
  <sheetFormatPr defaultColWidth="9.140625" defaultRowHeight="12.75"/>
  <cols>
    <col min="1" max="2" width="9.140625" style="80" customWidth="1"/>
    <col min="3" max="3" width="38.140625" style="80" customWidth="1"/>
    <col min="4" max="13" width="7.7109375" style="80" customWidth="1"/>
    <col min="14" max="55" width="9.140625" style="80" customWidth="1"/>
    <col min="56" max="56" width="9.140625" style="80"/>
    <col min="57" max="57" width="15.42578125" style="80" customWidth="1"/>
    <col min="58" max="58" width="12.7109375" style="80" customWidth="1"/>
    <col min="59" max="59" width="11.85546875" style="80" customWidth="1"/>
    <col min="60" max="16384" width="9.140625" style="80"/>
  </cols>
  <sheetData>
    <row r="1" spans="2:55" s="135" customFormat="1" ht="15" customHeight="1">
      <c r="C1" s="132"/>
      <c r="D1" s="108">
        <v>3</v>
      </c>
      <c r="E1" s="108">
        <v>4</v>
      </c>
      <c r="F1" s="108">
        <v>5</v>
      </c>
      <c r="G1" s="108">
        <v>6</v>
      </c>
      <c r="H1" s="108">
        <v>7</v>
      </c>
      <c r="I1" s="108">
        <v>8</v>
      </c>
      <c r="J1" s="108">
        <v>9</v>
      </c>
      <c r="K1" s="108">
        <v>10</v>
      </c>
      <c r="L1" s="108">
        <v>11</v>
      </c>
      <c r="M1" s="108">
        <v>12</v>
      </c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</row>
    <row r="2" spans="2:55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</row>
    <row r="3" spans="2:55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</row>
    <row r="4" spans="2:55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</row>
    <row r="5" spans="2:55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</row>
    <row r="6" spans="2:55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</row>
    <row r="7" spans="2:55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</row>
    <row r="8" spans="2:55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</row>
    <row r="9" spans="2:55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</row>
    <row r="10" spans="2:55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</row>
    <row r="11" spans="2:55" ht="18.75" customHeight="1" thickTop="1" thickBot="1">
      <c r="C11" s="160" t="str">
        <f>IF(MasterSheet!$A$1=1,MasterSheet!B67,MasterSheet!B66)</f>
        <v>BDP (u mil. €)</v>
      </c>
      <c r="D11" s="321">
        <f>+'Cental Budget'!D11:G11</f>
        <v>4430900000</v>
      </c>
      <c r="E11" s="322"/>
      <c r="F11" s="322"/>
      <c r="G11" s="323"/>
      <c r="H11" s="310"/>
      <c r="I11" s="311"/>
      <c r="J11" s="319">
        <f>+'Cental Budget'!J11:K11</f>
        <v>4236600000</v>
      </c>
      <c r="K11" s="320"/>
      <c r="L11" s="310"/>
      <c r="M11" s="314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</row>
    <row r="12" spans="2:55" ht="19.5" customHeight="1" thickTop="1">
      <c r="C12" s="167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</row>
    <row r="13" spans="2:55" ht="27" customHeight="1" thickBot="1">
      <c r="B13" s="85"/>
      <c r="C13" s="168"/>
      <c r="D13" s="318"/>
      <c r="E13" s="318"/>
      <c r="F13" s="86"/>
      <c r="G13" s="86"/>
      <c r="H13" s="86"/>
      <c r="I13" s="86"/>
      <c r="J13" s="328"/>
      <c r="K13" s="328"/>
      <c r="L13" s="86"/>
      <c r="M13" s="86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</row>
    <row r="14" spans="2:55" ht="15.75" customHeight="1" thickTop="1">
      <c r="B14" s="87"/>
      <c r="C14" s="324" t="s">
        <v>234</v>
      </c>
      <c r="D14" s="326" t="s">
        <v>466</v>
      </c>
      <c r="E14" s="327"/>
      <c r="F14" s="326" t="s">
        <v>467</v>
      </c>
      <c r="G14" s="327"/>
      <c r="H14" s="326" t="str">
        <f>+'Cental Budget'!H14:I14</f>
        <v>Odstupanje</v>
      </c>
      <c r="I14" s="327"/>
      <c r="J14" s="326" t="s">
        <v>464</v>
      </c>
      <c r="K14" s="327"/>
      <c r="L14" s="326" t="str">
        <f>+H14</f>
        <v>Odstupanje</v>
      </c>
      <c r="M14" s="327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</row>
    <row r="15" spans="2:55" ht="15" customHeight="1" thickBot="1">
      <c r="C15" s="325" t="str">
        <f>IF(MasterSheet!$A$1=1,MasterSheet!B71,MasterSheet!B70)</f>
        <v>Budžet Crne Gore</v>
      </c>
      <c r="D15" s="161" t="str">
        <f>IF(MasterSheet!$A$1=1,MasterSheet!C71,MasterSheet!C70)</f>
        <v>mil. €</v>
      </c>
      <c r="E15" s="162" t="str">
        <f>IF(MasterSheet!$A$1=1,MasterSheet!D71,MasterSheet!D70)</f>
        <v>% BDP</v>
      </c>
      <c r="F15" s="163" t="str">
        <f>IF(MasterSheet!$A$1=1,MasterSheet!E71,MasterSheet!E70)</f>
        <v>mil. €</v>
      </c>
      <c r="G15" s="164" t="str">
        <f>IF(MasterSheet!$A$1=1,MasterSheet!F71,MasterSheet!F70)</f>
        <v>% BDP</v>
      </c>
      <c r="H15" s="165" t="str">
        <f>IF(MasterSheet!$A$1=1,MasterSheet!G71,MasterSheet!G70)</f>
        <v>mil. €</v>
      </c>
      <c r="I15" s="164" t="s">
        <v>439</v>
      </c>
      <c r="J15" s="161" t="str">
        <f>IF(MasterSheet!$A$1=1,MasterSheet!I71,MasterSheet!I70)</f>
        <v>mil. €</v>
      </c>
      <c r="K15" s="163" t="str">
        <f>IF(MasterSheet!$A$1=1,MasterSheet!J71,MasterSheet!J70)</f>
        <v>% BDP</v>
      </c>
      <c r="L15" s="161" t="str">
        <f>IF(MasterSheet!$A$1=1,MasterSheet!K71,MasterSheet!K70)</f>
        <v>mil. €</v>
      </c>
      <c r="M15" s="162" t="s">
        <v>439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</row>
    <row r="16" spans="2:55" ht="15" customHeight="1" thickTop="1" thickBot="1">
      <c r="C16" s="171" t="str">
        <f>IF(MasterSheet!$A$1=1,MasterSheet!C72,MasterSheet!B72)</f>
        <v>Izvorni prihodi</v>
      </c>
      <c r="D16" s="169">
        <f>D17+D26+D31+D32+D33+D34+D35</f>
        <v>858635169.85200012</v>
      </c>
      <c r="E16" s="265">
        <f t="shared" ref="E16:E75" si="0">D16/D$11*100</f>
        <v>19.378346833645537</v>
      </c>
      <c r="F16" s="169">
        <f>F17+F26+F31+F32+F33+F34+F35</f>
        <v>850026368.30255544</v>
      </c>
      <c r="G16" s="265">
        <f>F16/D$11*100</f>
        <v>19.184056699599527</v>
      </c>
      <c r="H16" s="169">
        <f>+D16-F16</f>
        <v>8608801.5494446754</v>
      </c>
      <c r="I16" s="265">
        <f>+D16/F16*100-100</f>
        <v>1.0127687646485555</v>
      </c>
      <c r="J16" s="169">
        <f>J17+J26+J31+J32+J33+J34+J35</f>
        <v>760290015.97000003</v>
      </c>
      <c r="K16" s="265">
        <f t="shared" ref="K16:K75" si="1">J16/J$11*100</f>
        <v>17.945758768115944</v>
      </c>
      <c r="L16" s="169">
        <f>+D16-J16</f>
        <v>98345153.882000089</v>
      </c>
      <c r="M16" s="265">
        <f>+D16/J16*100-100</f>
        <v>12.935215748759845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</row>
    <row r="17" spans="2:60" ht="15" customHeight="1" thickTop="1">
      <c r="B17" s="80">
        <v>711</v>
      </c>
      <c r="C17" s="93" t="str">
        <f>IF(MasterSheet!$A$1=1,MasterSheet!C73,MasterSheet!B73)</f>
        <v>Porezi</v>
      </c>
      <c r="D17" s="149">
        <f>SUM(D18:D25)</f>
        <v>549724900.83000004</v>
      </c>
      <c r="E17" s="266">
        <f t="shared" si="0"/>
        <v>12.406619441422736</v>
      </c>
      <c r="F17" s="149">
        <f>SUM(F18:F25)</f>
        <v>549218169.60746324</v>
      </c>
      <c r="G17" s="266">
        <f t="shared" ref="G17:G75" si="2">F17/D$11*100</f>
        <v>12.395183136777252</v>
      </c>
      <c r="H17" s="200">
        <f t="shared" ref="H17:H75" si="3">+D17-F17</f>
        <v>506731.22253680229</v>
      </c>
      <c r="I17" s="272">
        <f t="shared" ref="I17:I75" si="4">+D17/F17*100-100</f>
        <v>9.2264103880438597E-2</v>
      </c>
      <c r="J17" s="149">
        <f>SUM(J18:J25)</f>
        <v>487123944.62999994</v>
      </c>
      <c r="K17" s="266">
        <f t="shared" si="1"/>
        <v>11.497992367228436</v>
      </c>
      <c r="L17" s="200">
        <f t="shared" ref="L17:L75" si="5">+D17-J17</f>
        <v>62600956.200000107</v>
      </c>
      <c r="M17" s="274">
        <f t="shared" ref="M17:M75" si="6">+D17/J17*100-100</f>
        <v>12.851135094077407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</row>
    <row r="18" spans="2:60" ht="15" customHeight="1">
      <c r="B18" s="80">
        <v>7111</v>
      </c>
      <c r="C18" s="97" t="str">
        <f>IF(MasterSheet!$A$1=1,MasterSheet!C74,MasterSheet!B74)</f>
        <v>Porez na dohodak fizičkih lica</v>
      </c>
      <c r="D18" s="151">
        <f>'Cental Budget'!D18+'Local Government'!D18</f>
        <v>70877455.950000003</v>
      </c>
      <c r="E18" s="267">
        <f t="shared" si="0"/>
        <v>1.5996175934911643</v>
      </c>
      <c r="F18" s="151">
        <f>+IF(ISNUMBER(VLOOKUP($B18,'Cental Budget'!$B$16:$K$77,'Public Expenditure'!F$1,FALSE)),VLOOKUP($B18,'Cental Budget'!$B$16:$K$77,'Public Expenditure'!F$1,FALSE),0)+IF(ISNUMBER(VLOOKUP('Public Expenditure'!$B18,'Local Government'!$B$16:$M$60,'Public Expenditure'!F$1,FALSE)),VLOOKUP('Public Expenditure'!$B18,'Local Government'!$B$16:$M$60,'Public Expenditure'!F$1,FALSE),0)</f>
        <v>66567810.681254379</v>
      </c>
      <c r="G18" s="267">
        <f t="shared" si="2"/>
        <v>1.5023541646449792</v>
      </c>
      <c r="H18" s="201">
        <f t="shared" si="3"/>
        <v>4309645.2687456235</v>
      </c>
      <c r="I18" s="273">
        <f t="shared" si="4"/>
        <v>6.4740679085593342</v>
      </c>
      <c r="J18" s="151">
        <f>+IF(ISNUMBER(VLOOKUP($B18,'Cental Budget'!$B$16:$K$77,'Public Expenditure'!J$1,FALSE)),VLOOKUP($B18,'Cental Budget'!$B$16:$K$77,'Public Expenditure'!J$1,FALSE),0)+IF(ISNUMBER(VLOOKUP('Public Expenditure'!$B18,'Local Government'!$B$16:$M$60,'Public Expenditure'!J$1,FALSE)),VLOOKUP('Public Expenditure'!$B18,'Local Government'!$B$16:$M$60,'Public Expenditure'!J$1,FALSE),0)</f>
        <v>63823504.350000001</v>
      </c>
      <c r="K18" s="267">
        <f t="shared" si="1"/>
        <v>1.5064793549072368</v>
      </c>
      <c r="L18" s="201">
        <f t="shared" si="5"/>
        <v>7053951.6000000015</v>
      </c>
      <c r="M18" s="273">
        <f t="shared" si="6"/>
        <v>11.052278736242727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</row>
    <row r="19" spans="2:60" ht="15" customHeight="1">
      <c r="B19" s="80">
        <v>7112</v>
      </c>
      <c r="C19" s="97" t="str">
        <f>IF(MasterSheet!$A$1=1,MasterSheet!C75,MasterSheet!B75)</f>
        <v>Porez na dobit pravnih lica</v>
      </c>
      <c r="D19" s="151">
        <f>'Cental Budget'!D19</f>
        <v>49608413.489999995</v>
      </c>
      <c r="E19" s="267">
        <f t="shared" si="0"/>
        <v>1.119601288451556</v>
      </c>
      <c r="F19" s="151">
        <f>+IF(ISNUMBER(VLOOKUP($B19,'Cental Budget'!$B$16:$K$77,'Public Expenditure'!F$1,FALSE)),VLOOKUP($B19,'Cental Budget'!$B$16:$K$77,'Public Expenditure'!F$1,FALSE),0)+IF(ISNUMBER(VLOOKUP('Public Expenditure'!$B19,'Local Government'!$B$16:$M$60,'Public Expenditure'!F$1,FALSE)),VLOOKUP('Public Expenditure'!$B19,'Local Government'!$B$16:$M$60,'Public Expenditure'!F$1,FALSE),0)</f>
        <v>41311083.893246874</v>
      </c>
      <c r="G19" s="267">
        <f t="shared" si="2"/>
        <v>0.9323406958687146</v>
      </c>
      <c r="H19" s="201">
        <f t="shared" si="3"/>
        <v>8297329.5967531204</v>
      </c>
      <c r="I19" s="273">
        <f t="shared" si="4"/>
        <v>20.084996119187963</v>
      </c>
      <c r="J19" s="151">
        <f>+IF(ISNUMBER(VLOOKUP($B19,'Cental Budget'!$B$16:$K$77,'Public Expenditure'!J$1,FALSE)),VLOOKUP($B19,'Cental Budget'!$B$16:$K$77,'Public Expenditure'!J$1,FALSE),0)+IF(ISNUMBER(VLOOKUP('Public Expenditure'!$B19,'Local Government'!$B$16:$M$60,'Public Expenditure'!J$1,FALSE)),VLOOKUP('Public Expenditure'!$B19,'Local Government'!$B$16:$M$60,'Public Expenditure'!J$1,FALSE),0)</f>
        <v>39170376.32</v>
      </c>
      <c r="K19" s="267">
        <f t="shared" si="1"/>
        <v>0.92457103148751352</v>
      </c>
      <c r="L19" s="201">
        <f t="shared" si="5"/>
        <v>10438037.169999994</v>
      </c>
      <c r="M19" s="273">
        <f t="shared" si="6"/>
        <v>26.647783735155087</v>
      </c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E19" s="81"/>
    </row>
    <row r="20" spans="2:60" ht="15" customHeight="1">
      <c r="B20" s="80">
        <v>7113</v>
      </c>
      <c r="C20" s="97" t="str">
        <f>IF(MasterSheet!$A$1=1,MasterSheet!C76,MasterSheet!B76)</f>
        <v>Porez na promet nepokretnosti</v>
      </c>
      <c r="D20" s="151">
        <f>'Cental Budget'!D20+'Local Government'!D19</f>
        <v>9527242.1300000008</v>
      </c>
      <c r="E20" s="267">
        <f t="shared" si="0"/>
        <v>0.2150182159380713</v>
      </c>
      <c r="F20" s="151">
        <f>+IF(ISNUMBER(VLOOKUP($B20,'Cental Budget'!$B$16:$K$77,'Public Expenditure'!F$1,FALSE)),VLOOKUP($B20,'Cental Budget'!$B$16:$K$77,'Public Expenditure'!F$1,FALSE),0)+IF(ISNUMBER(VLOOKUP('Public Expenditure'!$B20,'Local Government'!$B$16:$M$60,'Public Expenditure'!F$1,FALSE)),VLOOKUP('Public Expenditure'!$B20,'Local Government'!$B$16:$M$60,'Public Expenditure'!F$1,FALSE),0)</f>
        <v>8259596.0873907115</v>
      </c>
      <c r="G20" s="267">
        <f t="shared" si="2"/>
        <v>0.18640899337359704</v>
      </c>
      <c r="H20" s="201">
        <f t="shared" si="3"/>
        <v>1267646.0426092893</v>
      </c>
      <c r="I20" s="273">
        <f t="shared" si="4"/>
        <v>15.347554882792707</v>
      </c>
      <c r="J20" s="151">
        <f>+IF(ISNUMBER(VLOOKUP($B20,'Cental Budget'!$B$16:$K$77,'Public Expenditure'!J$1,FALSE)),VLOOKUP($B20,'Cental Budget'!$B$16:$K$77,'Public Expenditure'!J$1,FALSE),0)+IF(ISNUMBER(VLOOKUP('Public Expenditure'!$B20,'Local Government'!$B$16:$M$60,'Public Expenditure'!J$1,FALSE)),VLOOKUP('Public Expenditure'!$B20,'Local Government'!$B$16:$M$60,'Public Expenditure'!J$1,FALSE),0)</f>
        <v>6071818.5599999996</v>
      </c>
      <c r="K20" s="267">
        <f t="shared" si="1"/>
        <v>0.14331819289052541</v>
      </c>
      <c r="L20" s="201">
        <f t="shared" si="5"/>
        <v>3455423.5700000012</v>
      </c>
      <c r="M20" s="273">
        <f t="shared" si="6"/>
        <v>56.909203327709491</v>
      </c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</row>
    <row r="21" spans="2:60" ht="15" customHeight="1">
      <c r="B21" s="80">
        <v>7114</v>
      </c>
      <c r="C21" s="97" t="str">
        <f>IF(MasterSheet!$A$1=1,MasterSheet!C77,MasterSheet!B77)</f>
        <v>Porez na dodatu vrijednost</v>
      </c>
      <c r="D21" s="151">
        <f>'Cental Budget'!D21</f>
        <v>276027947.92000002</v>
      </c>
      <c r="E21" s="267">
        <f t="shared" si="0"/>
        <v>6.2296135755715545</v>
      </c>
      <c r="F21" s="151">
        <f>+IF(ISNUMBER(VLOOKUP($B21,'Cental Budget'!$B$16:$K$77,'Public Expenditure'!F$1,FALSE)),VLOOKUP($B21,'Cental Budget'!$B$16:$K$77,'Public Expenditure'!F$1,FALSE),0)+IF(ISNUMBER(VLOOKUP('Public Expenditure'!$B21,'Local Government'!$B$16:$M$60,'Public Expenditure'!F$1,FALSE)),VLOOKUP('Public Expenditure'!$B21,'Local Government'!$B$16:$M$60,'Public Expenditure'!F$1,FALSE),0)</f>
        <v>282475762.13646638</v>
      </c>
      <c r="G21" s="267">
        <f t="shared" si="2"/>
        <v>6.3751328654780375</v>
      </c>
      <c r="H21" s="201">
        <f t="shared" si="3"/>
        <v>-6447814.2164663672</v>
      </c>
      <c r="I21" s="273">
        <f t="shared" si="4"/>
        <v>-2.2826079546433391</v>
      </c>
      <c r="J21" s="151">
        <f>+IF(ISNUMBER(VLOOKUP($B21,'Cental Budget'!$B$16:$K$77,'Public Expenditure'!J$1,FALSE)),VLOOKUP($B21,'Cental Budget'!$B$16:$K$77,'Public Expenditure'!J$1,FALSE),0)+IF(ISNUMBER(VLOOKUP('Public Expenditure'!$B21,'Local Government'!$B$16:$M$60,'Public Expenditure'!J$1,FALSE)),VLOOKUP('Public Expenditure'!$B21,'Local Government'!$B$16:$M$60,'Public Expenditure'!J$1,FALSE),0)</f>
        <v>241435618.02999997</v>
      </c>
      <c r="K21" s="267">
        <f t="shared" si="1"/>
        <v>5.6988060716140296</v>
      </c>
      <c r="L21" s="201">
        <f t="shared" si="5"/>
        <v>34592329.890000045</v>
      </c>
      <c r="M21" s="273">
        <f t="shared" si="6"/>
        <v>14.327765792080328</v>
      </c>
    </row>
    <row r="22" spans="2:60" ht="15" customHeight="1">
      <c r="B22" s="80">
        <v>7115</v>
      </c>
      <c r="C22" s="97" t="str">
        <f>IF(MasterSheet!$A$1=1,MasterSheet!C78,MasterSheet!B78)</f>
        <v>Akcize</v>
      </c>
      <c r="D22" s="151">
        <f>'Cental Budget'!D22</f>
        <v>94041782.299999997</v>
      </c>
      <c r="E22" s="267">
        <f t="shared" si="0"/>
        <v>2.1224081405583513</v>
      </c>
      <c r="F22" s="151">
        <f>+IF(ISNUMBER(VLOOKUP($B22,'Cental Budget'!$B$16:$K$77,'Public Expenditure'!F$1,FALSE)),VLOOKUP($B22,'Cental Budget'!$B$16:$K$77,'Public Expenditure'!F$1,FALSE),0)+IF(ISNUMBER(VLOOKUP('Public Expenditure'!$B22,'Local Government'!$B$16:$M$60,'Public Expenditure'!F$1,FALSE)),VLOOKUP('Public Expenditure'!$B22,'Local Government'!$B$16:$M$60,'Public Expenditure'!F$1,FALSE),0)</f>
        <v>102002823.65809894</v>
      </c>
      <c r="G22" s="267">
        <f t="shared" si="2"/>
        <v>2.3020791184206129</v>
      </c>
      <c r="H22" s="201">
        <f t="shared" si="3"/>
        <v>-7961041.3580989391</v>
      </c>
      <c r="I22" s="273">
        <f t="shared" si="4"/>
        <v>-7.8047264503023825</v>
      </c>
      <c r="J22" s="151">
        <f>+IF(ISNUMBER(VLOOKUP($B22,'Cental Budget'!$B$16:$K$77,'Public Expenditure'!J$1,FALSE)),VLOOKUP($B22,'Cental Budget'!$B$16:$K$77,'Public Expenditure'!J$1,FALSE),0)+IF(ISNUMBER(VLOOKUP('Public Expenditure'!$B22,'Local Government'!$B$16:$M$60,'Public Expenditure'!J$1,FALSE)),VLOOKUP('Public Expenditure'!$B22,'Local Government'!$B$16:$M$60,'Public Expenditure'!J$1,FALSE),0)</f>
        <v>93215029.079999998</v>
      </c>
      <c r="K22" s="267">
        <f t="shared" si="1"/>
        <v>2.2002320039654437</v>
      </c>
      <c r="L22" s="201">
        <f t="shared" si="5"/>
        <v>826753.21999999881</v>
      </c>
      <c r="M22" s="273">
        <f t="shared" si="6"/>
        <v>0.88693124720310834</v>
      </c>
    </row>
    <row r="23" spans="2:60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1">
        <f>'Cental Budget'!D23</f>
        <v>12246546.5</v>
      </c>
      <c r="E23" s="267">
        <f t="shared" si="0"/>
        <v>0.27638959353630188</v>
      </c>
      <c r="F23" s="151">
        <f>+IF(ISNUMBER(VLOOKUP($B23,'Cental Budget'!$B$16:$K$77,'Public Expenditure'!F$1,FALSE)),VLOOKUP($B23,'Cental Budget'!$B$16:$K$77,'Public Expenditure'!F$1,FALSE),0)+IF(ISNUMBER(VLOOKUP('Public Expenditure'!$B23,'Local Government'!$B$16:$M$60,'Public Expenditure'!F$1,FALSE)),VLOOKUP('Public Expenditure'!$B23,'Local Government'!$B$16:$M$60,'Public Expenditure'!F$1,FALSE),0)</f>
        <v>12200345.051630102</v>
      </c>
      <c r="G23" s="267">
        <f t="shared" si="2"/>
        <v>0.27534688328849899</v>
      </c>
      <c r="H23" s="201">
        <f t="shared" si="3"/>
        <v>46201.448369897902</v>
      </c>
      <c r="I23" s="273">
        <f t="shared" si="4"/>
        <v>0.37868968602427344</v>
      </c>
      <c r="J23" s="151">
        <f>+IF(ISNUMBER(VLOOKUP($B23,'Cental Budget'!$B$16:$K$77,'Public Expenditure'!J$1,FALSE)),VLOOKUP($B23,'Cental Budget'!$B$16:$K$77,'Public Expenditure'!J$1,FALSE),0)+IF(ISNUMBER(VLOOKUP('Public Expenditure'!$B23,'Local Government'!$B$16:$M$60,'Public Expenditure'!J$1,FALSE)),VLOOKUP('Public Expenditure'!$B23,'Local Government'!$B$16:$M$60,'Public Expenditure'!J$1,FALSE),0)</f>
        <v>11547175.710000001</v>
      </c>
      <c r="K23" s="267">
        <f t="shared" si="1"/>
        <v>0.27255761011188218</v>
      </c>
      <c r="L23" s="201">
        <f t="shared" si="5"/>
        <v>699370.78999999911</v>
      </c>
      <c r="M23" s="273">
        <f t="shared" si="6"/>
        <v>6.0566393684850226</v>
      </c>
      <c r="BF23" s="138"/>
      <c r="BG23" s="138"/>
      <c r="BH23" s="81"/>
    </row>
    <row r="24" spans="2:60" ht="15" customHeight="1">
      <c r="B24" s="80">
        <v>7117</v>
      </c>
      <c r="C24" s="97" t="s">
        <v>11</v>
      </c>
      <c r="D24" s="151">
        <f>'Local Government'!D20</f>
        <v>33006480.750000007</v>
      </c>
      <c r="E24" s="267">
        <f t="shared" si="0"/>
        <v>0.74491594822722262</v>
      </c>
      <c r="F24" s="151">
        <f>+IF(ISNUMBER(VLOOKUP($B24,'Cental Budget'!$B$16:$K$77,'Public Expenditure'!F$1,FALSE)),VLOOKUP($B24,'Cental Budget'!$B$16:$K$77,'Public Expenditure'!F$1,FALSE),0)+IF(ISNUMBER(VLOOKUP('Public Expenditure'!$B24,'Local Government'!$B$16:$M$60,'Public Expenditure'!F$1,FALSE)),VLOOKUP('Public Expenditure'!$B24,'Local Government'!$B$16:$M$60,'Public Expenditure'!F$1,FALSE),0)</f>
        <v>31545397.400328003</v>
      </c>
      <c r="G24" s="267">
        <f t="shared" si="2"/>
        <v>0.71194108195463679</v>
      </c>
      <c r="H24" s="201">
        <f t="shared" si="3"/>
        <v>1461083.3496720046</v>
      </c>
      <c r="I24" s="273">
        <f t="shared" si="4"/>
        <v>4.6316847149841607</v>
      </c>
      <c r="J24" s="151">
        <f>+IF(ISNUMBER(VLOOKUP($B24,'Cental Budget'!$B$16:$K$77,'Public Expenditure'!J$1,FALSE)),VLOOKUP($B24,'Cental Budget'!$B$16:$K$77,'Public Expenditure'!J$1,FALSE),0)+IF(ISNUMBER(VLOOKUP('Public Expenditure'!$B24,'Local Government'!$B$16:$M$60,'Public Expenditure'!J$1,FALSE)),VLOOKUP('Public Expenditure'!$B24,'Local Government'!$B$16:$M$60,'Public Expenditure'!J$1,FALSE),0)</f>
        <v>27415216.949999996</v>
      </c>
      <c r="K24" s="267">
        <f t="shared" si="1"/>
        <v>0.64710420974366223</v>
      </c>
      <c r="L24" s="201">
        <f t="shared" si="5"/>
        <v>5591263.8000000119</v>
      </c>
      <c r="M24" s="273">
        <f t="shared" si="6"/>
        <v>20.394745772748706</v>
      </c>
      <c r="BF24" s="138"/>
      <c r="BG24" s="138"/>
      <c r="BH24" s="81"/>
    </row>
    <row r="25" spans="2:60" ht="15" customHeight="1">
      <c r="B25" s="80">
        <v>7118</v>
      </c>
      <c r="C25" s="97" t="s">
        <v>458</v>
      </c>
      <c r="D25" s="151">
        <f>'Cental Budget'!D24</f>
        <v>4389031.79</v>
      </c>
      <c r="E25" s="267">
        <f t="shared" si="0"/>
        <v>9.9055085648513841E-2</v>
      </c>
      <c r="F25" s="151">
        <f>+IF(ISNUMBER(VLOOKUP($B25,'Cental Budget'!$B$16:$K$77,'Public Expenditure'!F$1,FALSE)),VLOOKUP($B25,'Cental Budget'!$B$16:$K$77,'Public Expenditure'!F$1,FALSE),0)+IF(ISNUMBER(VLOOKUP('Public Expenditure'!$B25,'Local Government'!$B$16:$M$60,'Public Expenditure'!F$1,FALSE)),VLOOKUP('Public Expenditure'!$B25,'Local Government'!$B$16:$M$60,'Public Expenditure'!F$1,FALSE),0)</f>
        <v>4855350.699047897</v>
      </c>
      <c r="G25" s="267">
        <f t="shared" si="2"/>
        <v>0.10957933374817524</v>
      </c>
      <c r="H25" s="201">
        <f t="shared" si="3"/>
        <v>-466318.90904789697</v>
      </c>
      <c r="I25" s="273">
        <f t="shared" si="4"/>
        <v>-9.6042271290380512</v>
      </c>
      <c r="J25" s="151">
        <f>+IF(ISNUMBER(VLOOKUP($B25,'Cental Budget'!$B$16:$K$77,'Public Expenditure'!J$1,FALSE)),VLOOKUP($B25,'Cental Budget'!$B$16:$K$77,'Public Expenditure'!J$1,FALSE),0)+IF(ISNUMBER(VLOOKUP('Public Expenditure'!$B25,'Local Government'!$B$16:$M$60,'Public Expenditure'!J$1,FALSE)),VLOOKUP('Public Expenditure'!$B25,'Local Government'!$B$16:$M$60,'Public Expenditure'!J$1,FALSE),0)</f>
        <v>4445205.63</v>
      </c>
      <c r="K25" s="267">
        <f t="shared" si="1"/>
        <v>0.10492389250814332</v>
      </c>
      <c r="L25" s="201">
        <f t="shared" si="5"/>
        <v>-56173.839999999851</v>
      </c>
      <c r="M25" s="273">
        <f t="shared" si="6"/>
        <v>-1.2636949710693131</v>
      </c>
      <c r="BF25" s="138"/>
      <c r="BG25" s="138"/>
      <c r="BH25" s="81"/>
    </row>
    <row r="26" spans="2:60" ht="15" customHeight="1">
      <c r="B26" s="80">
        <v>712</v>
      </c>
      <c r="C26" s="93" t="str">
        <f>IF(MasterSheet!$A$1=1,MasterSheet!C81,MasterSheet!B81)</f>
        <v>Doprinosi</v>
      </c>
      <c r="D26" s="149">
        <f>'Cental Budget'!D25</f>
        <v>218059646.81999999</v>
      </c>
      <c r="E26" s="268">
        <f t="shared" si="0"/>
        <v>4.9213398366020451</v>
      </c>
      <c r="F26" s="149">
        <f>SUM(F27:F30)</f>
        <v>214491375.65306631</v>
      </c>
      <c r="G26" s="268">
        <f t="shared" si="2"/>
        <v>4.8408083155355861</v>
      </c>
      <c r="H26" s="200">
        <f t="shared" si="3"/>
        <v>3568271.1669336855</v>
      </c>
      <c r="I26" s="274">
        <f t="shared" si="4"/>
        <v>1.6635965693582335</v>
      </c>
      <c r="J26" s="149">
        <f>SUM(J27:J30)</f>
        <v>202634938.36000001</v>
      </c>
      <c r="K26" s="268">
        <f t="shared" si="1"/>
        <v>4.7829612982108296</v>
      </c>
      <c r="L26" s="200">
        <f t="shared" si="5"/>
        <v>15424708.459999979</v>
      </c>
      <c r="M26" s="274">
        <f t="shared" si="6"/>
        <v>7.6120675855989646</v>
      </c>
      <c r="BF26" s="138"/>
      <c r="BG26" s="138"/>
      <c r="BH26" s="81"/>
    </row>
    <row r="27" spans="2:60" ht="15" hidden="1" customHeight="1">
      <c r="B27" s="80">
        <v>7121</v>
      </c>
      <c r="C27" s="97" t="str">
        <f>IF(MasterSheet!$A$1=1,MasterSheet!C82,MasterSheet!B82)</f>
        <v>Doprinosi za penzijsko i invalidsko osiguranje</v>
      </c>
      <c r="D27" s="151">
        <f>+IF(ISNUMBER(VLOOKUP($B27,'Cental Budget'!$B$16:$K$77,'Public Expenditure'!D$1,FALSE)),VLOOKUP($B27,'Cental Budget'!$B$16:$K$77,'Public Expenditure'!D$1,FALSE),0)+IF(ISNUMBER(VLOOKUP('Public Expenditure'!$B27,'Local Government'!$B$16:$M$60,'Public Expenditure'!D$1,FALSE)),VLOOKUP('Public Expenditure'!$B27,'Local Government'!$B$16:$M$60,'Public Expenditure'!D$1,FALSE),0)</f>
        <v>132038028.10000001</v>
      </c>
      <c r="E27" s="267">
        <f t="shared" si="0"/>
        <v>2.9799369902277193</v>
      </c>
      <c r="F27" s="151">
        <f>+IF(ISNUMBER(VLOOKUP($B27,'Cental Budget'!$B$16:$K$77,'Public Expenditure'!F$1,FALSE)),VLOOKUP($B27,'Cental Budget'!$B$16:$K$77,'Public Expenditure'!F$1,FALSE),0)+IF(ISNUMBER(VLOOKUP('Public Expenditure'!$B27,'Local Government'!$B$16:$M$60,'Public Expenditure'!F$1,FALSE)),VLOOKUP('Public Expenditure'!$B27,'Local Government'!$B$16:$M$60,'Public Expenditure'!F$1,FALSE),0)</f>
        <v>127414625.56294979</v>
      </c>
      <c r="G27" s="267">
        <f t="shared" si="2"/>
        <v>2.8755924431368296</v>
      </c>
      <c r="H27" s="201">
        <f t="shared" si="3"/>
        <v>4623402.5370502174</v>
      </c>
      <c r="I27" s="273">
        <f t="shared" si="4"/>
        <v>3.6286278098945672</v>
      </c>
      <c r="J27" s="151">
        <f>+IF(ISNUMBER(VLOOKUP($B27,'Cental Budget'!$B$16:$K$77,'Public Expenditure'!J$1,FALSE)),VLOOKUP($B27,'Cental Budget'!$B$16:$K$77,'Public Expenditure'!J$1,FALSE),0)+IF(ISNUMBER(VLOOKUP('Public Expenditure'!$B27,'Local Government'!$B$16:$M$60,'Public Expenditure'!J$1,FALSE)),VLOOKUP('Public Expenditure'!$B27,'Local Government'!$B$16:$M$60,'Public Expenditure'!J$1,FALSE),0)</f>
        <v>121869831.09</v>
      </c>
      <c r="K27" s="267">
        <f t="shared" si="1"/>
        <v>2.8765951727800596</v>
      </c>
      <c r="L27" s="201">
        <f t="shared" si="5"/>
        <v>10168197.010000005</v>
      </c>
      <c r="M27" s="273">
        <f t="shared" si="6"/>
        <v>8.3434898687033296</v>
      </c>
      <c r="BF27" s="138"/>
      <c r="BG27" s="138"/>
      <c r="BH27" s="81"/>
    </row>
    <row r="28" spans="2:60" ht="15" hidden="1" customHeight="1">
      <c r="B28" s="80">
        <v>7122</v>
      </c>
      <c r="C28" s="97" t="str">
        <f>IF(MasterSheet!$A$1=1,MasterSheet!C83,MasterSheet!B83)</f>
        <v>Doprinosi za zdravstveno osiguranje</v>
      </c>
      <c r="D28" s="151">
        <f>+IF(ISNUMBER(VLOOKUP($B28,'Cental Budget'!$B$16:$K$77,'Public Expenditure'!D$1,FALSE)),VLOOKUP($B28,'Cental Budget'!$B$16:$K$77,'Public Expenditure'!D$1,FALSE),0)+IF(ISNUMBER(VLOOKUP('Public Expenditure'!$B28,'Local Government'!$B$16:$M$60,'Public Expenditure'!D$1,FALSE)),VLOOKUP('Public Expenditure'!$B28,'Local Government'!$B$16:$M$60,'Public Expenditure'!D$1,FALSE),0)</f>
        <v>75271592.719999999</v>
      </c>
      <c r="E28" s="267">
        <f t="shared" si="0"/>
        <v>1.6987878923017896</v>
      </c>
      <c r="F28" s="151">
        <f>+IF(ISNUMBER(VLOOKUP($B28,'Cental Budget'!$B$16:$K$77,'Public Expenditure'!F$1,FALSE)),VLOOKUP($B28,'Cental Budget'!$B$16:$K$77,'Public Expenditure'!F$1,FALSE),0)+IF(ISNUMBER(VLOOKUP('Public Expenditure'!$B28,'Local Government'!$B$16:$M$60,'Public Expenditure'!F$1,FALSE)),VLOOKUP('Public Expenditure'!$B28,'Local Government'!$B$16:$M$60,'Public Expenditure'!F$1,FALSE),0)</f>
        <v>75527009.219187498</v>
      </c>
      <c r="G28" s="267">
        <f t="shared" si="2"/>
        <v>1.704552330659403</v>
      </c>
      <c r="H28" s="201">
        <f t="shared" si="3"/>
        <v>-255416.49918749928</v>
      </c>
      <c r="I28" s="273">
        <f t="shared" si="4"/>
        <v>-0.33817901943695006</v>
      </c>
      <c r="J28" s="151">
        <f>+IF(ISNUMBER(VLOOKUP($B28,'Cental Budget'!$B$16:$K$77,'Public Expenditure'!J$1,FALSE)),VLOOKUP($B28,'Cental Budget'!$B$16:$K$77,'Public Expenditure'!J$1,FALSE),0)+IF(ISNUMBER(VLOOKUP('Public Expenditure'!$B28,'Local Government'!$B$16:$M$60,'Public Expenditure'!J$1,FALSE)),VLOOKUP('Public Expenditure'!$B28,'Local Government'!$B$16:$M$60,'Public Expenditure'!J$1,FALSE),0)</f>
        <v>70075748.219999999</v>
      </c>
      <c r="K28" s="267">
        <f t="shared" si="1"/>
        <v>1.6540562767313411</v>
      </c>
      <c r="L28" s="201">
        <f t="shared" si="5"/>
        <v>5195844.5</v>
      </c>
      <c r="M28" s="273">
        <f t="shared" si="6"/>
        <v>7.4146115196485027</v>
      </c>
      <c r="BF28" s="138"/>
      <c r="BG28" s="138"/>
      <c r="BH28" s="81"/>
    </row>
    <row r="29" spans="2:60" ht="15" hidden="1" customHeight="1">
      <c r="B29" s="80">
        <v>7123</v>
      </c>
      <c r="C29" s="97" t="str">
        <f>IF(MasterSheet!$A$1=1,MasterSheet!C84,MasterSheet!B84)</f>
        <v>Doprinosi za osiguranje od nezaposlenosti</v>
      </c>
      <c r="D29" s="151">
        <f>+IF(ISNUMBER(VLOOKUP($B29,'Cental Budget'!$B$16:$K$77,'Public Expenditure'!D$1,FALSE)),VLOOKUP($B29,'Cental Budget'!$B$16:$K$77,'Public Expenditure'!D$1,FALSE),0)+IF(ISNUMBER(VLOOKUP('Public Expenditure'!$B29,'Local Government'!$B$16:$M$60,'Public Expenditure'!D$1,FALSE)),VLOOKUP('Public Expenditure'!$B29,'Local Government'!$B$16:$M$60,'Public Expenditure'!D$1,FALSE),0)</f>
        <v>5599513.4800000004</v>
      </c>
      <c r="E29" s="267">
        <f t="shared" si="0"/>
        <v>0.12637417860931188</v>
      </c>
      <c r="F29" s="151">
        <f>+IF(ISNUMBER(VLOOKUP($B29,'Cental Budget'!$B$16:$K$77,'Public Expenditure'!F$1,FALSE)),VLOOKUP($B29,'Cental Budget'!$B$16:$K$77,'Public Expenditure'!F$1,FALSE),0)+IF(ISNUMBER(VLOOKUP('Public Expenditure'!$B29,'Local Government'!$B$16:$M$60,'Public Expenditure'!F$1,FALSE)),VLOOKUP('Public Expenditure'!$B29,'Local Government'!$B$16:$M$60,'Public Expenditure'!F$1,FALSE),0)</f>
        <v>6138139.98305027</v>
      </c>
      <c r="G29" s="267">
        <f t="shared" si="2"/>
        <v>0.13853032077118124</v>
      </c>
      <c r="H29" s="201">
        <f t="shared" si="3"/>
        <v>-538626.50305026956</v>
      </c>
      <c r="I29" s="273">
        <f t="shared" si="4"/>
        <v>-8.775076888725593</v>
      </c>
      <c r="J29" s="151">
        <f>+IF(ISNUMBER(VLOOKUP($B29,'Cental Budget'!$B$16:$K$77,'Public Expenditure'!J$1,FALSE)),VLOOKUP($B29,'Cental Budget'!$B$16:$K$77,'Public Expenditure'!J$1,FALSE),0)+IF(ISNUMBER(VLOOKUP('Public Expenditure'!$B29,'Local Government'!$B$16:$M$60,'Public Expenditure'!J$1,FALSE)),VLOOKUP('Public Expenditure'!$B29,'Local Government'!$B$16:$M$60,'Public Expenditure'!J$1,FALSE),0)</f>
        <v>5580341.0800000001</v>
      </c>
      <c r="K29" s="267">
        <f t="shared" si="1"/>
        <v>0.13171744040032102</v>
      </c>
      <c r="L29" s="201">
        <f t="shared" si="5"/>
        <v>19172.400000000373</v>
      </c>
      <c r="M29" s="273">
        <f t="shared" si="6"/>
        <v>0.34357039695503033</v>
      </c>
      <c r="BF29" s="138"/>
      <c r="BG29" s="138"/>
      <c r="BH29" s="81"/>
    </row>
    <row r="30" spans="2:60" ht="15" hidden="1" customHeight="1">
      <c r="B30" s="80">
        <v>7124</v>
      </c>
      <c r="C30" s="97" t="str">
        <f>IF(MasterSheet!$A$1=1,MasterSheet!C85,MasterSheet!B85)</f>
        <v>Ostali doprinosi</v>
      </c>
      <c r="D30" s="151">
        <f>+IF(ISNUMBER(VLOOKUP($B30,'Cental Budget'!$B$16:$K$77,'Public Expenditure'!D$1,FALSE)),VLOOKUP($B30,'Cental Budget'!$B$16:$K$77,'Public Expenditure'!D$1,FALSE),0)+IF(ISNUMBER(VLOOKUP('Public Expenditure'!$B30,'Local Government'!$B$16:$M$60,'Public Expenditure'!D$1,FALSE)),VLOOKUP('Public Expenditure'!$B30,'Local Government'!$B$16:$M$60,'Public Expenditure'!D$1,FALSE),0)</f>
        <v>5150512.5199999996</v>
      </c>
      <c r="E30" s="267">
        <f t="shared" si="0"/>
        <v>0.11624077546322417</v>
      </c>
      <c r="F30" s="151">
        <f>+IF(ISNUMBER(VLOOKUP($B30,'Cental Budget'!$B$16:$K$77,'Public Expenditure'!F$1,FALSE)),VLOOKUP($B30,'Cental Budget'!$B$16:$K$77,'Public Expenditure'!F$1,FALSE),0)+IF(ISNUMBER(VLOOKUP('Public Expenditure'!$B30,'Local Government'!$B$16:$M$60,'Public Expenditure'!F$1,FALSE)),VLOOKUP('Public Expenditure'!$B30,'Local Government'!$B$16:$M$60,'Public Expenditure'!F$1,FALSE),0)</f>
        <v>5411600.8878787849</v>
      </c>
      <c r="G30" s="267">
        <f t="shared" si="2"/>
        <v>0.12213322096817317</v>
      </c>
      <c r="H30" s="201">
        <f t="shared" si="3"/>
        <v>-261088.36787878536</v>
      </c>
      <c r="I30" s="273">
        <f t="shared" si="4"/>
        <v>-4.824605015931354</v>
      </c>
      <c r="J30" s="151">
        <f>+IF(ISNUMBER(VLOOKUP($B30,'Cental Budget'!$B$16:$K$77,'Public Expenditure'!J$1,FALSE)),VLOOKUP($B30,'Cental Budget'!$B$16:$K$77,'Public Expenditure'!J$1,FALSE),0)+IF(ISNUMBER(VLOOKUP('Public Expenditure'!$B30,'Local Government'!$B$16:$M$60,'Public Expenditure'!J$1,FALSE)),VLOOKUP('Public Expenditure'!$B30,'Local Government'!$B$16:$M$60,'Public Expenditure'!J$1,FALSE),0)</f>
        <v>5109017.97</v>
      </c>
      <c r="K30" s="267">
        <f t="shared" si="1"/>
        <v>0.12059240829910776</v>
      </c>
      <c r="L30" s="201">
        <f t="shared" si="5"/>
        <v>41494.549999999814</v>
      </c>
      <c r="M30" s="273">
        <f t="shared" si="6"/>
        <v>0.81218250246240586</v>
      </c>
      <c r="BF30" s="81"/>
      <c r="BG30" s="81"/>
      <c r="BH30" s="81"/>
    </row>
    <row r="31" spans="2:60" ht="15" customHeight="1">
      <c r="B31" s="80">
        <v>713</v>
      </c>
      <c r="C31" s="93" t="str">
        <f>IF(MasterSheet!$A$1=1,MasterSheet!C86,MasterSheet!B86)</f>
        <v>Takse</v>
      </c>
      <c r="D31" s="149">
        <f>'Cental Budget'!D30+'Local Government'!D21</f>
        <v>9773741.6419999991</v>
      </c>
      <c r="E31" s="268">
        <f t="shared" si="0"/>
        <v>0.22058140878828225</v>
      </c>
      <c r="F31" s="149">
        <f>+IF(ISNUMBER(VLOOKUP($B31,'Cental Budget'!$B$16:$K$77,'Public Expenditure'!F$1,FALSE)),VLOOKUP($B31,'Cental Budget'!$B$16:$K$77,'Public Expenditure'!F$1,FALSE),0)+IF(ISNUMBER(VLOOKUP('Public Expenditure'!$B31,'Local Government'!$B$16:$M$60,'Public Expenditure'!F$1,FALSE)),VLOOKUP('Public Expenditure'!$B31,'Local Government'!$B$16:$M$60,'Public Expenditure'!F$1,FALSE),0)</f>
        <v>11909443.777541637</v>
      </c>
      <c r="G31" s="268">
        <f t="shared" si="2"/>
        <v>0.26878159691127396</v>
      </c>
      <c r="H31" s="200">
        <f t="shared" si="3"/>
        <v>-2135702.1355416384</v>
      </c>
      <c r="I31" s="274">
        <f t="shared" si="4"/>
        <v>-17.932845357304274</v>
      </c>
      <c r="J31" s="149">
        <f>+IF(ISNUMBER(VLOOKUP($B31,'Cental Budget'!$B$16:$K$77,'Public Expenditure'!J$1,FALSE)),VLOOKUP($B31,'Cental Budget'!$B$16:$K$77,'Public Expenditure'!J$1,FALSE),0)+IF(ISNUMBER(VLOOKUP('Public Expenditure'!$B31,'Local Government'!$B$16:$M$60,'Public Expenditure'!J$1,FALSE)),VLOOKUP('Public Expenditure'!$B31,'Local Government'!$B$16:$M$60,'Public Expenditure'!J$1,FALSE),0)</f>
        <v>8713537.9800000004</v>
      </c>
      <c r="K31" s="268">
        <f t="shared" si="1"/>
        <v>0.20567289760657134</v>
      </c>
      <c r="L31" s="200">
        <f t="shared" si="5"/>
        <v>1060203.6619999986</v>
      </c>
      <c r="M31" s="274">
        <f t="shared" si="6"/>
        <v>12.167315554639941</v>
      </c>
      <c r="BF31" s="81"/>
      <c r="BG31" s="81"/>
      <c r="BH31" s="81"/>
    </row>
    <row r="32" spans="2:60" ht="15" customHeight="1">
      <c r="B32" s="80">
        <v>714</v>
      </c>
      <c r="C32" s="93" t="str">
        <f>IF(MasterSheet!$A$1=1,MasterSheet!C91,MasterSheet!B91)</f>
        <v>Naknade</v>
      </c>
      <c r="D32" s="149">
        <f>'Cental Budget'!D31+'Local Government'!D22</f>
        <v>33732412.109999999</v>
      </c>
      <c r="E32" s="268">
        <f t="shared" si="0"/>
        <v>0.76129933218984858</v>
      </c>
      <c r="F32" s="149">
        <f>+IF(ISNUMBER(VLOOKUP($B32,'Cental Budget'!$B$16:$K$77,'Public Expenditure'!F$1,FALSE)),VLOOKUP($B32,'Cental Budget'!$B$16:$K$77,'Public Expenditure'!F$1,FALSE),0)+IF(ISNUMBER(VLOOKUP('Public Expenditure'!$B32,'Local Government'!$B$16:$M$60,'Public Expenditure'!F$1,FALSE)),VLOOKUP('Public Expenditure'!$B32,'Local Government'!$B$16:$M$60,'Public Expenditure'!F$1,FALSE),0)</f>
        <v>37093461.645125829</v>
      </c>
      <c r="G32" s="268">
        <f t="shared" si="2"/>
        <v>0.83715411417828944</v>
      </c>
      <c r="H32" s="200">
        <f t="shared" si="3"/>
        <v>-3361049.5351258293</v>
      </c>
      <c r="I32" s="274">
        <f t="shared" si="4"/>
        <v>-9.0610295886673526</v>
      </c>
      <c r="J32" s="149">
        <f>+IF(ISNUMBER(VLOOKUP($B32,'Cental Budget'!$B$16:$K$77,'Public Expenditure'!J$1,FALSE)),VLOOKUP($B32,'Cental Budget'!$B$16:$K$77,'Public Expenditure'!J$1,FALSE),0)+IF(ISNUMBER(VLOOKUP('Public Expenditure'!$B32,'Local Government'!$B$16:$M$60,'Public Expenditure'!J$1,FALSE)),VLOOKUP('Public Expenditure'!$B32,'Local Government'!$B$16:$M$60,'Public Expenditure'!J$1,FALSE),0)</f>
        <v>29776049.590000004</v>
      </c>
      <c r="K32" s="268">
        <f t="shared" si="1"/>
        <v>0.70282890973894174</v>
      </c>
      <c r="L32" s="200">
        <f t="shared" si="5"/>
        <v>3956362.5199999958</v>
      </c>
      <c r="M32" s="274">
        <f t="shared" si="6"/>
        <v>13.287063174856812</v>
      </c>
      <c r="BF32" s="138"/>
      <c r="BG32" s="138"/>
      <c r="BH32" s="138"/>
    </row>
    <row r="33" spans="1:63" ht="15" customHeight="1">
      <c r="B33" s="80">
        <v>715</v>
      </c>
      <c r="C33" s="93" t="str">
        <f>IF(MasterSheet!$A$1=1,MasterSheet!C98,MasterSheet!B98)</f>
        <v>Ostali prihodi</v>
      </c>
      <c r="D33" s="149">
        <f>'Cental Budget'!D32+'Local Government'!D23</f>
        <v>26739012.310000002</v>
      </c>
      <c r="E33" s="268">
        <f t="shared" si="0"/>
        <v>0.60346684217653301</v>
      </c>
      <c r="F33" s="149">
        <f>+IF(ISNUMBER(VLOOKUP($B33,'Cental Budget'!$B$16:$K$77,'Public Expenditure'!F$1,FALSE)),VLOOKUP($B33,'Cental Budget'!$B$16:$K$77,'Public Expenditure'!F$1,FALSE),0)+IF(ISNUMBER(VLOOKUP('Public Expenditure'!$B33,'Local Government'!$B$16:$M$60,'Public Expenditure'!F$1,FALSE)),VLOOKUP('Public Expenditure'!$B33,'Local Government'!$B$16:$M$60,'Public Expenditure'!F$1,FALSE),0)</f>
        <v>21978377.292847574</v>
      </c>
      <c r="G33" s="268">
        <f t="shared" si="2"/>
        <v>0.49602512565951778</v>
      </c>
      <c r="H33" s="200">
        <f t="shared" si="3"/>
        <v>4760635.0171524286</v>
      </c>
      <c r="I33" s="274">
        <f t="shared" si="4"/>
        <v>21.660539145907194</v>
      </c>
      <c r="J33" s="149">
        <f>+IF(ISNUMBER(VLOOKUP($B33,'Cental Budget'!$B$16:$K$77,'Public Expenditure'!J$1,FALSE)),VLOOKUP($B33,'Cental Budget'!$B$16:$K$77,'Public Expenditure'!J$1,FALSE),0)+IF(ISNUMBER(VLOOKUP('Public Expenditure'!$B33,'Local Government'!$B$16:$M$60,'Public Expenditure'!J$1,FALSE)),VLOOKUP('Public Expenditure'!$B33,'Local Government'!$B$16:$M$60,'Public Expenditure'!J$1,FALSE),0)</f>
        <v>20274060.039999999</v>
      </c>
      <c r="K33" s="268">
        <f t="shared" si="1"/>
        <v>0.47854553273851669</v>
      </c>
      <c r="L33" s="200">
        <f t="shared" si="5"/>
        <v>6464952.2700000033</v>
      </c>
      <c r="M33" s="274">
        <f t="shared" si="6"/>
        <v>31.887802725477201</v>
      </c>
      <c r="BF33" s="81"/>
      <c r="BG33" s="81"/>
      <c r="BH33" s="81"/>
      <c r="BI33" s="81"/>
      <c r="BJ33" s="81"/>
    </row>
    <row r="34" spans="1:63">
      <c r="B34" s="80">
        <v>73</v>
      </c>
      <c r="C34" s="101" t="str">
        <f>IF(MasterSheet!$A$1=1,MasterSheet!C103,MasterSheet!B103)</f>
        <v xml:space="preserve">Primici od otplate kredita </v>
      </c>
      <c r="D34" s="149">
        <f>'Cental Budget'!D33+'Local Government'!D24</f>
        <v>4345737.25</v>
      </c>
      <c r="E34" s="268">
        <f t="shared" si="0"/>
        <v>9.8077980771400855E-2</v>
      </c>
      <c r="F34" s="149">
        <f>+IF(ISNUMBER(VLOOKUP($B34,'Cental Budget'!$B$16:$K$77,'Public Expenditure'!F$1,FALSE)),VLOOKUP($B34,'Cental Budget'!$B$16:$K$77,'Public Expenditure'!F$1,FALSE),0)+IF(ISNUMBER(VLOOKUP('Public Expenditure'!$B34,'Local Government'!$B$16:$M$60,'Public Expenditure'!F$1,FALSE)),VLOOKUP('Public Expenditure'!$B34,'Local Government'!$B$16:$M$60,'Public Expenditure'!F$1,FALSE),0)</f>
        <v>1857897.9174854909</v>
      </c>
      <c r="G34" s="268">
        <f t="shared" si="2"/>
        <v>4.1930486300424091E-2</v>
      </c>
      <c r="H34" s="200">
        <f t="shared" si="3"/>
        <v>2487839.3325145091</v>
      </c>
      <c r="I34" s="274">
        <f t="shared" si="4"/>
        <v>133.90613709721956</v>
      </c>
      <c r="J34" s="149">
        <f>+IF(ISNUMBER(VLOOKUP($B34,'Cental Budget'!$B$16:$K$77,'Public Expenditure'!J$1,FALSE)),VLOOKUP($B34,'Cental Budget'!$B$16:$K$77,'Public Expenditure'!J$1,FALSE),0)+IF(ISNUMBER(VLOOKUP('Public Expenditure'!$B34,'Local Government'!$B$16:$M$60,'Public Expenditure'!J$1,FALSE)),VLOOKUP('Public Expenditure'!$B34,'Local Government'!$B$16:$M$60,'Public Expenditure'!J$1,FALSE),0)</f>
        <v>2615772.2199999997</v>
      </c>
      <c r="K34" s="268">
        <f t="shared" si="1"/>
        <v>6.1742251333616577E-2</v>
      </c>
      <c r="L34" s="200">
        <f t="shared" si="5"/>
        <v>1729965.0300000003</v>
      </c>
      <c r="M34" s="274">
        <f t="shared" si="6"/>
        <v>66.135920275198913</v>
      </c>
      <c r="BE34" s="100"/>
      <c r="BF34" s="100"/>
      <c r="BG34" s="99"/>
      <c r="BH34" s="140"/>
      <c r="BI34" s="140"/>
      <c r="BJ34" s="140"/>
      <c r="BK34" s="139"/>
    </row>
    <row r="35" spans="1:63" ht="13.5" customHeight="1" thickBot="1">
      <c r="B35" s="80">
        <v>74</v>
      </c>
      <c r="C35" s="93" t="s">
        <v>122</v>
      </c>
      <c r="D35" s="149">
        <f>'Cental Budget'!D34+'Local Government'!D25</f>
        <v>16259718.890000002</v>
      </c>
      <c r="E35" s="268">
        <f>D35/D$11*100</f>
        <v>0.36696199169468963</v>
      </c>
      <c r="F35" s="149">
        <f>+IF(ISNUMBER(VLOOKUP($B35,'Cental Budget'!$B$16:$K$77,'Public Expenditure'!F$1,FALSE)),VLOOKUP($B35,'Cental Budget'!$B$16:$K$77,'Public Expenditure'!F$1,FALSE),0)+IF(ISNUMBER(VLOOKUP('Public Expenditure'!$B35,'Local Government'!$B$16:$M$60,'Public Expenditure'!F$1,FALSE)),VLOOKUP('Public Expenditure'!$B35,'Local Government'!$B$16:$M$60,'Public Expenditure'!F$1,FALSE),0)-185257.67</f>
        <v>13477642.409025308</v>
      </c>
      <c r="G35" s="268">
        <f t="shared" si="2"/>
        <v>0.3041739242371822</v>
      </c>
      <c r="H35" s="200">
        <f t="shared" si="3"/>
        <v>2782076.4809746947</v>
      </c>
      <c r="I35" s="274">
        <f t="shared" si="4"/>
        <v>20.642159782423633</v>
      </c>
      <c r="J35" s="149">
        <f>+IF(ISNUMBER(VLOOKUP($B35,'Cental Budget'!$B$16:$K$77,'Public Expenditure'!J$1,FALSE)),VLOOKUP($B35,'Cental Budget'!$B$16:$K$77,'Public Expenditure'!J$1,FALSE),0)+IF(ISNUMBER(VLOOKUP('Public Expenditure'!$B35,'Local Government'!$B$16:$M$60,'Public Expenditure'!J$1,FALSE)),VLOOKUP('Public Expenditure'!$B35,'Local Government'!$B$16:$M$60,'Public Expenditure'!J$1,FALSE),0)-181625.17</f>
        <v>9151713.1500000004</v>
      </c>
      <c r="K35" s="268">
        <f>J35/J$11*100</f>
        <v>0.21601551125902846</v>
      </c>
      <c r="L35" s="200">
        <f t="shared" si="5"/>
        <v>7108005.7400000021</v>
      </c>
      <c r="M35" s="274">
        <f t="shared" si="6"/>
        <v>77.668580991308744</v>
      </c>
      <c r="BF35" s="154"/>
      <c r="BG35" s="154"/>
      <c r="BH35" s="140"/>
      <c r="BI35" s="140"/>
      <c r="BJ35" s="140"/>
      <c r="BK35" s="139"/>
    </row>
    <row r="36" spans="1:63" ht="15" customHeight="1" thickTop="1" thickBot="1">
      <c r="B36" s="102"/>
      <c r="C36" s="171" t="s">
        <v>234</v>
      </c>
      <c r="D36" s="166">
        <f>+D38+D49+D55+SUM(D56:D61)</f>
        <v>955000873.32999992</v>
      </c>
      <c r="E36" s="265">
        <f t="shared" si="0"/>
        <v>21.553203036177752</v>
      </c>
      <c r="F36" s="166">
        <f>+F38+F49+F55+SUM(F56:F61)</f>
        <v>956572082.63472652</v>
      </c>
      <c r="G36" s="265">
        <f t="shared" si="2"/>
        <v>21.588663310720769</v>
      </c>
      <c r="H36" s="166">
        <f t="shared" si="3"/>
        <v>-1571209.3047266006</v>
      </c>
      <c r="I36" s="265">
        <f t="shared" si="4"/>
        <v>-0.16425414594986876</v>
      </c>
      <c r="J36" s="166">
        <f>+J38+J49+J55+SUM(J56:J61)</f>
        <v>871822825.63999999</v>
      </c>
      <c r="K36" s="265">
        <f t="shared" si="1"/>
        <v>20.578360610867204</v>
      </c>
      <c r="L36" s="166">
        <f t="shared" si="5"/>
        <v>83178047.689999938</v>
      </c>
      <c r="M36" s="265">
        <f t="shared" si="6"/>
        <v>9.5407054327740752</v>
      </c>
      <c r="BF36" s="81"/>
      <c r="BG36" s="81"/>
      <c r="BH36" s="140"/>
      <c r="BI36" s="140"/>
      <c r="BJ36" s="140"/>
      <c r="BK36" s="139"/>
    </row>
    <row r="37" spans="1:63" ht="13.5" customHeight="1" thickTop="1" thickBot="1">
      <c r="C37" s="171" t="s">
        <v>279</v>
      </c>
      <c r="D37" s="166">
        <f>+D36-D56</f>
        <v>857097533.80999994</v>
      </c>
      <c r="E37" s="265">
        <f t="shared" si="0"/>
        <v>19.343644266627546</v>
      </c>
      <c r="F37" s="166">
        <f>+F36-F56</f>
        <v>812125688.7850666</v>
      </c>
      <c r="G37" s="265">
        <f t="shared" si="2"/>
        <v>18.328684664178084</v>
      </c>
      <c r="H37" s="166">
        <f t="shared" si="3"/>
        <v>44971845.024933338</v>
      </c>
      <c r="I37" s="265">
        <f t="shared" si="4"/>
        <v>5.5375474074968309</v>
      </c>
      <c r="J37" s="166">
        <f>+J36-J56</f>
        <v>819674963.88</v>
      </c>
      <c r="K37" s="265">
        <f t="shared" si="1"/>
        <v>19.347471176887126</v>
      </c>
      <c r="L37" s="166">
        <f t="shared" si="5"/>
        <v>37422569.929999948</v>
      </c>
      <c r="M37" s="265">
        <f t="shared" si="6"/>
        <v>4.5655377532646639</v>
      </c>
      <c r="BF37" s="154"/>
      <c r="BG37" s="154"/>
      <c r="BH37" s="140"/>
      <c r="BI37" s="140"/>
      <c r="BJ37" s="140"/>
      <c r="BK37" s="139"/>
    </row>
    <row r="38" spans="1:63" ht="13.5" customHeight="1" thickTop="1">
      <c r="A38" s="80">
        <v>41</v>
      </c>
      <c r="B38" s="80">
        <v>41</v>
      </c>
      <c r="C38" s="93" t="s">
        <v>62</v>
      </c>
      <c r="D38" s="94">
        <f>+SUM(D39:D48)</f>
        <v>429967475.10999995</v>
      </c>
      <c r="E38" s="268">
        <f t="shared" si="0"/>
        <v>9.7038406443386211</v>
      </c>
      <c r="F38" s="94">
        <f>+SUM(F39:F48)</f>
        <v>408782477.4767065</v>
      </c>
      <c r="G38" s="268">
        <f t="shared" si="2"/>
        <v>9.2257211283645884</v>
      </c>
      <c r="H38" s="198">
        <f t="shared" si="3"/>
        <v>21184997.63329345</v>
      </c>
      <c r="I38" s="274">
        <f t="shared" si="4"/>
        <v>5.1824622630750099</v>
      </c>
      <c r="J38" s="94">
        <f>+SUM(J39:J48)</f>
        <v>418058662.81999999</v>
      </c>
      <c r="K38" s="268">
        <f t="shared" si="1"/>
        <v>9.8677869711561161</v>
      </c>
      <c r="L38" s="198">
        <f t="shared" si="5"/>
        <v>11908812.289999962</v>
      </c>
      <c r="M38" s="274">
        <f t="shared" si="6"/>
        <v>2.8485983784355682</v>
      </c>
      <c r="BF38" s="154"/>
      <c r="BG38" s="154"/>
      <c r="BH38" s="140"/>
      <c r="BI38" s="140"/>
      <c r="BJ38" s="140"/>
      <c r="BK38" s="139"/>
    </row>
    <row r="39" spans="1:63" ht="13.5" customHeight="1">
      <c r="B39" s="80">
        <v>411</v>
      </c>
      <c r="C39" s="93" t="s">
        <v>63</v>
      </c>
      <c r="D39" s="149">
        <f>'Cental Budget'!D38+'Local Government'!D29</f>
        <v>248276744.87</v>
      </c>
      <c r="E39" s="268">
        <f t="shared" si="0"/>
        <v>5.6033028249339871</v>
      </c>
      <c r="F39" s="149">
        <f>+IF(ISNUMBER(VLOOKUP($B39,'Cental Budget'!$B$16:$K$77,'Public Expenditure'!F$1,FALSE)),VLOOKUP($B39,'Cental Budget'!$B$16:$K$77,'Public Expenditure'!F$1,FALSE),0)+IF(ISNUMBER(VLOOKUP('Public Expenditure'!$B39,'Local Government'!$B$16:$M$60,'Public Expenditure'!F$1,FALSE)),VLOOKUP('Public Expenditure'!$B39,'Local Government'!$B$16:$M$60,'Public Expenditure'!F$1,FALSE),0)</f>
        <v>238747737.16883996</v>
      </c>
      <c r="G39" s="268">
        <f t="shared" si="2"/>
        <v>5.3882447622117393</v>
      </c>
      <c r="H39" s="200">
        <f t="shared" si="3"/>
        <v>9529007.7011600435</v>
      </c>
      <c r="I39" s="274">
        <f t="shared" si="4"/>
        <v>3.9912452424297697</v>
      </c>
      <c r="J39" s="149">
        <f>+IF(ISNUMBER(VLOOKUP($B39,'Cental Budget'!$B$16:$K$77,'Public Expenditure'!J$1,FALSE)),VLOOKUP($B39,'Cental Budget'!$B$16:$K$77,'Public Expenditure'!J$1,FALSE),0)+IF(ISNUMBER(VLOOKUP('Public Expenditure'!$B39,'Local Government'!$B$16:$M$60,'Public Expenditure'!J$1,FALSE)),VLOOKUP('Public Expenditure'!$B39,'Local Government'!$B$16:$M$60,'Public Expenditure'!J$1,FALSE),0)</f>
        <v>238823391.90000001</v>
      </c>
      <c r="K39" s="268">
        <f t="shared" si="1"/>
        <v>5.6371475215975071</v>
      </c>
      <c r="L39" s="200">
        <f t="shared" si="5"/>
        <v>9453352.9699999988</v>
      </c>
      <c r="M39" s="274">
        <f t="shared" si="6"/>
        <v>3.9583027838237399</v>
      </c>
      <c r="BF39" s="154"/>
      <c r="BG39" s="154"/>
      <c r="BH39" s="140"/>
      <c r="BI39" s="140"/>
      <c r="BJ39" s="140"/>
      <c r="BK39" s="139"/>
    </row>
    <row r="40" spans="1:63" ht="13.5" customHeight="1">
      <c r="B40" s="80">
        <v>412</v>
      </c>
      <c r="C40" s="93" t="s">
        <v>74</v>
      </c>
      <c r="D40" s="149">
        <f>'Cental Budget'!D39+'Local Government'!D30</f>
        <v>6648792.1699999999</v>
      </c>
      <c r="E40" s="268">
        <f t="shared" si="0"/>
        <v>0.15005511679342798</v>
      </c>
      <c r="F40" s="149">
        <f>+IF(ISNUMBER(VLOOKUP($B40,'Cental Budget'!$B$16:$K$77,'Public Expenditure'!F$1,FALSE)),VLOOKUP($B40,'Cental Budget'!$B$16:$K$77,'Public Expenditure'!F$1,FALSE),0)+IF(ISNUMBER(VLOOKUP('Public Expenditure'!$B40,'Local Government'!$B$16:$M$60,'Public Expenditure'!F$1,FALSE)),VLOOKUP('Public Expenditure'!$B40,'Local Government'!$B$16:$M$60,'Public Expenditure'!F$1,FALSE),0)</f>
        <v>8306672.2721866677</v>
      </c>
      <c r="G40" s="268">
        <f t="shared" si="2"/>
        <v>0.18747144535391608</v>
      </c>
      <c r="H40" s="200">
        <f t="shared" si="3"/>
        <v>-1657880.1021866677</v>
      </c>
      <c r="I40" s="274">
        <f t="shared" si="4"/>
        <v>-19.958414728094766</v>
      </c>
      <c r="J40" s="149">
        <f>+IF(ISNUMBER(VLOOKUP($B40,'Cental Budget'!$B$16:$K$77,'Public Expenditure'!J$1,FALSE)),VLOOKUP($B40,'Cental Budget'!$B$16:$K$77,'Public Expenditure'!J$1,FALSE),0)+IF(ISNUMBER(VLOOKUP('Public Expenditure'!$B40,'Local Government'!$B$16:$M$60,'Public Expenditure'!J$1,FALSE)),VLOOKUP('Public Expenditure'!$B40,'Local Government'!$B$16:$M$60,'Public Expenditure'!J$1,FALSE),0)</f>
        <v>6757268.8999999994</v>
      </c>
      <c r="K40" s="268">
        <f t="shared" si="1"/>
        <v>0.1594974484256243</v>
      </c>
      <c r="L40" s="200">
        <f t="shared" si="5"/>
        <v>-108476.72999999952</v>
      </c>
      <c r="M40" s="274">
        <f t="shared" si="6"/>
        <v>-1.6053339241834692</v>
      </c>
      <c r="BF40" s="154"/>
      <c r="BG40" s="154"/>
      <c r="BH40" s="140"/>
      <c r="BI40" s="140"/>
      <c r="BJ40" s="140"/>
      <c r="BK40" s="139"/>
    </row>
    <row r="41" spans="1:63" ht="13.5" customHeight="1">
      <c r="B41" s="80">
        <v>413</v>
      </c>
      <c r="C41" s="93" t="s">
        <v>428</v>
      </c>
      <c r="D41" s="149">
        <f>'Cental Budget'!D40+'Local Government'!D31</f>
        <v>18235351.970000003</v>
      </c>
      <c r="E41" s="268">
        <f t="shared" si="0"/>
        <v>0.41154961678214363</v>
      </c>
      <c r="F41" s="149">
        <f>+IF(ISNUMBER(VLOOKUP($B41,'Cental Budget'!$B$16:$K$77,'Public Expenditure'!F$1,FALSE)),VLOOKUP($B41,'Cental Budget'!$B$16:$K$77,'Public Expenditure'!F$1,FALSE),0)+IF(ISNUMBER(VLOOKUP('Public Expenditure'!$B41,'Local Government'!$B$16:$M$60,'Public Expenditure'!F$1,FALSE)),VLOOKUP('Public Expenditure'!$B41,'Local Government'!$B$16:$M$60,'Public Expenditure'!F$1,FALSE),0)</f>
        <v>19723892.075166799</v>
      </c>
      <c r="G41" s="268">
        <f t="shared" si="2"/>
        <v>0.44514414848375722</v>
      </c>
      <c r="H41" s="200">
        <f t="shared" si="3"/>
        <v>-1488540.1051667966</v>
      </c>
      <c r="I41" s="274">
        <f t="shared" si="4"/>
        <v>-7.5468883093359125</v>
      </c>
      <c r="J41" s="149">
        <f>+IF(ISNUMBER(VLOOKUP($B41,'Cental Budget'!$B$16:$K$77,'Public Expenditure'!J$1,FALSE)),VLOOKUP($B41,'Cental Budget'!$B$16:$K$77,'Public Expenditure'!J$1,FALSE),0)+IF(ISNUMBER(VLOOKUP('Public Expenditure'!$B41,'Local Government'!$B$16:$M$60,'Public Expenditure'!J$1,FALSE)),VLOOKUP('Public Expenditure'!$B41,'Local Government'!$B$16:$M$60,'Public Expenditure'!J$1,FALSE),0)</f>
        <v>14883018.540000001</v>
      </c>
      <c r="K41" s="268">
        <f t="shared" si="1"/>
        <v>0.35129628806118113</v>
      </c>
      <c r="L41" s="200">
        <f t="shared" si="5"/>
        <v>3352333.4300000016</v>
      </c>
      <c r="M41" s="274">
        <f t="shared" si="6"/>
        <v>22.52455320800803</v>
      </c>
      <c r="BF41" s="154"/>
      <c r="BG41" s="154"/>
      <c r="BH41" s="140"/>
      <c r="BI41" s="140"/>
      <c r="BJ41" s="140"/>
      <c r="BK41" s="139"/>
    </row>
    <row r="42" spans="1:63" ht="13.5" customHeight="1">
      <c r="B42" s="80">
        <v>414</v>
      </c>
      <c r="C42" s="93" t="s">
        <v>429</v>
      </c>
      <c r="D42" s="149">
        <f>'Cental Budget'!D41+'Local Government'!D32</f>
        <v>35728565.060000002</v>
      </c>
      <c r="E42" s="268">
        <f t="shared" si="0"/>
        <v>0.80635006567514511</v>
      </c>
      <c r="F42" s="149">
        <f>+IF(ISNUMBER(VLOOKUP($B42,'Cental Budget'!$B$16:$K$77,'Public Expenditure'!F$1,FALSE)),VLOOKUP($B42,'Cental Budget'!$B$16:$K$77,'Public Expenditure'!F$1,FALSE),0)+IF(ISNUMBER(VLOOKUP('Public Expenditure'!$B42,'Local Government'!$B$16:$M$60,'Public Expenditure'!F$1,FALSE)),VLOOKUP('Public Expenditure'!$B42,'Local Government'!$B$16:$M$60,'Public Expenditure'!F$1,FALSE),0)</f>
        <v>28135173.401406527</v>
      </c>
      <c r="G42" s="268">
        <f t="shared" si="2"/>
        <v>0.6349764923922121</v>
      </c>
      <c r="H42" s="200">
        <f t="shared" si="3"/>
        <v>7593391.6585934758</v>
      </c>
      <c r="I42" s="274">
        <f t="shared" si="4"/>
        <v>26.98896342403161</v>
      </c>
      <c r="J42" s="149">
        <f>+IF(ISNUMBER(VLOOKUP($B42,'Cental Budget'!$B$16:$K$77,'Public Expenditure'!J$1,FALSE)),VLOOKUP($B42,'Cental Budget'!$B$16:$K$77,'Public Expenditure'!J$1,FALSE),0)+IF(ISNUMBER(VLOOKUP('Public Expenditure'!$B42,'Local Government'!$B$16:$M$60,'Public Expenditure'!J$1,FALSE)),VLOOKUP('Public Expenditure'!$B42,'Local Government'!$B$16:$M$60,'Public Expenditure'!J$1,FALSE),0)</f>
        <v>28267573.529999997</v>
      </c>
      <c r="K42" s="268">
        <f t="shared" si="1"/>
        <v>0.66722309233819566</v>
      </c>
      <c r="L42" s="200">
        <f t="shared" si="5"/>
        <v>7460991.5300000049</v>
      </c>
      <c r="M42" s="274">
        <f t="shared" si="6"/>
        <v>26.394170416083824</v>
      </c>
      <c r="BF42" s="154"/>
      <c r="BG42" s="154"/>
      <c r="BH42" s="140"/>
      <c r="BI42" s="140"/>
      <c r="BJ42" s="140"/>
      <c r="BK42" s="139"/>
    </row>
    <row r="43" spans="1:63" ht="13.5" customHeight="1">
      <c r="B43" s="80">
        <v>415</v>
      </c>
      <c r="C43" s="93" t="s">
        <v>430</v>
      </c>
      <c r="D43" s="149">
        <f>'Cental Budget'!D42+'Local Government'!D33</f>
        <v>10342412.52</v>
      </c>
      <c r="E43" s="268">
        <f t="shared" si="0"/>
        <v>0.23341561578911732</v>
      </c>
      <c r="F43" s="149">
        <f>+IF(ISNUMBER(VLOOKUP($B43,'Cental Budget'!$B$16:$K$77,'Public Expenditure'!F$1,FALSE)),VLOOKUP($B43,'Cental Budget'!$B$16:$K$77,'Public Expenditure'!F$1,FALSE),0)+IF(ISNUMBER(VLOOKUP('Public Expenditure'!$B43,'Local Government'!$B$16:$M$60,'Public Expenditure'!F$1,FALSE)),VLOOKUP('Public Expenditure'!$B43,'Local Government'!$B$16:$M$60,'Public Expenditure'!F$1,FALSE),0)</f>
        <v>13050323.890040001</v>
      </c>
      <c r="G43" s="268">
        <f t="shared" si="2"/>
        <v>0.29452986729648606</v>
      </c>
      <c r="H43" s="200">
        <f t="shared" si="3"/>
        <v>-2707911.3700400013</v>
      </c>
      <c r="I43" s="274">
        <f t="shared" si="4"/>
        <v>-20.749763705915967</v>
      </c>
      <c r="J43" s="149">
        <f>+IF(ISNUMBER(VLOOKUP($B43,'Cental Budget'!$B$16:$K$77,'Public Expenditure'!J$1,FALSE)),VLOOKUP($B43,'Cental Budget'!$B$16:$K$77,'Public Expenditure'!J$1,FALSE),0)+IF(ISNUMBER(VLOOKUP('Public Expenditure'!$B43,'Local Government'!$B$16:$M$60,'Public Expenditure'!J$1,FALSE)),VLOOKUP('Public Expenditure'!$B43,'Local Government'!$B$16:$M$60,'Public Expenditure'!J$1,FALSE),0)</f>
        <v>9114642.2599999998</v>
      </c>
      <c r="K43" s="268">
        <f t="shared" si="1"/>
        <v>0.21514049615257519</v>
      </c>
      <c r="L43" s="200">
        <f t="shared" si="5"/>
        <v>1227770.2599999998</v>
      </c>
      <c r="M43" s="274">
        <f t="shared" si="6"/>
        <v>13.470306622873423</v>
      </c>
      <c r="BF43" s="154"/>
      <c r="BG43" s="154"/>
      <c r="BH43" s="140"/>
      <c r="BI43" s="140"/>
      <c r="BJ43" s="140"/>
      <c r="BK43" s="139"/>
    </row>
    <row r="44" spans="1:63" ht="13.5" customHeight="1">
      <c r="B44" s="80">
        <v>416</v>
      </c>
      <c r="C44" s="93" t="s">
        <v>79</v>
      </c>
      <c r="D44" s="149">
        <f>'Cental Budget'!D43+'Local Government'!D34</f>
        <v>59897833.440000005</v>
      </c>
      <c r="E44" s="268">
        <f t="shared" si="0"/>
        <v>1.3518209266740391</v>
      </c>
      <c r="F44" s="149">
        <f>+IF(ISNUMBER(VLOOKUP($B44,'Cental Budget'!$B$16:$K$77,'Public Expenditure'!F$1,FALSE)),VLOOKUP($B44,'Cental Budget'!$B$16:$K$77,'Public Expenditure'!F$1,FALSE),0)+IF(ISNUMBER(VLOOKUP('Public Expenditure'!$B44,'Local Government'!$B$16:$M$60,'Public Expenditure'!F$1,FALSE)),VLOOKUP('Public Expenditure'!$B44,'Local Government'!$B$16:$M$60,'Public Expenditure'!F$1,FALSE),0)</f>
        <v>44290289.102159999</v>
      </c>
      <c r="G44" s="268">
        <f t="shared" si="2"/>
        <v>0.99957771789388161</v>
      </c>
      <c r="H44" s="200">
        <f t="shared" si="3"/>
        <v>15607544.337840006</v>
      </c>
      <c r="I44" s="274">
        <f t="shared" si="4"/>
        <v>35.2392017623539</v>
      </c>
      <c r="J44" s="149">
        <f>+IF(ISNUMBER(VLOOKUP($B44,'Cental Budget'!$B$16:$K$77,'Public Expenditure'!J$1,FALSE)),VLOOKUP($B44,'Cental Budget'!$B$16:$K$77,'Public Expenditure'!J$1,FALSE),0)+IF(ISNUMBER(VLOOKUP('Public Expenditure'!$B44,'Local Government'!$B$16:$M$60,'Public Expenditure'!J$1,FALSE)),VLOOKUP('Public Expenditure'!$B44,'Local Government'!$B$16:$M$60,'Public Expenditure'!J$1,FALSE),0)</f>
        <v>82631932.970000014</v>
      </c>
      <c r="K44" s="268">
        <f t="shared" si="1"/>
        <v>1.9504303679837611</v>
      </c>
      <c r="L44" s="200">
        <f t="shared" si="5"/>
        <v>-22734099.530000009</v>
      </c>
      <c r="M44" s="274">
        <f t="shared" si="6"/>
        <v>-27.512486653620641</v>
      </c>
      <c r="BF44" s="154"/>
      <c r="BG44" s="154"/>
      <c r="BH44" s="140"/>
      <c r="BI44" s="140"/>
      <c r="BJ44" s="140"/>
      <c r="BK44" s="139"/>
    </row>
    <row r="45" spans="1:63" ht="13.5" customHeight="1">
      <c r="B45" s="80">
        <v>417</v>
      </c>
      <c r="C45" s="93" t="s">
        <v>81</v>
      </c>
      <c r="D45" s="149">
        <f>'Cental Budget'!D44+'Local Government'!D35</f>
        <v>4544625.6500000004</v>
      </c>
      <c r="E45" s="268">
        <f t="shared" si="0"/>
        <v>0.10256664898779029</v>
      </c>
      <c r="F45" s="149">
        <f>+IF(ISNUMBER(VLOOKUP($B45,'Cental Budget'!$B$16:$K$77,'Public Expenditure'!F$1,FALSE)),VLOOKUP($B45,'Cental Budget'!$B$16:$K$77,'Public Expenditure'!F$1,FALSE),0)+IF(ISNUMBER(VLOOKUP('Public Expenditure'!$B45,'Local Government'!$B$16:$M$60,'Public Expenditure'!F$1,FALSE)),VLOOKUP('Public Expenditure'!$B45,'Local Government'!$B$16:$M$60,'Public Expenditure'!F$1,FALSE),0)</f>
        <v>5038301.5205600001</v>
      </c>
      <c r="G45" s="268">
        <f t="shared" si="2"/>
        <v>0.1137083102882033</v>
      </c>
      <c r="H45" s="200">
        <f t="shared" si="3"/>
        <v>-493675.87055999972</v>
      </c>
      <c r="I45" s="274">
        <f t="shared" si="4"/>
        <v>-9.7984582412433383</v>
      </c>
      <c r="J45" s="149">
        <f>+IF(ISNUMBER(VLOOKUP($B45,'Cental Budget'!$B$16:$K$77,'Public Expenditure'!J$1,FALSE)),VLOOKUP($B45,'Cental Budget'!$B$16:$K$77,'Public Expenditure'!J$1,FALSE),0)+IF(ISNUMBER(VLOOKUP('Public Expenditure'!$B45,'Local Government'!$B$16:$M$60,'Public Expenditure'!J$1,FALSE)),VLOOKUP('Public Expenditure'!$B45,'Local Government'!$B$16:$M$60,'Public Expenditure'!J$1,FALSE),0)</f>
        <v>4152986.63</v>
      </c>
      <c r="K45" s="268">
        <f t="shared" si="1"/>
        <v>9.8026403956002456E-2</v>
      </c>
      <c r="L45" s="200">
        <f t="shared" si="5"/>
        <v>391639.02000000048</v>
      </c>
      <c r="M45" s="274">
        <f t="shared" si="6"/>
        <v>9.4302981177668812</v>
      </c>
      <c r="BF45" s="154"/>
      <c r="BG45" s="154"/>
      <c r="BH45" s="140"/>
      <c r="BI45" s="140"/>
      <c r="BJ45" s="140"/>
      <c r="BK45" s="139"/>
    </row>
    <row r="46" spans="1:63" ht="13.5" customHeight="1">
      <c r="B46" s="80">
        <v>418</v>
      </c>
      <c r="C46" s="93" t="s">
        <v>83</v>
      </c>
      <c r="D46" s="149">
        <f>'Cental Budget'!D45+'Local Government'!D36</f>
        <v>11560249.249999998</v>
      </c>
      <c r="E46" s="268">
        <f t="shared" si="0"/>
        <v>0.26090070301744561</v>
      </c>
      <c r="F46" s="149">
        <f>+IF(ISNUMBER(VLOOKUP($B46,'Cental Budget'!$B$16:$K$77,'Public Expenditure'!F$1,FALSE)),VLOOKUP($B46,'Cental Budget'!$B$16:$K$77,'Public Expenditure'!F$1,FALSE),0)+IF(ISNUMBER(VLOOKUP('Public Expenditure'!$B46,'Local Government'!$B$16:$M$60,'Public Expenditure'!F$1,FALSE)),VLOOKUP('Public Expenditure'!$B46,'Local Government'!$B$16:$M$60,'Public Expenditure'!F$1,FALSE),0)</f>
        <v>14000888.737520002</v>
      </c>
      <c r="G46" s="268">
        <f t="shared" si="2"/>
        <v>0.3159829546484913</v>
      </c>
      <c r="H46" s="200">
        <f t="shared" si="3"/>
        <v>-2440639.4875200037</v>
      </c>
      <c r="I46" s="274">
        <f t="shared" si="4"/>
        <v>-17.432032589327733</v>
      </c>
      <c r="J46" s="149">
        <f>+IF(ISNUMBER(VLOOKUP($B46,'Cental Budget'!$B$16:$K$77,'Public Expenditure'!J$1,FALSE)),VLOOKUP($B46,'Cental Budget'!$B$16:$K$77,'Public Expenditure'!J$1,FALSE),0)+IF(ISNUMBER(VLOOKUP('Public Expenditure'!$B46,'Local Government'!$B$16:$M$60,'Public Expenditure'!J$1,FALSE)),VLOOKUP('Public Expenditure'!$B46,'Local Government'!$B$16:$M$60,'Public Expenditure'!J$1,FALSE),0)</f>
        <v>6206220.1400000006</v>
      </c>
      <c r="K46" s="268">
        <f t="shared" si="1"/>
        <v>0.14649058537506493</v>
      </c>
      <c r="L46" s="200">
        <f t="shared" si="5"/>
        <v>5354029.1099999975</v>
      </c>
      <c r="M46" s="274">
        <f t="shared" si="6"/>
        <v>86.268759232249806</v>
      </c>
      <c r="BF46" s="154"/>
      <c r="BG46" s="154"/>
      <c r="BH46" s="140"/>
      <c r="BI46" s="140"/>
      <c r="BJ46" s="140"/>
      <c r="BK46" s="139"/>
    </row>
    <row r="47" spans="1:63" ht="13.5" customHeight="1">
      <c r="B47" s="80">
        <v>419</v>
      </c>
      <c r="C47" s="93" t="s">
        <v>85</v>
      </c>
      <c r="D47" s="149">
        <f>'Cental Budget'!D46+'Local Government'!D37</f>
        <v>17124592.010000002</v>
      </c>
      <c r="E47" s="268">
        <f t="shared" si="0"/>
        <v>0.38648112144259639</v>
      </c>
      <c r="F47" s="149">
        <f>+IF(ISNUMBER(VLOOKUP($B47,'Cental Budget'!$B$16:$K$77,'Public Expenditure'!F$1,FALSE)),VLOOKUP($B47,'Cental Budget'!$B$16:$K$77,'Public Expenditure'!F$1,FALSE),0)+IF(ISNUMBER(VLOOKUP('Public Expenditure'!$B47,'Local Government'!$B$16:$M$60,'Public Expenditure'!F$1,FALSE)),VLOOKUP('Public Expenditure'!$B47,'Local Government'!$B$16:$M$60,'Public Expenditure'!F$1,FALSE),0)</f>
        <v>17356453.545493331</v>
      </c>
      <c r="G47" s="268">
        <f t="shared" si="2"/>
        <v>0.3917139530455061</v>
      </c>
      <c r="H47" s="200">
        <f t="shared" si="3"/>
        <v>-231861.53549332917</v>
      </c>
      <c r="I47" s="274">
        <f t="shared" si="4"/>
        <v>-1.33588082891238</v>
      </c>
      <c r="J47" s="149">
        <f>+IF(ISNUMBER(VLOOKUP($B47,'Cental Budget'!$B$16:$K$77,'Public Expenditure'!J$1,FALSE)),VLOOKUP($B47,'Cental Budget'!$B$16:$K$77,'Public Expenditure'!J$1,FALSE),0)+IF(ISNUMBER(VLOOKUP('Public Expenditure'!$B47,'Local Government'!$B$16:$M$60,'Public Expenditure'!J$1,FALSE)),VLOOKUP('Public Expenditure'!$B47,'Local Government'!$B$16:$M$60,'Public Expenditure'!J$1,FALSE),0)</f>
        <v>15346555.43</v>
      </c>
      <c r="K47" s="268">
        <f t="shared" si="1"/>
        <v>0.36223753552376903</v>
      </c>
      <c r="L47" s="200">
        <f t="shared" si="5"/>
        <v>1778036.5800000019</v>
      </c>
      <c r="M47" s="274">
        <f t="shared" si="6"/>
        <v>11.5859000940643</v>
      </c>
      <c r="BF47" s="154"/>
      <c r="BG47" s="154"/>
      <c r="BH47" s="140"/>
      <c r="BI47" s="140"/>
      <c r="BJ47" s="140"/>
      <c r="BK47" s="139"/>
    </row>
    <row r="48" spans="1:63" ht="13.5" customHeight="1">
      <c r="B48" s="80">
        <v>441</v>
      </c>
      <c r="C48" s="93" t="s">
        <v>129</v>
      </c>
      <c r="D48" s="149">
        <f>'Cental Budget'!D47</f>
        <v>17608308.170000006</v>
      </c>
      <c r="E48" s="268">
        <f t="shared" si="0"/>
        <v>0.39739800424293042</v>
      </c>
      <c r="F48" s="149">
        <f>+IF(ISNUMBER(VLOOKUP($B48,'Cental Budget'!$B$16:$K$77,'Public Expenditure'!F$1,FALSE)),VLOOKUP($B48,'Cental Budget'!$B$16:$K$77,'Public Expenditure'!F$1,FALSE),0)+IF(ISNUMBER(VLOOKUP('Public Expenditure'!$B48,'Local Government'!$B$16:$M$60,'Public Expenditure'!F$1,FALSE)),VLOOKUP('Public Expenditure'!$B48,'Local Government'!$B$16:$M$60,'Public Expenditure'!F$1,FALSE),0)</f>
        <v>20132745.763333339</v>
      </c>
      <c r="G48" s="268">
        <f t="shared" si="2"/>
        <v>0.45437147675039702</v>
      </c>
      <c r="H48" s="200">
        <f>+D48-F48</f>
        <v>-2524437.5933333337</v>
      </c>
      <c r="I48" s="274">
        <f t="shared" si="4"/>
        <v>-12.538963254237046</v>
      </c>
      <c r="J48" s="149">
        <f>+IF(ISNUMBER(VLOOKUP($B48,'Cental Budget'!$B$16:$K$77,'Public Expenditure'!J$1,FALSE)),VLOOKUP($B48,'Cental Budget'!$B$16:$K$77,'Public Expenditure'!J$1,FALSE),0)+IF(ISNUMBER(VLOOKUP('Public Expenditure'!$B48,'Local Government'!$B$16:$M$60,'Public Expenditure'!J$1,FALSE)),VLOOKUP('Public Expenditure'!$B48,'Local Government'!$B$16:$M$60,'Public Expenditure'!J$1,FALSE),0)</f>
        <v>11875072.52</v>
      </c>
      <c r="K48" s="268">
        <f t="shared" si="1"/>
        <v>0.28029723174243498</v>
      </c>
      <c r="L48" s="200">
        <f t="shared" si="5"/>
        <v>5733235.650000006</v>
      </c>
      <c r="M48" s="274">
        <f t="shared" si="6"/>
        <v>48.279584317014411</v>
      </c>
      <c r="BF48" s="154"/>
      <c r="BG48" s="154"/>
      <c r="BH48" s="140"/>
      <c r="BI48" s="140"/>
      <c r="BJ48" s="140"/>
      <c r="BK48" s="139"/>
    </row>
    <row r="49" spans="1:63" ht="13.5" customHeight="1">
      <c r="A49" s="80">
        <v>42</v>
      </c>
      <c r="B49" s="80">
        <v>42</v>
      </c>
      <c r="C49" s="93" t="s">
        <v>86</v>
      </c>
      <c r="D49" s="94">
        <f>'Cental Budget'!D48+'Local Government'!D38</f>
        <v>265428014.51999995</v>
      </c>
      <c r="E49" s="268">
        <f t="shared" si="0"/>
        <v>5.9903860281206969</v>
      </c>
      <c r="F49" s="94">
        <f>+IF(ISNUMBER(VLOOKUP($B49,'Cental Budget'!$B$16:$K$77,'Public Expenditure'!F$1,FALSE)),VLOOKUP($B49,'Cental Budget'!$B$16:$K$77,'Public Expenditure'!F$1,FALSE),0)+IF(ISNUMBER(VLOOKUP('Public Expenditure'!$B49,'Local Government'!$B$16:$M$60,'Public Expenditure'!F$1,FALSE)),VLOOKUP('Public Expenditure'!$B49,'Local Government'!$B$16:$M$60,'Public Expenditure'!F$1,FALSE),0)</f>
        <v>275704344.97500002</v>
      </c>
      <c r="G49" s="268">
        <f t="shared" si="2"/>
        <v>6.2223102524317859</v>
      </c>
      <c r="H49" s="198">
        <f t="shared" si="3"/>
        <v>-10276330.455000073</v>
      </c>
      <c r="I49" s="274">
        <f t="shared" si="4"/>
        <v>-3.7273008722194447</v>
      </c>
      <c r="J49" s="94">
        <f>+IF(ISNUMBER(VLOOKUP($B49,'Cental Budget'!$B$16:$K$77,'Public Expenditure'!J$1,FALSE)),VLOOKUP($B49,'Cental Budget'!$B$16:$K$77,'Public Expenditure'!J$1,FALSE),0)+IF(ISNUMBER(VLOOKUP('Public Expenditure'!$B49,'Local Government'!$B$16:$M$60,'Public Expenditure'!J$1,FALSE)),VLOOKUP('Public Expenditure'!$B49,'Local Government'!$B$16:$M$60,'Public Expenditure'!J$1,FALSE),0)</f>
        <v>272934930.55000001</v>
      </c>
      <c r="K49" s="268">
        <f t="shared" si="1"/>
        <v>6.4423105922201769</v>
      </c>
      <c r="L49" s="198">
        <f t="shared" si="5"/>
        <v>-7506916.0300000608</v>
      </c>
      <c r="M49" s="274">
        <f t="shared" si="6"/>
        <v>-2.7504416583368823</v>
      </c>
      <c r="BF49" s="154"/>
      <c r="BG49" s="154"/>
      <c r="BH49" s="140"/>
      <c r="BI49" s="140"/>
      <c r="BJ49" s="140"/>
      <c r="BK49" s="139"/>
    </row>
    <row r="50" spans="1:63" ht="13.5" customHeight="1">
      <c r="B50" s="80">
        <v>421</v>
      </c>
      <c r="C50" s="97" t="s">
        <v>88</v>
      </c>
      <c r="D50" s="151">
        <f>'Cental Budget'!D49+'Local Government'!D39</f>
        <v>38367577.810000002</v>
      </c>
      <c r="E50" s="267">
        <f t="shared" si="0"/>
        <v>0.86590935949807046</v>
      </c>
      <c r="F50" s="151">
        <f>+IF(ISNUMBER(VLOOKUP($B50,'Cental Budget'!$B$16:$K$77,'Public Expenditure'!F$1,FALSE)),VLOOKUP($B50,'Cental Budget'!$B$16:$K$77,'Public Expenditure'!F$1,FALSE),0)+IF(ISNUMBER(VLOOKUP('Public Expenditure'!$B50,'Local Government'!$B$16:$M$60,'Public Expenditure'!F$1,FALSE)),VLOOKUP('Public Expenditure'!$B50,'Local Government'!$B$16:$M$60,'Public Expenditure'!F$1,FALSE),0)</f>
        <v>40320386.097599998</v>
      </c>
      <c r="G50" s="267">
        <f t="shared" si="2"/>
        <v>0.90998185690491762</v>
      </c>
      <c r="H50" s="201">
        <f t="shared" si="3"/>
        <v>-1952808.2875999957</v>
      </c>
      <c r="I50" s="273">
        <f t="shared" si="4"/>
        <v>-4.8432281448719294</v>
      </c>
      <c r="J50" s="151">
        <f>+IF(ISNUMBER(VLOOKUP($B50,'Cental Budget'!$B$16:$K$77,'Public Expenditure'!J$1,FALSE)),VLOOKUP($B50,'Cental Budget'!$B$16:$K$77,'Public Expenditure'!J$1,FALSE),0)+IF(ISNUMBER(VLOOKUP('Public Expenditure'!$B50,'Local Government'!$B$16:$M$60,'Public Expenditure'!J$1,FALSE)),VLOOKUP('Public Expenditure'!$B50,'Local Government'!$B$16:$M$60,'Public Expenditure'!J$1,FALSE),0)</f>
        <v>58158898.979999997</v>
      </c>
      <c r="K50" s="267">
        <f t="shared" si="1"/>
        <v>1.3727729542557709</v>
      </c>
      <c r="L50" s="201">
        <f t="shared" si="5"/>
        <v>-19791321.169999994</v>
      </c>
      <c r="M50" s="273">
        <f t="shared" si="6"/>
        <v>-34.02973838415673</v>
      </c>
      <c r="BF50" s="154"/>
      <c r="BG50" s="154"/>
      <c r="BH50" s="140"/>
      <c r="BI50" s="140"/>
      <c r="BJ50" s="140"/>
      <c r="BK50" s="139"/>
    </row>
    <row r="51" spans="1:63" ht="13.5" customHeight="1">
      <c r="B51" s="80">
        <v>422</v>
      </c>
      <c r="C51" s="97" t="s">
        <v>90</v>
      </c>
      <c r="D51" s="151">
        <f>'Cental Budget'!D50</f>
        <v>6014821.4799999995</v>
      </c>
      <c r="E51" s="267">
        <f t="shared" si="0"/>
        <v>0.13574717280913584</v>
      </c>
      <c r="F51" s="151">
        <f>+IF(ISNUMBER(VLOOKUP($B51,'Cental Budget'!$B$16:$K$77,'Public Expenditure'!F$1,FALSE)),VLOOKUP($B51,'Cental Budget'!$B$16:$K$77,'Public Expenditure'!F$1,FALSE),0)+IF(ISNUMBER(VLOOKUP('Public Expenditure'!$B51,'Local Government'!$B$16:$M$60,'Public Expenditure'!F$1,FALSE)),VLOOKUP('Public Expenditure'!$B51,'Local Government'!$B$16:$M$60,'Public Expenditure'!F$1,FALSE),0)</f>
        <v>10199399.760000002</v>
      </c>
      <c r="G51" s="267">
        <f t="shared" si="2"/>
        <v>0.23018799250716562</v>
      </c>
      <c r="H51" s="201">
        <f t="shared" si="3"/>
        <v>-4184578.2800000021</v>
      </c>
      <c r="I51" s="273">
        <f t="shared" si="4"/>
        <v>-41.027691613883768</v>
      </c>
      <c r="J51" s="151">
        <f>+IF(ISNUMBER(VLOOKUP($B51,'Cental Budget'!$B$16:$K$77,'Public Expenditure'!J$1,FALSE)),VLOOKUP($B51,'Cental Budget'!$B$16:$K$77,'Public Expenditure'!J$1,FALSE),0)+IF(ISNUMBER(VLOOKUP('Public Expenditure'!$B51,'Local Government'!$B$16:$M$60,'Public Expenditure'!J$1,FALSE)),VLOOKUP('Public Expenditure'!$B51,'Local Government'!$B$16:$M$60,'Public Expenditure'!J$1,FALSE),0)</f>
        <v>5536005.5500000007</v>
      </c>
      <c r="K51" s="267">
        <f t="shared" si="1"/>
        <v>0.13067095194259551</v>
      </c>
      <c r="L51" s="201">
        <f t="shared" si="5"/>
        <v>478815.92999999877</v>
      </c>
      <c r="M51" s="273">
        <f t="shared" si="6"/>
        <v>8.6491230125301968</v>
      </c>
      <c r="BF51" s="154"/>
      <c r="BG51" s="154"/>
      <c r="BH51" s="140"/>
      <c r="BI51" s="140"/>
      <c r="BJ51" s="140"/>
      <c r="BK51" s="139"/>
    </row>
    <row r="52" spans="1:63" ht="13.5" customHeight="1">
      <c r="B52" s="80">
        <v>423</v>
      </c>
      <c r="C52" s="97" t="s">
        <v>92</v>
      </c>
      <c r="D52" s="151">
        <f>+'Cental Budget'!D51</f>
        <v>207351126.36999997</v>
      </c>
      <c r="E52" s="267">
        <f t="shared" si="0"/>
        <v>4.6796616120878367</v>
      </c>
      <c r="F52" s="151">
        <f>+IF(ISNUMBER(VLOOKUP($B52,'Cental Budget'!$B$16:$K$77,'Public Expenditure'!F$1,FALSE)),VLOOKUP($B52,'Cental Budget'!$B$16:$K$77,'Public Expenditure'!F$1,FALSE),0)+IF(ISNUMBER(VLOOKUP('Public Expenditure'!$B52,'Local Government'!$B$16:$M$60,'Public Expenditure'!F$1,FALSE)),VLOOKUP('Public Expenditure'!$B52,'Local Government'!$B$16:$M$60,'Public Expenditure'!F$1,FALSE),0)</f>
        <v>212836395.215</v>
      </c>
      <c r="G52" s="267">
        <f t="shared" si="2"/>
        <v>4.8034574288519263</v>
      </c>
      <c r="H52" s="201">
        <f t="shared" si="3"/>
        <v>-5485268.8450000286</v>
      </c>
      <c r="I52" s="273">
        <f t="shared" si="4"/>
        <v>-2.5772231480706012</v>
      </c>
      <c r="J52" s="151">
        <f>+IF(ISNUMBER(VLOOKUP($B52,'Cental Budget'!$B$16:$K$77,'Public Expenditure'!J$1,FALSE)),VLOOKUP($B52,'Cental Budget'!$B$16:$K$77,'Public Expenditure'!J$1,FALSE),0)+IF(ISNUMBER(VLOOKUP('Public Expenditure'!$B52,'Local Government'!$B$16:$M$60,'Public Expenditure'!J$1,FALSE)),VLOOKUP('Public Expenditure'!$B52,'Local Government'!$B$16:$M$60,'Public Expenditure'!J$1,FALSE),0)</f>
        <v>198586743.64000002</v>
      </c>
      <c r="K52" s="267">
        <f t="shared" si="1"/>
        <v>4.6874083850257282</v>
      </c>
      <c r="L52" s="201">
        <f t="shared" si="5"/>
        <v>8764382.7299999595</v>
      </c>
      <c r="M52" s="273">
        <f t="shared" si="6"/>
        <v>4.4133775343474753</v>
      </c>
      <c r="BF52" s="154"/>
      <c r="BG52" s="154"/>
      <c r="BH52" s="140"/>
      <c r="BI52" s="140"/>
      <c r="BJ52" s="140"/>
      <c r="BK52" s="139"/>
    </row>
    <row r="53" spans="1:63" ht="13.5" customHeight="1">
      <c r="B53" s="80">
        <v>424</v>
      </c>
      <c r="C53" s="97" t="s">
        <v>94</v>
      </c>
      <c r="D53" s="151">
        <f>+'Cental Budget'!D52</f>
        <v>9384720.8499999996</v>
      </c>
      <c r="E53" s="267">
        <f t="shared" si="0"/>
        <v>0.21180168475930394</v>
      </c>
      <c r="F53" s="151">
        <f>+IF(ISNUMBER(VLOOKUP($B53,'Cental Budget'!$B$16:$K$77,'Public Expenditure'!F$1,FALSE)),VLOOKUP($B53,'Cental Budget'!$B$16:$K$77,'Public Expenditure'!F$1,FALSE),0)+IF(ISNUMBER(VLOOKUP('Public Expenditure'!$B53,'Local Government'!$B$16:$M$60,'Public Expenditure'!F$1,FALSE)),VLOOKUP('Public Expenditure'!$B53,'Local Government'!$B$16:$M$60,'Public Expenditure'!F$1,FALSE),0)</f>
        <v>8250049.9999999991</v>
      </c>
      <c r="G53" s="267">
        <f t="shared" si="2"/>
        <v>0.18619354984314695</v>
      </c>
      <c r="H53" s="201">
        <f t="shared" si="3"/>
        <v>1134670.8500000006</v>
      </c>
      <c r="I53" s="273">
        <f t="shared" si="4"/>
        <v>13.753502706044202</v>
      </c>
      <c r="J53" s="151">
        <f>+IF(ISNUMBER(VLOOKUP($B53,'Cental Budget'!$B$16:$K$77,'Public Expenditure'!J$1,FALSE)),VLOOKUP($B53,'Cental Budget'!$B$16:$K$77,'Public Expenditure'!J$1,FALSE),0)+IF(ISNUMBER(VLOOKUP('Public Expenditure'!$B53,'Local Government'!$B$16:$M$60,'Public Expenditure'!J$1,FALSE)),VLOOKUP('Public Expenditure'!$B53,'Local Government'!$B$16:$M$60,'Public Expenditure'!J$1,FALSE),0)</f>
        <v>7180365.1899999995</v>
      </c>
      <c r="K53" s="267">
        <f t="shared" si="1"/>
        <v>0.1694841427087759</v>
      </c>
      <c r="L53" s="201">
        <f t="shared" si="5"/>
        <v>2204355.66</v>
      </c>
      <c r="M53" s="273">
        <f t="shared" si="6"/>
        <v>30.699770856640782</v>
      </c>
      <c r="BF53" s="154"/>
      <c r="BG53" s="154"/>
      <c r="BH53" s="140"/>
      <c r="BI53" s="140"/>
      <c r="BJ53" s="140"/>
      <c r="BK53" s="139"/>
    </row>
    <row r="54" spans="1:63" ht="13.5" customHeight="1">
      <c r="B54" s="80">
        <v>425</v>
      </c>
      <c r="C54" s="97" t="s">
        <v>431</v>
      </c>
      <c r="D54" s="151">
        <f>+'Cental Budget'!D53</f>
        <v>4309768.01</v>
      </c>
      <c r="E54" s="267">
        <f t="shared" si="0"/>
        <v>9.7266198966349943E-2</v>
      </c>
      <c r="F54" s="151">
        <f>+IF(ISNUMBER(VLOOKUP($B54,'Cental Budget'!$B$16:$K$77,'Public Expenditure'!F$1,FALSE)),VLOOKUP($B54,'Cental Budget'!$B$16:$K$77,'Public Expenditure'!F$1,FALSE),0)+IF(ISNUMBER(VLOOKUP('Public Expenditure'!$B54,'Local Government'!$B$16:$M$60,'Public Expenditure'!F$1,FALSE)),VLOOKUP('Public Expenditure'!$B54,'Local Government'!$B$16:$M$60,'Public Expenditure'!F$1,FALSE),0)</f>
        <v>4512500</v>
      </c>
      <c r="G54" s="267">
        <f t="shared" si="2"/>
        <v>0.10184161231352547</v>
      </c>
      <c r="H54" s="201">
        <f t="shared" si="3"/>
        <v>-202731.99000000022</v>
      </c>
      <c r="I54" s="273">
        <f t="shared" si="4"/>
        <v>-4.4926756786703663</v>
      </c>
      <c r="J54" s="151">
        <f>+IF(ISNUMBER(VLOOKUP($B54,'Cental Budget'!$B$16:$K$77,'Public Expenditure'!J$1,FALSE)),VLOOKUP($B54,'Cental Budget'!$B$16:$K$77,'Public Expenditure'!J$1,FALSE),0)+IF(ISNUMBER(VLOOKUP('Public Expenditure'!$B54,'Local Government'!$B$16:$M$60,'Public Expenditure'!J$1,FALSE)),VLOOKUP('Public Expenditure'!$B54,'Local Government'!$B$16:$M$60,'Public Expenditure'!J$1,FALSE),0)</f>
        <v>4193917.6899999995</v>
      </c>
      <c r="K54" s="267">
        <f t="shared" si="1"/>
        <v>9.8992533871500726E-2</v>
      </c>
      <c r="L54" s="201">
        <f t="shared" si="5"/>
        <v>115850.3200000003</v>
      </c>
      <c r="M54" s="273">
        <f t="shared" si="6"/>
        <v>2.7623412895354278</v>
      </c>
      <c r="BF54" s="154"/>
      <c r="BG54" s="154"/>
      <c r="BH54" s="140"/>
      <c r="BI54" s="140"/>
      <c r="BJ54" s="140"/>
      <c r="BK54" s="139"/>
    </row>
    <row r="55" spans="1:63" ht="13.5" customHeight="1" thickBot="1">
      <c r="A55" s="80">
        <v>43</v>
      </c>
      <c r="B55" s="80">
        <v>43</v>
      </c>
      <c r="C55" s="93" t="s">
        <v>432</v>
      </c>
      <c r="D55" s="94">
        <f>+'Cental Budget'!D54+'Local Government'!D40</f>
        <v>110063762.91</v>
      </c>
      <c r="E55" s="268">
        <f t="shared" si="0"/>
        <v>2.4840046697059286</v>
      </c>
      <c r="F55" s="94">
        <f>+'Cental Budget'!F54+'Local Government'!F40</f>
        <v>119090037.74439999</v>
      </c>
      <c r="G55" s="268">
        <f t="shared" si="2"/>
        <v>2.6877166657879887</v>
      </c>
      <c r="H55" s="198">
        <f t="shared" si="3"/>
        <v>-9026274.8343999982</v>
      </c>
      <c r="I55" s="274">
        <f t="shared" si="4"/>
        <v>-7.5793702020423126</v>
      </c>
      <c r="J55" s="94">
        <f>+'Cental Budget'!J54+'Local Government'!J40</f>
        <v>83923762.689999998</v>
      </c>
      <c r="K55" s="268">
        <f t="shared" si="1"/>
        <v>1.9809225012982108</v>
      </c>
      <c r="L55" s="198">
        <f t="shared" si="5"/>
        <v>26140000.219999999</v>
      </c>
      <c r="M55" s="274">
        <f t="shared" si="6"/>
        <v>31.147316781489735</v>
      </c>
      <c r="BF55" s="154"/>
      <c r="BG55" s="154"/>
      <c r="BH55" s="140"/>
      <c r="BI55" s="140"/>
      <c r="BJ55" s="140"/>
      <c r="BK55" s="139"/>
    </row>
    <row r="56" spans="1:63" ht="13.5" customHeight="1" thickTop="1" thickBot="1">
      <c r="B56" s="80">
        <v>44</v>
      </c>
      <c r="C56" s="171" t="s">
        <v>130</v>
      </c>
      <c r="D56" s="170">
        <f>'Cental Budget'!D57+'Local Government'!D41</f>
        <v>97903339.519999996</v>
      </c>
      <c r="E56" s="265">
        <f t="shared" si="0"/>
        <v>2.2095587695502039</v>
      </c>
      <c r="F56" s="170">
        <f>+IF(ISNUMBER(VLOOKUP($B56,'Cental Budget'!$B$16:$K$77,'Public Expenditure'!F$1,FALSE)),VLOOKUP($B56,'Cental Budget'!$B$16:$K$77,'Public Expenditure'!F$1,FALSE),0)+IF(ISNUMBER(VLOOKUP('Public Expenditure'!$B56,'Local Government'!$B$16:$M$60,'Public Expenditure'!F$1,FALSE)),VLOOKUP('Public Expenditure'!$B56,'Local Government'!$B$16:$M$60,'Public Expenditure'!F$1,FALSE),0)</f>
        <v>144446393.84965998</v>
      </c>
      <c r="G56" s="265">
        <f t="shared" si="2"/>
        <v>3.2599786465426881</v>
      </c>
      <c r="H56" s="170">
        <f t="shared" si="3"/>
        <v>-46543054.329659984</v>
      </c>
      <c r="I56" s="265">
        <f t="shared" si="4"/>
        <v>-32.221679675923269</v>
      </c>
      <c r="J56" s="170">
        <f>+IF(ISNUMBER(VLOOKUP($B56,'Cental Budget'!$B$16:$K$77,'Public Expenditure'!J$1,FALSE)),VLOOKUP($B56,'Cental Budget'!$B$16:$K$77,'Public Expenditure'!J$1,FALSE),0)+IF(ISNUMBER(VLOOKUP('Public Expenditure'!$B56,'Local Government'!$B$16:$M$60,'Public Expenditure'!J$1,FALSE)),VLOOKUP('Public Expenditure'!$B56,'Local Government'!$B$16:$M$60,'Public Expenditure'!J$1,FALSE),0)</f>
        <v>52147861.760000005</v>
      </c>
      <c r="K56" s="265">
        <f t="shared" si="1"/>
        <v>1.2308894339800784</v>
      </c>
      <c r="L56" s="170">
        <f t="shared" si="5"/>
        <v>45755477.75999999</v>
      </c>
      <c r="M56" s="265">
        <f t="shared" si="6"/>
        <v>87.741809952976269</v>
      </c>
      <c r="BF56" s="154"/>
      <c r="BG56" s="154"/>
      <c r="BH56" s="140"/>
      <c r="BI56" s="140"/>
      <c r="BJ56" s="140"/>
      <c r="BK56" s="139"/>
    </row>
    <row r="57" spans="1:63" ht="13.5" customHeight="1" thickTop="1">
      <c r="B57" s="80">
        <v>451</v>
      </c>
      <c r="C57" s="93" t="s">
        <v>110</v>
      </c>
      <c r="D57" s="149">
        <f>'Cental Budget'!D58+'Local Government'!D42</f>
        <v>1553714.92</v>
      </c>
      <c r="E57" s="268">
        <f t="shared" si="0"/>
        <v>3.5065447651718609E-2</v>
      </c>
      <c r="F57" s="149">
        <f>+IF(ISNUMBER(VLOOKUP($B57,'Cental Budget'!$B$16:$K$77,'Public Expenditure'!F$1,FALSE)),VLOOKUP($B57,'Cental Budget'!$B$16:$K$77,'Public Expenditure'!F$1,FALSE),0)+IF(ISNUMBER(VLOOKUP('Public Expenditure'!$B57,'Local Government'!$B$16:$M$60,'Public Expenditure'!F$1,FALSE)),VLOOKUP('Public Expenditure'!$B57,'Local Government'!$B$16:$M$60,'Public Expenditure'!F$1,FALSE),0)</f>
        <v>2154299.4412000002</v>
      </c>
      <c r="G57" s="268">
        <f t="shared" si="2"/>
        <v>4.861990659234016E-2</v>
      </c>
      <c r="H57" s="200">
        <f t="shared" si="3"/>
        <v>-600584.52120000031</v>
      </c>
      <c r="I57" s="274">
        <f t="shared" si="4"/>
        <v>-27.878414194150253</v>
      </c>
      <c r="J57" s="149">
        <f>+IF(ISNUMBER(VLOOKUP($B57,'Cental Budget'!$B$16:$K$77,'Public Expenditure'!J$1,FALSE)),VLOOKUP($B57,'Cental Budget'!$B$16:$K$77,'Public Expenditure'!J$1,FALSE),0)+IF(ISNUMBER(VLOOKUP('Public Expenditure'!$B57,'Local Government'!$B$16:$M$60,'Public Expenditure'!J$1,FALSE)),VLOOKUP('Public Expenditure'!$B57,'Local Government'!$B$16:$M$60,'Public Expenditure'!J$1,FALSE),0)</f>
        <v>1350714.8499999999</v>
      </c>
      <c r="K57" s="268">
        <f t="shared" si="1"/>
        <v>3.188204810461219E-2</v>
      </c>
      <c r="L57" s="200">
        <f t="shared" si="5"/>
        <v>203000.07000000007</v>
      </c>
      <c r="M57" s="274">
        <f t="shared" si="6"/>
        <v>15.029084043904618</v>
      </c>
      <c r="BF57" s="154"/>
      <c r="BG57" s="154"/>
      <c r="BH57" s="140"/>
      <c r="BI57" s="140"/>
      <c r="BJ57" s="140"/>
      <c r="BK57" s="139"/>
    </row>
    <row r="58" spans="1:63" ht="13.5" customHeight="1" thickBot="1">
      <c r="B58" s="80">
        <v>47</v>
      </c>
      <c r="C58" s="93" t="s">
        <v>117</v>
      </c>
      <c r="D58" s="149">
        <f>'Cental Budget'!D59+'Local Government'!D43</f>
        <v>10718046.710000001</v>
      </c>
      <c r="E58" s="268">
        <f t="shared" si="0"/>
        <v>0.24189322056467083</v>
      </c>
      <c r="F58" s="149">
        <f>+IF(ISNUMBER(VLOOKUP($B58,'Cental Budget'!$B$16:$K$77,'Public Expenditure'!F$1,FALSE)),VLOOKUP($B58,'Cental Budget'!$B$16:$K$77,'Public Expenditure'!F$1,FALSE),0)+IF(ISNUMBER(VLOOKUP('Public Expenditure'!$B58,'Local Government'!$B$16:$M$60,'Public Expenditure'!F$1,FALSE)),VLOOKUP('Public Expenditure'!$B58,'Local Government'!$B$16:$M$60,'Public Expenditure'!F$1,FALSE),0)</f>
        <v>6394529.1477600001</v>
      </c>
      <c r="G58" s="268">
        <f t="shared" si="2"/>
        <v>0.14431671100137669</v>
      </c>
      <c r="H58" s="200">
        <f t="shared" si="3"/>
        <v>4323517.5622400008</v>
      </c>
      <c r="I58" s="274">
        <f t="shared" si="4"/>
        <v>67.612758693179586</v>
      </c>
      <c r="J58" s="149">
        <f>+IF(ISNUMBER(VLOOKUP($B58,'Cental Budget'!$B$16:$K$77,'Public Expenditure'!J$1,FALSE)),VLOOKUP($B58,'Cental Budget'!$B$16:$K$77,'Public Expenditure'!J$1,FALSE),0)+IF(ISNUMBER(VLOOKUP('Public Expenditure'!$B58,'Local Government'!$B$16:$M$60,'Public Expenditure'!J$1,FALSE)),VLOOKUP('Public Expenditure'!$B58,'Local Government'!$B$16:$M$60,'Public Expenditure'!J$1,FALSE),0)</f>
        <v>7204023.1099999994</v>
      </c>
      <c r="K58" s="268">
        <f t="shared" si="1"/>
        <v>0.17004256030779397</v>
      </c>
      <c r="L58" s="200">
        <f t="shared" si="5"/>
        <v>3514023.6000000015</v>
      </c>
      <c r="M58" s="274">
        <f t="shared" si="6"/>
        <v>48.778627529971942</v>
      </c>
      <c r="BF58" s="154"/>
      <c r="BG58" s="154"/>
      <c r="BH58" s="140"/>
      <c r="BI58" s="140"/>
      <c r="BJ58" s="140"/>
      <c r="BK58" s="139"/>
    </row>
    <row r="59" spans="1:63" ht="13.5" customHeight="1" thickTop="1" thickBot="1">
      <c r="B59" s="80">
        <v>462</v>
      </c>
      <c r="C59" s="143" t="s">
        <v>112</v>
      </c>
      <c r="D59" s="156">
        <f>'Cental Budget'!D60+'Local Government'!D44</f>
        <v>0</v>
      </c>
      <c r="E59" s="269">
        <f t="shared" si="0"/>
        <v>0</v>
      </c>
      <c r="F59" s="156">
        <f>+IF(ISNUMBER(VLOOKUP($B59,'Cental Budget'!$B$16:$K$77,'Public Expenditure'!F$1,FALSE)),VLOOKUP($B59,'Cental Budget'!$B$16:$K$77,'Public Expenditure'!F$1,FALSE),0)+IF(ISNUMBER(VLOOKUP('Public Expenditure'!$B59,'Local Government'!$B$16:$M$60,'Public Expenditure'!F$1,FALSE)),VLOOKUP('Public Expenditure'!$B59,'Local Government'!$B$16:$M$60,'Public Expenditure'!F$1,FALSE),0)</f>
        <v>0</v>
      </c>
      <c r="G59" s="269">
        <f t="shared" si="2"/>
        <v>0</v>
      </c>
      <c r="H59" s="202">
        <f t="shared" si="3"/>
        <v>0</v>
      </c>
      <c r="I59" s="249" t="e">
        <f t="shared" si="4"/>
        <v>#DIV/0!</v>
      </c>
      <c r="J59" s="156">
        <f>+IF(ISNUMBER(VLOOKUP($B59,'Cental Budget'!$B$16:$K$77,'Public Expenditure'!J$1,FALSE)),VLOOKUP($B59,'Cental Budget'!$B$16:$K$77,'Public Expenditure'!J$1,FALSE),0)+IF(ISNUMBER(VLOOKUP('Public Expenditure'!$B59,'Local Government'!$B$16:$M$60,'Public Expenditure'!J$1,FALSE)),VLOOKUP('Public Expenditure'!$B59,'Local Government'!$B$16:$M$60,'Public Expenditure'!J$1,FALSE),0)</f>
        <v>0</v>
      </c>
      <c r="K59" s="269">
        <f t="shared" si="1"/>
        <v>0</v>
      </c>
      <c r="L59" s="202">
        <f t="shared" si="5"/>
        <v>0</v>
      </c>
      <c r="M59" s="275" t="e">
        <f t="shared" si="6"/>
        <v>#DIV/0!</v>
      </c>
      <c r="BF59" s="154"/>
      <c r="BG59" s="154"/>
      <c r="BH59" s="140"/>
      <c r="BI59" s="140"/>
      <c r="BJ59" s="140"/>
      <c r="BK59" s="139"/>
    </row>
    <row r="60" spans="1:63" ht="13.5" customHeight="1" thickTop="1" thickBot="1">
      <c r="B60" s="283" t="s">
        <v>447</v>
      </c>
      <c r="C60" s="204" t="s">
        <v>115</v>
      </c>
      <c r="D60" s="205">
        <f>'Cental Budget'!D61+'Local Government'!D45</f>
        <v>39366519.640000001</v>
      </c>
      <c r="E60" s="270">
        <f>D60/D$11*100</f>
        <v>0.88845425624590935</v>
      </c>
      <c r="F60" s="205">
        <f>'Cental Budget'!F61+'Local Government'!F45</f>
        <v>0</v>
      </c>
      <c r="G60" s="270">
        <f>F60/D$11*100</f>
        <v>0</v>
      </c>
      <c r="H60" s="206">
        <f>+D60-F60</f>
        <v>39366519.640000001</v>
      </c>
      <c r="I60" s="249" t="e">
        <f t="shared" si="4"/>
        <v>#DIV/0!</v>
      </c>
      <c r="J60" s="205">
        <f>'Cental Budget'!J61+'Local Government'!J45</f>
        <v>36202869.859999999</v>
      </c>
      <c r="K60" s="270">
        <f>J60/J$11*100</f>
        <v>0.85452650380021711</v>
      </c>
      <c r="L60" s="206">
        <f>+D60-J60</f>
        <v>3163649.7800000012</v>
      </c>
      <c r="M60" s="276">
        <f>+D60/J60*100-100</f>
        <v>8.7386712496388697</v>
      </c>
      <c r="BF60" s="154"/>
      <c r="BG60" s="154"/>
      <c r="BH60" s="140"/>
      <c r="BI60" s="140"/>
      <c r="BJ60" s="140"/>
      <c r="BK60" s="139"/>
    </row>
    <row r="61" spans="1:63" ht="13.5" customHeight="1" thickTop="1" thickBot="1">
      <c r="B61" s="80">
        <v>990</v>
      </c>
      <c r="C61" s="142" t="s">
        <v>151</v>
      </c>
      <c r="D61" s="149">
        <f>'Cental Budget'!D62+'Local Government'!D46</f>
        <v>0</v>
      </c>
      <c r="E61" s="268">
        <f t="shared" si="0"/>
        <v>0</v>
      </c>
      <c r="F61" s="149">
        <f>+IF(ISNUMBER(VLOOKUP($B61,'Cental Budget'!$B$16:$K$77,'Public Expenditure'!F$1,FALSE)),VLOOKUP($B61,'Cental Budget'!$B$16:$K$77,'Public Expenditure'!F$1,FALSE),0)+IF(ISNUMBER(VLOOKUP('Public Expenditure'!$B61,'Local Government'!$B$16:$M$60,'Public Expenditure'!F$1,FALSE)),VLOOKUP('Public Expenditure'!$B61,'Local Government'!$B$16:$M$60,'Public Expenditure'!F$1,FALSE),0)</f>
        <v>0</v>
      </c>
      <c r="G61" s="268">
        <f t="shared" si="2"/>
        <v>0</v>
      </c>
      <c r="H61" s="200">
        <f t="shared" si="3"/>
        <v>0</v>
      </c>
      <c r="I61" s="249" t="e">
        <f t="shared" si="4"/>
        <v>#DIV/0!</v>
      </c>
      <c r="J61" s="149">
        <f>+IF(ISNUMBER(VLOOKUP($B61,'Cental Budget'!$B$16:$K$77,'Public Expenditure'!J$1,FALSE)),VLOOKUP($B61,'Cental Budget'!$B$16:$K$77,'Public Expenditure'!J$1,FALSE),0)+IF(ISNUMBER(VLOOKUP('Public Expenditure'!$B61,'Local Government'!$B$16:$M$60,'Public Expenditure'!J$1,FALSE)),VLOOKUP('Public Expenditure'!$B61,'Local Government'!$B$16:$M$60,'Public Expenditure'!J$1,FALSE),0)</f>
        <v>0</v>
      </c>
      <c r="K61" s="268">
        <f t="shared" si="1"/>
        <v>0</v>
      </c>
      <c r="L61" s="200">
        <f t="shared" si="5"/>
        <v>0</v>
      </c>
      <c r="M61" s="274" t="e">
        <f t="shared" si="6"/>
        <v>#DIV/0!</v>
      </c>
      <c r="BF61" s="154"/>
      <c r="BG61" s="154"/>
      <c r="BH61" s="140"/>
      <c r="BI61" s="140"/>
      <c r="BJ61" s="140"/>
      <c r="BK61" s="139"/>
    </row>
    <row r="62" spans="1:63" ht="13.5" customHeight="1" thickTop="1" thickBot="1">
      <c r="C62" s="171" t="s">
        <v>131</v>
      </c>
      <c r="D62" s="166">
        <f>+D16-D36</f>
        <v>-96365703.477999806</v>
      </c>
      <c r="E62" s="265">
        <f t="shared" si="0"/>
        <v>-2.1748562025322125</v>
      </c>
      <c r="F62" s="166">
        <f>+F16-F36</f>
        <v>-106545714.33217108</v>
      </c>
      <c r="G62" s="265">
        <f t="shared" si="2"/>
        <v>-2.4046066111212414</v>
      </c>
      <c r="H62" s="166">
        <f>+D62-F62</f>
        <v>10180010.854171276</v>
      </c>
      <c r="I62" s="265">
        <f t="shared" si="4"/>
        <v>-9.5545943992019033</v>
      </c>
      <c r="J62" s="166">
        <f>+J16-J36-J61</f>
        <v>-111532809.66999996</v>
      </c>
      <c r="K62" s="265">
        <f>J62/J$11*100</f>
        <v>-2.6326018427512619</v>
      </c>
      <c r="L62" s="166">
        <f t="shared" si="5"/>
        <v>15167106.192000151</v>
      </c>
      <c r="M62" s="265">
        <f t="shared" si="6"/>
        <v>-13.59878428318639</v>
      </c>
      <c r="BF62" s="154"/>
      <c r="BG62" s="154"/>
      <c r="BH62" s="140"/>
      <c r="BI62" s="140"/>
      <c r="BJ62" s="140"/>
      <c r="BK62" s="139"/>
    </row>
    <row r="63" spans="1:63" ht="13.5" customHeight="1" thickTop="1" thickBot="1">
      <c r="C63" s="171" t="s">
        <v>132</v>
      </c>
      <c r="D63" s="166">
        <f>+D62+D44</f>
        <v>-36467870.037999801</v>
      </c>
      <c r="E63" s="265">
        <f t="shared" si="0"/>
        <v>-0.82303527585817338</v>
      </c>
      <c r="F63" s="166">
        <f>+F62+F44</f>
        <v>-62255425.230011083</v>
      </c>
      <c r="G63" s="265">
        <f t="shared" si="2"/>
        <v>-1.4050288932273598</v>
      </c>
      <c r="H63" s="166">
        <f t="shared" si="3"/>
        <v>25787555.192011282</v>
      </c>
      <c r="I63" s="265">
        <f t="shared" si="4"/>
        <v>-41.422181435169179</v>
      </c>
      <c r="J63" s="166">
        <f>+J62+J44</f>
        <v>-28900876.699999943</v>
      </c>
      <c r="K63" s="265">
        <f t="shared" si="1"/>
        <v>-0.68217147476750095</v>
      </c>
      <c r="L63" s="166">
        <f t="shared" si="5"/>
        <v>-7566993.337999858</v>
      </c>
      <c r="M63" s="265">
        <f t="shared" si="6"/>
        <v>26.18257368642341</v>
      </c>
      <c r="BF63" s="154"/>
      <c r="BG63" s="154"/>
      <c r="BH63" s="140"/>
      <c r="BI63" s="140"/>
      <c r="BJ63" s="140"/>
      <c r="BK63" s="139"/>
    </row>
    <row r="64" spans="1:63" ht="13.5" customHeight="1" thickTop="1" thickBot="1">
      <c r="C64" s="171" t="s">
        <v>0</v>
      </c>
      <c r="D64" s="166">
        <f>+SUM(D65:D66)</f>
        <v>154192768.66</v>
      </c>
      <c r="E64" s="265">
        <f t="shared" si="0"/>
        <v>3.4799424193730397</v>
      </c>
      <c r="F64" s="166">
        <f>+SUM(F65:F67)</f>
        <v>122509757.43176645</v>
      </c>
      <c r="G64" s="265">
        <f t="shared" si="2"/>
        <v>2.764895561438228</v>
      </c>
      <c r="H64" s="166">
        <f t="shared" si="3"/>
        <v>31683011.228233546</v>
      </c>
      <c r="I64" s="265">
        <f t="shared" si="4"/>
        <v>25.861622692282154</v>
      </c>
      <c r="J64" s="166">
        <f>+SUM(J65:J66)</f>
        <v>208126071.53000003</v>
      </c>
      <c r="K64" s="265">
        <f t="shared" si="1"/>
        <v>4.9125730899778137</v>
      </c>
      <c r="L64" s="166">
        <f t="shared" si="5"/>
        <v>-53933302.870000035</v>
      </c>
      <c r="M64" s="265">
        <f t="shared" si="6"/>
        <v>-25.913765860047917</v>
      </c>
      <c r="BF64" s="154"/>
      <c r="BG64" s="154"/>
      <c r="BH64" s="140"/>
      <c r="BI64" s="140"/>
      <c r="BJ64" s="140"/>
      <c r="BK64" s="139"/>
    </row>
    <row r="65" spans="2:63" ht="13.5" customHeight="1" thickTop="1">
      <c r="B65" s="80">
        <v>4611</v>
      </c>
      <c r="C65" s="97" t="s">
        <v>134</v>
      </c>
      <c r="D65" s="151">
        <f>'Cental Budget'!D66+'Local Government'!D50</f>
        <v>95599322.260000005</v>
      </c>
      <c r="E65" s="267">
        <f t="shared" si="0"/>
        <v>2.157559914690018</v>
      </c>
      <c r="F65" s="151">
        <f>+IF(ISNUMBER(VLOOKUP($B65,'Cental Budget'!$B$16:$K$77,'Public Expenditure'!F$1,FALSE)),VLOOKUP($B65,'Cental Budget'!$B$16:$K$77,'Public Expenditure'!F$1,FALSE),0)+IF(ISNUMBER(VLOOKUP('Public Expenditure'!$B65,'Local Government'!$B$16:$M$60,'Public Expenditure'!F$1,FALSE)),VLOOKUP('Public Expenditure'!$B65,'Local Government'!$B$16:$M$60,'Public Expenditure'!F$1,FALSE),0)</f>
        <v>30468492.480000004</v>
      </c>
      <c r="G65" s="267">
        <f t="shared" si="2"/>
        <v>0.68763665350154612</v>
      </c>
      <c r="H65" s="201">
        <f t="shared" si="3"/>
        <v>65130829.780000001</v>
      </c>
      <c r="I65" s="273">
        <f t="shared" si="4"/>
        <v>213.7645301051665</v>
      </c>
      <c r="J65" s="151">
        <f>+IF(ISNUMBER(VLOOKUP($B65,'Cental Budget'!$B$16:$K$77,'Public Expenditure'!J$1,FALSE)),VLOOKUP($B65,'Cental Budget'!$B$16:$K$77,'Public Expenditure'!J$1,FALSE),0)+IF(ISNUMBER(VLOOKUP('Public Expenditure'!$B65,'Local Government'!$B$16:$M$60,'Public Expenditure'!J$1,FALSE)),VLOOKUP('Public Expenditure'!$B65,'Local Government'!$B$16:$M$60,'Public Expenditure'!J$1,FALSE),0)</f>
        <v>113711325.27</v>
      </c>
      <c r="K65" s="267">
        <f t="shared" si="1"/>
        <v>2.6840231617334656</v>
      </c>
      <c r="L65" s="201">
        <f t="shared" si="5"/>
        <v>-18112003.00999999</v>
      </c>
      <c r="M65" s="273">
        <f t="shared" si="6"/>
        <v>-15.928055509857302</v>
      </c>
      <c r="BF65" s="154"/>
      <c r="BG65" s="154"/>
      <c r="BH65" s="140"/>
      <c r="BI65" s="140"/>
      <c r="BJ65" s="140"/>
      <c r="BK65" s="139"/>
    </row>
    <row r="66" spans="2:63" ht="13.5" customHeight="1">
      <c r="B66" s="80">
        <v>4612</v>
      </c>
      <c r="C66" s="97" t="s">
        <v>136</v>
      </c>
      <c r="D66" s="151">
        <f>'Cental Budget'!D67+'Local Government'!D51</f>
        <v>58593446.399999999</v>
      </c>
      <c r="E66" s="267">
        <f t="shared" si="0"/>
        <v>1.3223825046830215</v>
      </c>
      <c r="F66" s="151">
        <f>+IF(ISNUMBER(VLOOKUP($B66,'Cental Budget'!$B$16:$K$77,'Public Expenditure'!F$1,FALSE)),VLOOKUP($B66,'Cental Budget'!$B$16:$K$77,'Public Expenditure'!F$1,FALSE),0)+IF(ISNUMBER(VLOOKUP('Public Expenditure'!$B66,'Local Government'!$B$16:$M$60,'Public Expenditure'!F$1,FALSE)),VLOOKUP('Public Expenditure'!$B66,'Local Government'!$B$16:$M$60,'Public Expenditure'!F$1,FALSE),0)</f>
        <v>60826517.451766439</v>
      </c>
      <c r="G66" s="267">
        <f t="shared" si="2"/>
        <v>1.3727801902946679</v>
      </c>
      <c r="H66" s="201">
        <f t="shared" si="3"/>
        <v>-2233071.0517664403</v>
      </c>
      <c r="I66" s="273">
        <f t="shared" si="4"/>
        <v>-3.6712130585762992</v>
      </c>
      <c r="J66" s="151">
        <f>+IF(ISNUMBER(VLOOKUP($B66,'Cental Budget'!$B$16:$K$77,'Public Expenditure'!J$1,FALSE)),VLOOKUP($B66,'Cental Budget'!$B$16:$K$77,'Public Expenditure'!J$1,FALSE),0)+IF(ISNUMBER(VLOOKUP('Public Expenditure'!$B66,'Local Government'!$B$16:$M$60,'Public Expenditure'!J$1,FALSE)),VLOOKUP('Public Expenditure'!$B66,'Local Government'!$B$16:$M$60,'Public Expenditure'!J$1,FALSE),0)</f>
        <v>94414746.26000002</v>
      </c>
      <c r="K66" s="267">
        <f t="shared" si="1"/>
        <v>2.2285499282443477</v>
      </c>
      <c r="L66" s="201">
        <f t="shared" si="5"/>
        <v>-35821299.860000022</v>
      </c>
      <c r="M66" s="273">
        <f t="shared" si="6"/>
        <v>-37.940365545605623</v>
      </c>
      <c r="BF66" s="154"/>
      <c r="BG66" s="154"/>
      <c r="BH66" s="140"/>
      <c r="BI66" s="140"/>
      <c r="BJ66" s="140"/>
      <c r="BK66" s="139"/>
    </row>
    <row r="67" spans="2:63" ht="13.5" customHeight="1" thickBot="1">
      <c r="B67" s="283" t="s">
        <v>447</v>
      </c>
      <c r="C67" s="290" t="s">
        <v>115</v>
      </c>
      <c r="D67" s="151">
        <f>'Cental Budget'!D68+'Local Government'!D52</f>
        <v>0</v>
      </c>
      <c r="E67" s="267">
        <f t="shared" si="0"/>
        <v>0</v>
      </c>
      <c r="F67" s="151">
        <f>'Cental Budget'!F68+'Local Government'!F52</f>
        <v>31214747.5</v>
      </c>
      <c r="G67" s="267">
        <f t="shared" si="2"/>
        <v>0.70447871764201397</v>
      </c>
      <c r="H67" s="201">
        <f t="shared" si="3"/>
        <v>-31214747.5</v>
      </c>
      <c r="I67" s="273">
        <f t="shared" si="4"/>
        <v>-100</v>
      </c>
      <c r="J67" s="151">
        <f>'Cental Budget'!J68+'Local Government'!J52</f>
        <v>0</v>
      </c>
      <c r="K67" s="267">
        <f t="shared" si="1"/>
        <v>0</v>
      </c>
      <c r="L67" s="201">
        <f t="shared" si="5"/>
        <v>0</v>
      </c>
      <c r="M67" s="273" t="e">
        <f t="shared" si="6"/>
        <v>#DIV/0!</v>
      </c>
      <c r="BF67" s="154"/>
      <c r="BG67" s="154"/>
      <c r="BH67" s="140"/>
      <c r="BI67" s="140"/>
      <c r="BJ67" s="140"/>
      <c r="BK67" s="139"/>
    </row>
    <row r="68" spans="2:63" ht="13.5" customHeight="1" thickTop="1" thickBot="1">
      <c r="C68" s="171" t="s">
        <v>469</v>
      </c>
      <c r="D68" s="166">
        <f>+'Cental Budget'!D69+'Local Government'!D53</f>
        <v>68939595.359999999</v>
      </c>
      <c r="E68" s="265">
        <f t="shared" si="0"/>
        <v>1.5558824473583244</v>
      </c>
      <c r="F68" s="166">
        <f>+'Cental Budget'!F69+'Local Government'!F53</f>
        <v>70000000</v>
      </c>
      <c r="G68" s="265">
        <f t="shared" si="2"/>
        <v>1.5798144846419462</v>
      </c>
      <c r="H68" s="166">
        <f t="shared" si="3"/>
        <v>-1060404.6400000006</v>
      </c>
      <c r="I68" s="265">
        <f t="shared" si="4"/>
        <v>-1.5148637714285798</v>
      </c>
      <c r="J68" s="166">
        <f>+'Cental Budget'!J69+'Local Government'!J53</f>
        <v>0</v>
      </c>
      <c r="K68" s="265">
        <f t="shared" si="1"/>
        <v>0</v>
      </c>
      <c r="L68" s="166">
        <f t="shared" si="5"/>
        <v>68939595.359999999</v>
      </c>
      <c r="M68" s="265" t="e">
        <f t="shared" si="6"/>
        <v>#DIV/0!</v>
      </c>
      <c r="BF68" s="154"/>
      <c r="BG68" s="154"/>
      <c r="BH68" s="140"/>
      <c r="BI68" s="140"/>
      <c r="BJ68" s="140"/>
      <c r="BK68" s="139"/>
    </row>
    <row r="69" spans="2:63" ht="13.5" customHeight="1" thickTop="1" thickBot="1">
      <c r="C69" s="171" t="s">
        <v>140</v>
      </c>
      <c r="D69" s="166">
        <f>+D62-D64-D68</f>
        <v>-319498067.49799979</v>
      </c>
      <c r="E69" s="265">
        <f t="shared" si="0"/>
        <v>-7.2106810692635763</v>
      </c>
      <c r="F69" s="166">
        <f>+F62-F64-F68</f>
        <v>-299055471.76393753</v>
      </c>
      <c r="G69" s="265">
        <f t="shared" si="2"/>
        <v>-6.7493166572014154</v>
      </c>
      <c r="H69" s="166">
        <f t="shared" si="3"/>
        <v>-20442595.734062254</v>
      </c>
      <c r="I69" s="265">
        <f t="shared" si="4"/>
        <v>6.8357203476279551</v>
      </c>
      <c r="J69" s="166">
        <f>+J62-J64-J68</f>
        <v>-319658881.19999999</v>
      </c>
      <c r="K69" s="265">
        <f t="shared" si="1"/>
        <v>-7.5451749327290747</v>
      </c>
      <c r="L69" s="166">
        <f t="shared" si="5"/>
        <v>160813.70200020075</v>
      </c>
      <c r="M69" s="265">
        <f t="shared" si="6"/>
        <v>-5.0307909918373639E-2</v>
      </c>
      <c r="BF69" s="154"/>
      <c r="BG69" s="154"/>
      <c r="BH69" s="140"/>
      <c r="BI69" s="140"/>
      <c r="BJ69" s="140"/>
      <c r="BK69" s="139"/>
    </row>
    <row r="70" spans="2:63" ht="13.5" customHeight="1" thickTop="1" thickBot="1">
      <c r="C70" s="171" t="s">
        <v>120</v>
      </c>
      <c r="D70" s="166">
        <f>+SUM(D71:D75)</f>
        <v>319498067.49799979</v>
      </c>
      <c r="E70" s="265">
        <f t="shared" si="0"/>
        <v>7.2106810692635763</v>
      </c>
      <c r="F70" s="166">
        <f>+SUM(F71:F75)</f>
        <v>299055471.76393753</v>
      </c>
      <c r="G70" s="265">
        <f t="shared" si="2"/>
        <v>6.7493166572014154</v>
      </c>
      <c r="H70" s="166">
        <f t="shared" si="3"/>
        <v>20442595.734062254</v>
      </c>
      <c r="I70" s="265">
        <f t="shared" si="4"/>
        <v>6.8357203476279551</v>
      </c>
      <c r="J70" s="166">
        <f>+SUM(J71:J75)</f>
        <v>319658881.19999999</v>
      </c>
      <c r="K70" s="265">
        <f t="shared" si="1"/>
        <v>7.5451749327290747</v>
      </c>
      <c r="L70" s="166">
        <f t="shared" si="5"/>
        <v>-160813.70200020075</v>
      </c>
      <c r="M70" s="265">
        <f t="shared" si="6"/>
        <v>-5.0307909918373639E-2</v>
      </c>
      <c r="BF70" s="154"/>
      <c r="BG70" s="154"/>
      <c r="BH70" s="140"/>
      <c r="BI70" s="140"/>
      <c r="BJ70" s="140"/>
      <c r="BK70" s="139"/>
    </row>
    <row r="71" spans="2:63" ht="13.5" customHeight="1" thickTop="1">
      <c r="B71" s="80">
        <v>7511</v>
      </c>
      <c r="C71" s="97" t="s">
        <v>143</v>
      </c>
      <c r="D71" s="151">
        <f>'Cental Budget'!D72+'Local Government'!D56</f>
        <v>123833423.13</v>
      </c>
      <c r="E71" s="267">
        <f t="shared" si="0"/>
        <v>2.7947690791938431</v>
      </c>
      <c r="F71" s="151">
        <f>+IF(ISNUMBER(VLOOKUP($B71,'Cental Budget'!$B$16:$K$77,'Public Expenditure'!F$1,FALSE)),VLOOKUP($B71,'Cental Budget'!$B$16:$K$77,'Public Expenditure'!F$1,FALSE),0)+IF(ISNUMBER(VLOOKUP('Public Expenditure'!$B71,'Local Government'!$B$16:$M$60,'Public Expenditure'!F$1,FALSE)),VLOOKUP('Public Expenditure'!$B71,'Local Government'!$B$16:$M$60,'Public Expenditure'!F$1,FALSE),0)</f>
        <v>9000000</v>
      </c>
      <c r="G71" s="267">
        <f t="shared" si="2"/>
        <v>0.20311900516825024</v>
      </c>
      <c r="H71" s="201">
        <f t="shared" si="3"/>
        <v>114833423.13</v>
      </c>
      <c r="I71" s="273">
        <f t="shared" si="4"/>
        <v>1275.9269236666667</v>
      </c>
      <c r="J71" s="151">
        <f>+IF(ISNUMBER(VLOOKUP($B71,'Cental Budget'!$B$16:$K$77,'Public Expenditure'!J$1,FALSE)),VLOOKUP($B71,'Cental Budget'!$B$16:$K$77,'Public Expenditure'!J$1,FALSE),0)+IF(ISNUMBER(VLOOKUP('Public Expenditure'!$B71,'Local Government'!$B$16:$M$60,'Public Expenditure'!J$1,FALSE)),VLOOKUP('Public Expenditure'!$B71,'Local Government'!$B$16:$M$60,'Public Expenditure'!J$1,FALSE),0)</f>
        <v>192983412.91499999</v>
      </c>
      <c r="K71" s="267">
        <f t="shared" si="1"/>
        <v>4.5551483008780629</v>
      </c>
      <c r="L71" s="201">
        <f t="shared" si="5"/>
        <v>-69149989.784999996</v>
      </c>
      <c r="M71" s="273">
        <f t="shared" si="6"/>
        <v>-35.832089784554327</v>
      </c>
      <c r="BF71" s="154"/>
      <c r="BG71" s="154"/>
      <c r="BH71" s="140"/>
      <c r="BI71" s="140"/>
      <c r="BJ71" s="140"/>
      <c r="BK71" s="139"/>
    </row>
    <row r="72" spans="2:63" ht="13.5" customHeight="1">
      <c r="B72" s="80">
        <v>7512</v>
      </c>
      <c r="C72" s="97" t="s">
        <v>121</v>
      </c>
      <c r="D72" s="151">
        <f>'Cental Budget'!D73+'Local Government'!D57</f>
        <v>156026814.56</v>
      </c>
      <c r="E72" s="267">
        <f t="shared" si="0"/>
        <v>3.5213345947775845</v>
      </c>
      <c r="F72" s="151">
        <f>+IF(ISNUMBER(VLOOKUP($B72,'Cental Budget'!$B$16:$K$77,'Public Expenditure'!F$1,FALSE)),VLOOKUP($B72,'Cental Budget'!$B$16:$K$77,'Public Expenditure'!F$1,FALSE),0)+IF(ISNUMBER(VLOOKUP('Public Expenditure'!$B72,'Local Government'!$B$16:$M$60,'Public Expenditure'!F$1,FALSE)),VLOOKUP('Public Expenditure'!$B72,'Local Government'!$B$16:$M$60,'Public Expenditure'!F$1,FALSE),0)</f>
        <v>150349999.97999999</v>
      </c>
      <c r="G72" s="267">
        <f t="shared" si="2"/>
        <v>3.3932158247760045</v>
      </c>
      <c r="H72" s="201">
        <f t="shared" si="3"/>
        <v>5676814.5800000131</v>
      </c>
      <c r="I72" s="273">
        <f t="shared" si="4"/>
        <v>3.775733010146439</v>
      </c>
      <c r="J72" s="151">
        <f>+IF(ISNUMBER(VLOOKUP($B72,'Cental Budget'!$B$16:$K$77,'Public Expenditure'!J$1,FALSE)),VLOOKUP($B72,'Cental Budget'!$B$16:$K$77,'Public Expenditure'!J$1,FALSE),0)+IF(ISNUMBER(VLOOKUP('Public Expenditure'!$B72,'Local Government'!$B$16:$M$60,'Public Expenditure'!J$1,FALSE)),VLOOKUP('Public Expenditure'!$B72,'Local Government'!$B$16:$M$60,'Public Expenditure'!J$1,FALSE),0)</f>
        <v>106624933.94</v>
      </c>
      <c r="K72" s="267">
        <f t="shared" si="1"/>
        <v>2.5167571623471652</v>
      </c>
      <c r="L72" s="201">
        <f t="shared" si="5"/>
        <v>49401880.620000005</v>
      </c>
      <c r="M72" s="273">
        <f t="shared" si="6"/>
        <v>46.332390365465017</v>
      </c>
      <c r="BF72" s="154"/>
      <c r="BG72" s="154"/>
      <c r="BH72" s="140"/>
      <c r="BI72" s="140"/>
      <c r="BJ72" s="140"/>
      <c r="BK72" s="139"/>
    </row>
    <row r="73" spans="2:63" ht="13.5" customHeight="1">
      <c r="B73" s="80">
        <v>72</v>
      </c>
      <c r="C73" s="103" t="s">
        <v>328</v>
      </c>
      <c r="D73" s="151">
        <f>'Cental Budget'!D74+'Local Government'!D58</f>
        <v>15666750.430000002</v>
      </c>
      <c r="E73" s="271">
        <f t="shared" si="0"/>
        <v>0.35357941795120634</v>
      </c>
      <c r="F73" s="151">
        <f>+IF(ISNUMBER(VLOOKUP($B73,'Cental Budget'!$B$16:$K$77,'Public Expenditure'!F$1,FALSE)),VLOOKUP($B73,'Cental Budget'!$B$16:$K$77,'Public Expenditure'!F$1,FALSE),0)+IF(ISNUMBER(VLOOKUP('Public Expenditure'!$B73,'Local Government'!$B$16:$M$60,'Public Expenditure'!F$1,FALSE)),VLOOKUP('Public Expenditure'!$B73,'Local Government'!$B$16:$M$60,'Public Expenditure'!F$1,FALSE),0)</f>
        <v>1000000</v>
      </c>
      <c r="G73" s="271">
        <f t="shared" si="2"/>
        <v>2.2568778352027807E-2</v>
      </c>
      <c r="H73" s="201">
        <f t="shared" si="3"/>
        <v>14666750.430000002</v>
      </c>
      <c r="I73" s="273">
        <f t="shared" si="4"/>
        <v>1466.6750430000002</v>
      </c>
      <c r="J73" s="151">
        <f>+IF(ISNUMBER(VLOOKUP($B73,'Cental Budget'!$B$16:$K$77,'Public Expenditure'!J$1,FALSE)),VLOOKUP($B73,'Cental Budget'!$B$16:$K$77,'Public Expenditure'!J$1,FALSE),0)+IF(ISNUMBER(VLOOKUP('Public Expenditure'!$B73,'Local Government'!$B$16:$M$60,'Public Expenditure'!J$1,FALSE)),VLOOKUP('Public Expenditure'!$B73,'Local Government'!$B$16:$M$60,'Public Expenditure'!J$1,FALSE),0)</f>
        <v>4843411.91</v>
      </c>
      <c r="K73" s="271">
        <f t="shared" si="1"/>
        <v>0.1143230871453524</v>
      </c>
      <c r="L73" s="201">
        <f t="shared" si="5"/>
        <v>10823338.520000001</v>
      </c>
      <c r="M73" s="273">
        <f t="shared" si="6"/>
        <v>223.46516714082247</v>
      </c>
      <c r="BF73" s="154"/>
      <c r="BG73" s="154"/>
      <c r="BH73" s="140"/>
      <c r="BI73" s="140"/>
      <c r="BJ73" s="140"/>
      <c r="BK73" s="139"/>
    </row>
    <row r="74" spans="2:63" ht="13.5" customHeight="1" thickBot="1">
      <c r="C74" s="103" t="s">
        <v>465</v>
      </c>
      <c r="D74" s="151">
        <f>+'Local Government'!D60</f>
        <v>2515608.16</v>
      </c>
      <c r="E74" s="271">
        <f t="shared" si="0"/>
        <v>5.6774202983592509E-2</v>
      </c>
      <c r="F74" s="151">
        <f>+'Local Government'!F60</f>
        <v>1600000</v>
      </c>
      <c r="G74" s="271">
        <f t="shared" si="2"/>
        <v>3.6110045363244483E-2</v>
      </c>
      <c r="H74" s="201">
        <f t="shared" si="3"/>
        <v>915608.16000000015</v>
      </c>
      <c r="I74" s="273">
        <f t="shared" si="4"/>
        <v>57.225510000000014</v>
      </c>
      <c r="J74" s="151">
        <f>+'Local Government'!J60</f>
        <v>610785.23</v>
      </c>
      <c r="K74" s="271">
        <f t="shared" si="1"/>
        <v>1.4416872728131047E-2</v>
      </c>
      <c r="L74" s="201">
        <f t="shared" si="5"/>
        <v>1904822.9300000002</v>
      </c>
      <c r="M74" s="273">
        <f t="shared" si="6"/>
        <v>311.86460255432183</v>
      </c>
      <c r="BF74" s="154"/>
      <c r="BG74" s="154"/>
      <c r="BH74" s="140"/>
      <c r="BI74" s="140"/>
      <c r="BJ74" s="140"/>
      <c r="BK74" s="139"/>
    </row>
    <row r="75" spans="2:63" ht="13.5" customHeight="1" thickTop="1" thickBot="1">
      <c r="C75" s="143" t="s">
        <v>124</v>
      </c>
      <c r="D75" s="144">
        <f>-D69-SUM(D71:D74)</f>
        <v>21455471.217999756</v>
      </c>
      <c r="E75" s="269">
        <f t="shared" si="0"/>
        <v>0.48422377435734848</v>
      </c>
      <c r="F75" s="144">
        <f>-F69-SUM(F71:F74)</f>
        <v>137105471.78393754</v>
      </c>
      <c r="G75" s="269">
        <f t="shared" si="2"/>
        <v>3.0943030035418886</v>
      </c>
      <c r="H75" s="199">
        <f t="shared" si="3"/>
        <v>-115650000.56593779</v>
      </c>
      <c r="I75" s="275">
        <f t="shared" si="4"/>
        <v>-84.351119660773918</v>
      </c>
      <c r="J75" s="144">
        <f>-J69-SUM(J71:J74)</f>
        <v>14596337.204999924</v>
      </c>
      <c r="K75" s="269">
        <f t="shared" si="1"/>
        <v>0.34452950963036216</v>
      </c>
      <c r="L75" s="199">
        <f t="shared" si="5"/>
        <v>6859134.0129998326</v>
      </c>
      <c r="M75" s="275">
        <f t="shared" si="6"/>
        <v>46.992159174359585</v>
      </c>
      <c r="BF75" s="154"/>
      <c r="BG75" s="154"/>
      <c r="BH75" s="140"/>
      <c r="BI75" s="140"/>
      <c r="BJ75" s="140"/>
      <c r="BK75" s="139"/>
    </row>
    <row r="76" spans="2:63" ht="13.5" thickTop="1">
      <c r="C76" s="106" t="str">
        <f>IF(MasterSheet!$A$1=1,MasterSheet!C151,MasterSheet!B151)</f>
        <v>Izvor: Ministarstvo finansija Crne Gore</v>
      </c>
      <c r="D76" s="107"/>
      <c r="E76" s="107"/>
      <c r="F76" s="107"/>
      <c r="G76" s="107"/>
      <c r="H76" s="107"/>
      <c r="I76" s="107"/>
      <c r="J76" s="107"/>
      <c r="K76" s="107"/>
      <c r="L76" s="107"/>
      <c r="M76" s="107" t="s">
        <v>427</v>
      </c>
    </row>
    <row r="78" spans="2:63">
      <c r="D78" s="207"/>
    </row>
    <row r="81" spans="4:10">
      <c r="D81" s="102"/>
      <c r="F81" s="102"/>
      <c r="J81" s="102"/>
    </row>
  </sheetData>
  <sheetProtection formatCells="0" formatColumns="0" formatRows="0" sort="0" autoFilter="0"/>
  <mergeCells count="12">
    <mergeCell ref="H11:I11"/>
    <mergeCell ref="J11:K11"/>
    <mergeCell ref="L11:M11"/>
    <mergeCell ref="D11:G11"/>
    <mergeCell ref="C14:C15"/>
    <mergeCell ref="D14:E14"/>
    <mergeCell ref="F14:G14"/>
    <mergeCell ref="H14:I14"/>
    <mergeCell ref="J14:K14"/>
    <mergeCell ref="L14:M14"/>
    <mergeCell ref="D13:E13"/>
    <mergeCell ref="J13:K13"/>
  </mergeCells>
  <printOptions horizontalCentered="1" verticalCentered="1"/>
  <pageMargins left="0" right="0" top="0.19685039370078741" bottom="0.19685039370078741" header="0" footer="0"/>
  <pageSetup paperSize="9" scale="11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B2:G59"/>
  <sheetViews>
    <sheetView workbookViewId="0">
      <selection activeCell="F5" sqref="F5"/>
    </sheetView>
  </sheetViews>
  <sheetFormatPr defaultColWidth="9.140625" defaultRowHeight="15"/>
  <cols>
    <col min="1" max="2" width="9.140625" style="29"/>
    <col min="3" max="3" width="51.7109375" style="29" bestFit="1" customWidth="1"/>
    <col min="4" max="4" width="15.42578125" style="29" bestFit="1" customWidth="1"/>
    <col min="5" max="5" width="9.140625" style="29"/>
    <col min="6" max="6" width="15.5703125" style="29" bestFit="1" customWidth="1"/>
    <col min="7" max="7" width="15.42578125" style="29" bestFit="1" customWidth="1"/>
    <col min="8" max="16384" width="9.140625" style="29"/>
  </cols>
  <sheetData>
    <row r="2" spans="2:7" ht="15.75" thickBot="1">
      <c r="D2" s="172" t="s">
        <v>434</v>
      </c>
    </row>
    <row r="3" spans="2:7" ht="55.5" thickTop="1" thickBot="1">
      <c r="B3" s="30" t="s">
        <v>393</v>
      </c>
      <c r="C3" s="31" t="s">
        <v>394</v>
      </c>
      <c r="D3" s="32" t="s">
        <v>395</v>
      </c>
      <c r="G3" s="29" t="s">
        <v>396</v>
      </c>
    </row>
    <row r="4" spans="2:7" ht="16.5" thickTop="1" thickBot="1">
      <c r="B4" s="33">
        <v>7</v>
      </c>
      <c r="C4" s="34" t="s">
        <v>397</v>
      </c>
      <c r="D4" s="35" t="e">
        <f>+D5+D36+D55+D52+D44</f>
        <v>#REF!</v>
      </c>
      <c r="F4" s="70" t="e">
        <f>+#REF!+#REF!+#REF!+#REF!+#REF!</f>
        <v>#REF!</v>
      </c>
      <c r="G4" s="36" t="e">
        <f>+D4-F4</f>
        <v>#REF!</v>
      </c>
    </row>
    <row r="5" spans="2:7" ht="15.75" thickTop="1">
      <c r="B5" s="37">
        <v>71</v>
      </c>
      <c r="C5" s="38" t="s">
        <v>398</v>
      </c>
      <c r="D5" s="39" t="e">
        <f>+D6+D14+D19+D24+D31</f>
        <v>#REF!</v>
      </c>
      <c r="F5" s="40"/>
    </row>
    <row r="6" spans="2:7">
      <c r="B6" s="41">
        <v>711</v>
      </c>
      <c r="C6" s="42" t="s">
        <v>2</v>
      </c>
      <c r="D6" s="43" t="e">
        <f>SUM(D7:D13)</f>
        <v>#REF!</v>
      </c>
    </row>
    <row r="7" spans="2:7">
      <c r="B7" s="44">
        <v>7111</v>
      </c>
      <c r="C7" s="45" t="s">
        <v>3</v>
      </c>
      <c r="D7" s="46" t="e">
        <f>+#REF!</f>
        <v>#REF!</v>
      </c>
      <c r="E7" s="40"/>
    </row>
    <row r="8" spans="2:7">
      <c r="B8" s="44">
        <v>7112</v>
      </c>
      <c r="C8" s="45" t="s">
        <v>5</v>
      </c>
      <c r="D8" s="46" t="e">
        <f>+#REF!</f>
        <v>#REF!</v>
      </c>
    </row>
    <row r="9" spans="2:7">
      <c r="B9" s="44">
        <v>7113</v>
      </c>
      <c r="C9" s="45" t="s">
        <v>304</v>
      </c>
      <c r="D9" s="46" t="e">
        <f>+#REF!</f>
        <v>#REF!</v>
      </c>
    </row>
    <row r="10" spans="2:7">
      <c r="B10" s="44">
        <v>7114</v>
      </c>
      <c r="C10" s="45" t="s">
        <v>9</v>
      </c>
      <c r="D10" s="46" t="e">
        <f>+#REF!</f>
        <v>#REF!</v>
      </c>
    </row>
    <row r="11" spans="2:7">
      <c r="B11" s="44">
        <v>7115</v>
      </c>
      <c r="C11" s="45" t="s">
        <v>305</v>
      </c>
      <c r="D11" s="46" t="e">
        <f>+#REF!</f>
        <v>#REF!</v>
      </c>
    </row>
    <row r="12" spans="2:7">
      <c r="B12" s="44">
        <v>7116</v>
      </c>
      <c r="C12" s="45" t="s">
        <v>14</v>
      </c>
      <c r="D12" s="46" t="e">
        <f>+#REF!</f>
        <v>#REF!</v>
      </c>
    </row>
    <row r="13" spans="2:7">
      <c r="B13" s="44">
        <v>7118</v>
      </c>
      <c r="C13" s="45" t="s">
        <v>16</v>
      </c>
      <c r="D13" s="46" t="e">
        <f>+#REF!</f>
        <v>#REF!</v>
      </c>
    </row>
    <row r="14" spans="2:7">
      <c r="B14" s="41">
        <v>712</v>
      </c>
      <c r="C14" s="42" t="s">
        <v>19</v>
      </c>
      <c r="D14" s="43" t="e">
        <f>SUM(D15:D18)</f>
        <v>#REF!</v>
      </c>
    </row>
    <row r="15" spans="2:7">
      <c r="B15" s="44">
        <v>7121</v>
      </c>
      <c r="C15" s="45" t="s">
        <v>21</v>
      </c>
      <c r="D15" s="46" t="e">
        <f>+#REF!</f>
        <v>#REF!</v>
      </c>
      <c r="F15" s="40"/>
    </row>
    <row r="16" spans="2:7">
      <c r="B16" s="44">
        <v>7122</v>
      </c>
      <c r="C16" s="45" t="s">
        <v>23</v>
      </c>
      <c r="D16" s="46" t="e">
        <f>+#REF!</f>
        <v>#REF!</v>
      </c>
    </row>
    <row r="17" spans="2:4">
      <c r="B17" s="44">
        <v>7123</v>
      </c>
      <c r="C17" s="45" t="s">
        <v>25</v>
      </c>
      <c r="D17" s="46" t="e">
        <f>+#REF!</f>
        <v>#REF!</v>
      </c>
    </row>
    <row r="18" spans="2:4">
      <c r="B18" s="44">
        <v>7124</v>
      </c>
      <c r="C18" s="45" t="s">
        <v>27</v>
      </c>
      <c r="D18" s="46" t="e">
        <f>+#REF!</f>
        <v>#REF!</v>
      </c>
    </row>
    <row r="19" spans="2:4">
      <c r="B19" s="41">
        <v>713</v>
      </c>
      <c r="C19" s="42" t="s">
        <v>29</v>
      </c>
      <c r="D19" s="43" t="e">
        <f>SUM(D20:D23)</f>
        <v>#REF!</v>
      </c>
    </row>
    <row r="20" spans="2:4">
      <c r="B20" s="44">
        <v>7131</v>
      </c>
      <c r="C20" s="47" t="s">
        <v>31</v>
      </c>
      <c r="D20" s="46" t="e">
        <f>+#REF!</f>
        <v>#REF!</v>
      </c>
    </row>
    <row r="21" spans="2:4">
      <c r="B21" s="44">
        <v>7132</v>
      </c>
      <c r="C21" s="47" t="s">
        <v>32</v>
      </c>
      <c r="D21" s="46" t="e">
        <f>+#REF!</f>
        <v>#REF!</v>
      </c>
    </row>
    <row r="22" spans="2:4">
      <c r="B22" s="44">
        <v>7133</v>
      </c>
      <c r="C22" s="47" t="s">
        <v>34</v>
      </c>
      <c r="D22" s="46" t="e">
        <f>+#REF!</f>
        <v>#REF!</v>
      </c>
    </row>
    <row r="23" spans="2:4">
      <c r="B23" s="44">
        <v>7136</v>
      </c>
      <c r="C23" s="47" t="s">
        <v>37</v>
      </c>
      <c r="D23" s="46" t="e">
        <f>+#REF!</f>
        <v>#REF!</v>
      </c>
    </row>
    <row r="24" spans="2:4">
      <c r="B24" s="41">
        <v>714</v>
      </c>
      <c r="C24" s="42" t="s">
        <v>39</v>
      </c>
      <c r="D24" s="43" t="e">
        <f>SUM(D25:D30)</f>
        <v>#REF!</v>
      </c>
    </row>
    <row r="25" spans="2:4">
      <c r="B25" s="44">
        <v>7141</v>
      </c>
      <c r="C25" s="45" t="s">
        <v>40</v>
      </c>
      <c r="D25" s="46" t="e">
        <f>+#REF!</f>
        <v>#REF!</v>
      </c>
    </row>
    <row r="26" spans="2:4">
      <c r="B26" s="44">
        <v>7142</v>
      </c>
      <c r="C26" s="45" t="s">
        <v>399</v>
      </c>
      <c r="D26" s="46" t="e">
        <f>+#REF!</f>
        <v>#REF!</v>
      </c>
    </row>
    <row r="27" spans="2:4">
      <c r="B27" s="44">
        <v>7143</v>
      </c>
      <c r="C27" s="45" t="s">
        <v>45</v>
      </c>
      <c r="D27" s="46" t="e">
        <f>+#REF!</f>
        <v>#REF!</v>
      </c>
    </row>
    <row r="28" spans="2:4">
      <c r="B28" s="44">
        <v>7144</v>
      </c>
      <c r="C28" s="45" t="s">
        <v>47</v>
      </c>
      <c r="D28" s="46" t="e">
        <f>+#REF!</f>
        <v>#REF!</v>
      </c>
    </row>
    <row r="29" spans="2:4">
      <c r="B29" s="44">
        <v>7148</v>
      </c>
      <c r="C29" s="45" t="s">
        <v>312</v>
      </c>
      <c r="D29" s="46" t="e">
        <f>+#REF!</f>
        <v>#REF!</v>
      </c>
    </row>
    <row r="30" spans="2:4">
      <c r="B30" s="44">
        <v>7149</v>
      </c>
      <c r="C30" s="45" t="s">
        <v>51</v>
      </c>
      <c r="D30" s="46" t="e">
        <f>+#REF!</f>
        <v>#REF!</v>
      </c>
    </row>
    <row r="31" spans="2:4">
      <c r="B31" s="41">
        <v>715</v>
      </c>
      <c r="C31" s="42" t="s">
        <v>53</v>
      </c>
      <c r="D31" s="43" t="e">
        <f>SUM(D32:D35)</f>
        <v>#REF!</v>
      </c>
    </row>
    <row r="32" spans="2:4">
      <c r="B32" s="44">
        <v>7151</v>
      </c>
      <c r="C32" s="48" t="s">
        <v>55</v>
      </c>
      <c r="D32" s="46" t="e">
        <f>+#REF!</f>
        <v>#REF!</v>
      </c>
    </row>
    <row r="33" spans="2:4">
      <c r="B33" s="44">
        <v>7152</v>
      </c>
      <c r="C33" s="48" t="s">
        <v>57</v>
      </c>
      <c r="D33" s="46" t="e">
        <f>+#REF!</f>
        <v>#REF!</v>
      </c>
    </row>
    <row r="34" spans="2:4" ht="16.5" customHeight="1">
      <c r="B34" s="44">
        <v>7153</v>
      </c>
      <c r="C34" s="48" t="s">
        <v>59</v>
      </c>
      <c r="D34" s="46" t="e">
        <f>+#REF!</f>
        <v>#REF!</v>
      </c>
    </row>
    <row r="35" spans="2:4">
      <c r="B35" s="44">
        <v>7155</v>
      </c>
      <c r="C35" s="48" t="s">
        <v>53</v>
      </c>
      <c r="D35" s="46" t="e">
        <f>+#REF!</f>
        <v>#REF!</v>
      </c>
    </row>
    <row r="36" spans="2:4">
      <c r="B36" s="49">
        <v>72</v>
      </c>
      <c r="C36" s="50" t="s">
        <v>400</v>
      </c>
      <c r="D36" s="43" t="e">
        <f>+D37+D38+D41</f>
        <v>#REF!</v>
      </c>
    </row>
    <row r="37" spans="2:4">
      <c r="B37" s="51">
        <v>7200</v>
      </c>
      <c r="C37" s="48" t="s">
        <v>401</v>
      </c>
      <c r="D37" s="46" t="e">
        <f>+#REF!</f>
        <v>#REF!</v>
      </c>
    </row>
    <row r="38" spans="2:4" hidden="1">
      <c r="B38" s="52">
        <v>721</v>
      </c>
      <c r="C38" s="48" t="s">
        <v>402</v>
      </c>
      <c r="D38" s="46"/>
    </row>
    <row r="39" spans="2:4" hidden="1">
      <c r="B39" s="51">
        <v>7211</v>
      </c>
      <c r="C39" s="48" t="s">
        <v>403</v>
      </c>
      <c r="D39" s="46"/>
    </row>
    <row r="40" spans="2:4" hidden="1">
      <c r="B40" s="51">
        <v>7213</v>
      </c>
      <c r="C40" s="48" t="s">
        <v>404</v>
      </c>
      <c r="D40" s="46"/>
    </row>
    <row r="41" spans="2:4" hidden="1">
      <c r="B41" s="52">
        <v>722</v>
      </c>
      <c r="C41" s="48" t="s">
        <v>405</v>
      </c>
      <c r="D41" s="46">
        <v>0</v>
      </c>
    </row>
    <row r="42" spans="2:4" hidden="1">
      <c r="B42" s="44">
        <v>7221</v>
      </c>
      <c r="C42" s="48" t="s">
        <v>406</v>
      </c>
      <c r="D42" s="46"/>
    </row>
    <row r="43" spans="2:4" hidden="1">
      <c r="B43" s="44">
        <v>7222</v>
      </c>
      <c r="C43" s="48" t="s">
        <v>407</v>
      </c>
      <c r="D43" s="46"/>
    </row>
    <row r="44" spans="2:4">
      <c r="B44" s="49">
        <v>73</v>
      </c>
      <c r="C44" s="50" t="s">
        <v>408</v>
      </c>
      <c r="D44" s="43" t="e">
        <f>+D45</f>
        <v>#REF!</v>
      </c>
    </row>
    <row r="45" spans="2:4">
      <c r="B45" s="52">
        <v>731</v>
      </c>
      <c r="C45" s="45" t="s">
        <v>408</v>
      </c>
      <c r="D45" s="46" t="e">
        <f>+#REF!</f>
        <v>#REF!</v>
      </c>
    </row>
    <row r="46" spans="2:4" ht="27" hidden="1">
      <c r="B46" s="51">
        <v>7311</v>
      </c>
      <c r="C46" s="48" t="s">
        <v>409</v>
      </c>
      <c r="D46" s="46"/>
    </row>
    <row r="47" spans="2:4" hidden="1">
      <c r="B47" s="52">
        <v>7312</v>
      </c>
      <c r="C47" s="48" t="s">
        <v>410</v>
      </c>
      <c r="D47" s="46"/>
    </row>
    <row r="48" spans="2:4" hidden="1">
      <c r="B48" s="52">
        <v>7313</v>
      </c>
      <c r="C48" s="48" t="s">
        <v>411</v>
      </c>
      <c r="D48" s="46"/>
    </row>
    <row r="49" spans="2:4" hidden="1">
      <c r="B49" s="52">
        <v>7314</v>
      </c>
      <c r="C49" s="48" t="s">
        <v>412</v>
      </c>
      <c r="D49" s="46"/>
    </row>
    <row r="50" spans="2:4" hidden="1">
      <c r="B50" s="52">
        <v>732</v>
      </c>
      <c r="C50" s="45" t="s">
        <v>413</v>
      </c>
      <c r="D50" s="46"/>
    </row>
    <row r="51" spans="2:4" hidden="1">
      <c r="B51" s="44">
        <v>7321</v>
      </c>
      <c r="C51" s="48" t="s">
        <v>414</v>
      </c>
      <c r="D51" s="46"/>
    </row>
    <row r="52" spans="2:4">
      <c r="B52" s="49">
        <v>74</v>
      </c>
      <c r="C52" s="50" t="s">
        <v>415</v>
      </c>
      <c r="D52" s="43" t="e">
        <f>+D53</f>
        <v>#REF!</v>
      </c>
    </row>
    <row r="53" spans="2:4">
      <c r="B53" s="52">
        <v>741</v>
      </c>
      <c r="C53" s="48" t="s">
        <v>415</v>
      </c>
      <c r="D53" s="46" t="e">
        <f>+#REF!</f>
        <v>#REF!</v>
      </c>
    </row>
    <row r="54" spans="2:4" hidden="1">
      <c r="B54" s="44">
        <v>7411</v>
      </c>
      <c r="C54" s="48" t="s">
        <v>416</v>
      </c>
      <c r="D54" s="46">
        <v>0</v>
      </c>
    </row>
    <row r="55" spans="2:4">
      <c r="B55" s="49">
        <v>75</v>
      </c>
      <c r="C55" s="50" t="s">
        <v>110</v>
      </c>
      <c r="D55" s="43" t="e">
        <f>+D56</f>
        <v>#REF!</v>
      </c>
    </row>
    <row r="56" spans="2:4">
      <c r="B56" s="53">
        <v>751</v>
      </c>
      <c r="C56" s="54" t="s">
        <v>110</v>
      </c>
      <c r="D56" s="55" t="e">
        <f>+D57+D58</f>
        <v>#REF!</v>
      </c>
    </row>
    <row r="57" spans="2:4">
      <c r="B57" s="51">
        <v>7511</v>
      </c>
      <c r="C57" s="48" t="s">
        <v>143</v>
      </c>
      <c r="D57" s="46" t="e">
        <f>+#REF!</f>
        <v>#REF!</v>
      </c>
    </row>
    <row r="58" spans="2:4" ht="15.75" thickBot="1">
      <c r="B58" s="56">
        <v>7512</v>
      </c>
      <c r="C58" s="57" t="s">
        <v>121</v>
      </c>
      <c r="D58" s="58" t="e">
        <f>+#REF!</f>
        <v>#REF!</v>
      </c>
    </row>
    <row r="59" spans="2:4" ht="15.75" thickTop="1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D2:G24"/>
  <sheetViews>
    <sheetView workbookViewId="0">
      <selection activeCell="G24" sqref="G24"/>
    </sheetView>
  </sheetViews>
  <sheetFormatPr defaultColWidth="9.140625" defaultRowHeight="15"/>
  <cols>
    <col min="1" max="3" width="9.140625" style="29"/>
    <col min="4" max="4" width="44.28515625" style="29" customWidth="1"/>
    <col min="5" max="5" width="18.28515625" style="29" customWidth="1"/>
    <col min="6" max="6" width="9.140625" style="29"/>
    <col min="7" max="7" width="14.5703125" style="29" bestFit="1" customWidth="1"/>
    <col min="8" max="16384" width="9.140625" style="29"/>
  </cols>
  <sheetData>
    <row r="2" spans="4:7" ht="15.75" thickBot="1"/>
    <row r="3" spans="4:7" ht="16.5" thickTop="1" thickBot="1">
      <c r="D3" s="59" t="s">
        <v>126</v>
      </c>
      <c r="E3" s="60" t="s">
        <v>395</v>
      </c>
    </row>
    <row r="4" spans="4:7" ht="16.5" thickTop="1" thickBot="1">
      <c r="D4" s="61" t="s">
        <v>417</v>
      </c>
      <c r="E4" s="62" t="e">
        <f>+E5+E6</f>
        <v>#REF!</v>
      </c>
      <c r="G4" s="63" t="e">
        <f>+E4-#REF!</f>
        <v>#REF!</v>
      </c>
    </row>
    <row r="5" spans="4:7" ht="16.5" thickTop="1">
      <c r="D5" s="71" t="s">
        <v>418</v>
      </c>
      <c r="E5" s="72" t="e">
        <f>+PRIMICI!D6+PRIMICI!D14</f>
        <v>#REF!</v>
      </c>
      <c r="G5" s="65"/>
    </row>
    <row r="6" spans="4:7" ht="16.5" thickBot="1">
      <c r="D6" s="73" t="s">
        <v>53</v>
      </c>
      <c r="E6" s="74" t="e">
        <f>+PRIMICI!D19+PRIMICI!D24+PRIMICI!D31+PRIMICI!D44</f>
        <v>#REF!</v>
      </c>
      <c r="G6" s="65"/>
    </row>
    <row r="7" spans="4:7" ht="16.5" thickTop="1" thickBot="1">
      <c r="D7" s="66" t="s">
        <v>419</v>
      </c>
      <c r="E7" s="62" t="e">
        <f>+E8+E9</f>
        <v>#REF!</v>
      </c>
      <c r="G7" s="63" t="e">
        <f>+E7-#REF!</f>
        <v>#REF!</v>
      </c>
    </row>
    <row r="8" spans="4:7" ht="16.5" thickTop="1">
      <c r="D8" s="75" t="s">
        <v>125</v>
      </c>
      <c r="E8" s="72" t="e">
        <f>+#REF!</f>
        <v>#REF!</v>
      </c>
      <c r="G8" s="65"/>
    </row>
    <row r="9" spans="4:7" ht="16.5" thickBot="1">
      <c r="D9" s="73" t="s">
        <v>420</v>
      </c>
      <c r="E9" s="74" t="e">
        <f>+#REF!</f>
        <v>#REF!</v>
      </c>
      <c r="G9" s="65"/>
    </row>
    <row r="10" spans="4:7" ht="16.5" thickTop="1" thickBot="1">
      <c r="D10" s="67" t="s">
        <v>421</v>
      </c>
      <c r="E10" s="62" t="e">
        <f>+E4-E7</f>
        <v>#REF!</v>
      </c>
      <c r="G10" s="63" t="e">
        <f>+E10-#REF!</f>
        <v>#REF!</v>
      </c>
    </row>
    <row r="11" spans="4:7" ht="16.5" thickTop="1" thickBot="1">
      <c r="D11" s="67" t="s">
        <v>422</v>
      </c>
      <c r="E11" s="62" t="e">
        <f>+#REF!</f>
        <v>#REF!</v>
      </c>
      <c r="G11" s="65"/>
    </row>
    <row r="12" spans="4:7" ht="16.5" thickTop="1" thickBot="1">
      <c r="D12" s="67" t="s">
        <v>423</v>
      </c>
      <c r="E12" s="62" t="e">
        <f>+E13+E14+E15</f>
        <v>#REF!</v>
      </c>
      <c r="G12" s="63" t="e">
        <f>+E12-#REF!</f>
        <v>#REF!</v>
      </c>
    </row>
    <row r="13" spans="4:7" ht="16.5" thickTop="1" thickBot="1">
      <c r="D13" s="76" t="s">
        <v>157</v>
      </c>
      <c r="E13" s="72" t="e">
        <f>+#REF!</f>
        <v>#REF!</v>
      </c>
      <c r="G13" s="65"/>
    </row>
    <row r="14" spans="4:7" ht="16.5" thickTop="1" thickBot="1">
      <c r="D14" s="77" t="s">
        <v>158</v>
      </c>
      <c r="E14" s="72" t="e">
        <f>+#REF!</f>
        <v>#REF!</v>
      </c>
      <c r="G14" s="65"/>
    </row>
    <row r="15" spans="4:7" ht="16.5" thickTop="1" thickBot="1">
      <c r="D15" s="78" t="s">
        <v>159</v>
      </c>
      <c r="E15" s="72" t="e">
        <f>+#REF!</f>
        <v>#REF!</v>
      </c>
      <c r="G15" s="65"/>
    </row>
    <row r="16" spans="4:7" ht="15.75" hidden="1" thickBot="1">
      <c r="D16" s="68" t="s">
        <v>112</v>
      </c>
      <c r="E16" s="64">
        <v>0</v>
      </c>
      <c r="G16" s="65"/>
    </row>
    <row r="17" spans="4:7" ht="16.5" thickTop="1" thickBot="1">
      <c r="D17" s="67" t="s">
        <v>424</v>
      </c>
      <c r="E17" s="62" t="e">
        <f>+E10-E12</f>
        <v>#REF!</v>
      </c>
      <c r="G17" s="63" t="e">
        <f>+E17-#REF!</f>
        <v>#REF!</v>
      </c>
    </row>
    <row r="18" spans="4:7" ht="16.5" thickTop="1" thickBot="1">
      <c r="D18" s="67" t="s">
        <v>425</v>
      </c>
      <c r="E18" s="62" t="e">
        <f>SUM(E19:E23)</f>
        <v>#REF!</v>
      </c>
      <c r="G18" s="63" t="e">
        <f>+E18-#REF!</f>
        <v>#REF!</v>
      </c>
    </row>
    <row r="19" spans="4:7" ht="16.5" thickTop="1" thickBot="1">
      <c r="D19" s="76" t="s">
        <v>143</v>
      </c>
      <c r="E19" s="72" t="e">
        <f>+#REF!</f>
        <v>#REF!</v>
      </c>
      <c r="G19" s="65"/>
    </row>
    <row r="20" spans="4:7" ht="16.5" thickTop="1" thickBot="1">
      <c r="D20" s="77" t="s">
        <v>121</v>
      </c>
      <c r="E20" s="72" t="e">
        <f>+#REF!</f>
        <v>#REF!</v>
      </c>
      <c r="G20" s="65"/>
    </row>
    <row r="21" spans="4:7" ht="16.5" thickTop="1" thickBot="1">
      <c r="D21" s="77" t="s">
        <v>122</v>
      </c>
      <c r="E21" s="72" t="e">
        <f>+#REF!</f>
        <v>#REF!</v>
      </c>
      <c r="G21" s="65"/>
    </row>
    <row r="22" spans="4:7" ht="15.75" thickTop="1">
      <c r="D22" s="77" t="s">
        <v>123</v>
      </c>
      <c r="E22" s="72" t="e">
        <f>+#REF!</f>
        <v>#REF!</v>
      </c>
      <c r="G22" s="65"/>
    </row>
    <row r="23" spans="4:7" ht="15.75" thickBot="1">
      <c r="D23" s="78" t="s">
        <v>160</v>
      </c>
      <c r="E23" s="79" t="e">
        <f>-E17-SUM(E19:E22)</f>
        <v>#REF!</v>
      </c>
      <c r="G23" s="69" t="e">
        <f>+E23-#REF!</f>
        <v>#REF!</v>
      </c>
    </row>
    <row r="24" spans="4:7" ht="15.75" thickTop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W444"/>
  <sheetViews>
    <sheetView topLeftCell="A373" workbookViewId="0">
      <selection activeCell="C278" sqref="C278"/>
    </sheetView>
  </sheetViews>
  <sheetFormatPr defaultColWidth="9.140625" defaultRowHeight="12.75"/>
  <cols>
    <col min="1" max="1" width="2" style="11" customWidth="1"/>
    <col min="2" max="2" width="62" style="11" customWidth="1"/>
    <col min="3" max="3" width="63.140625" style="11" customWidth="1"/>
    <col min="4" max="4" width="41.7109375" style="11" customWidth="1"/>
    <col min="5" max="5" width="20" style="11" customWidth="1"/>
    <col min="6" max="6" width="8.5703125" style="11" customWidth="1"/>
    <col min="7" max="7" width="5.42578125" style="11" customWidth="1"/>
    <col min="8" max="8" width="6.42578125" style="11" customWidth="1"/>
    <col min="9" max="9" width="8" style="11" customWidth="1"/>
    <col min="10" max="10" width="6.42578125" style="11" customWidth="1"/>
    <col min="11" max="11" width="9.28515625" style="11" customWidth="1"/>
    <col min="12" max="12" width="7.42578125" style="11" customWidth="1"/>
    <col min="13" max="13" width="17" style="11" customWidth="1"/>
    <col min="14" max="14" width="8.85546875" style="11" customWidth="1"/>
    <col min="15" max="15" width="83.140625" style="11" customWidth="1"/>
    <col min="16" max="16" width="6.42578125" style="11" customWidth="1"/>
    <col min="17" max="17" width="5.42578125" style="11" customWidth="1"/>
    <col min="18" max="18" width="6.42578125" style="11" customWidth="1"/>
    <col min="19" max="19" width="2.7109375" style="11" customWidth="1"/>
    <col min="20" max="20" width="6.5703125" style="11" customWidth="1"/>
    <col min="21" max="21" width="5.7109375" style="11" customWidth="1"/>
    <col min="22" max="22" width="11.7109375" style="1" customWidth="1"/>
    <col min="23" max="16384" width="9.140625" style="1"/>
  </cols>
  <sheetData>
    <row r="1" spans="1:3">
      <c r="A1" s="10">
        <v>2</v>
      </c>
      <c r="B1" s="11" t="s">
        <v>250</v>
      </c>
    </row>
    <row r="3" spans="1:3">
      <c r="B3" s="329" t="s">
        <v>195</v>
      </c>
      <c r="C3" s="329"/>
    </row>
    <row r="5" spans="1:3" ht="15" customHeight="1">
      <c r="B5" s="11" t="s">
        <v>198</v>
      </c>
      <c r="C5" s="11" t="s">
        <v>196</v>
      </c>
    </row>
    <row r="6" spans="1:3">
      <c r="B6" s="11" t="s">
        <v>199</v>
      </c>
      <c r="C6" s="11" t="s">
        <v>197</v>
      </c>
    </row>
    <row r="8" spans="1:3">
      <c r="B8" s="11" t="s">
        <v>207</v>
      </c>
      <c r="C8" s="11" t="s">
        <v>364</v>
      </c>
    </row>
    <row r="9" spans="1:3">
      <c r="B9" s="11" t="s">
        <v>205</v>
      </c>
      <c r="C9" s="11" t="s">
        <v>206</v>
      </c>
    </row>
    <row r="10" spans="1:3">
      <c r="B10" s="11" t="s">
        <v>212</v>
      </c>
      <c r="C10" s="11" t="s">
        <v>214</v>
      </c>
    </row>
    <row r="11" spans="1:3">
      <c r="B11" s="11" t="s">
        <v>213</v>
      </c>
      <c r="C11" s="11" t="s">
        <v>211</v>
      </c>
    </row>
    <row r="12" spans="1:3">
      <c r="B12" s="11" t="s">
        <v>215</v>
      </c>
      <c r="C12" s="11" t="s">
        <v>216</v>
      </c>
    </row>
    <row r="13" spans="1:3">
      <c r="B13" s="11" t="s">
        <v>210</v>
      </c>
      <c r="C13" s="11" t="s">
        <v>365</v>
      </c>
    </row>
    <row r="14" spans="1:3">
      <c r="B14" s="11" t="s">
        <v>366</v>
      </c>
      <c r="C14" s="11" t="s">
        <v>367</v>
      </c>
    </row>
    <row r="15" spans="1:3">
      <c r="B15" s="11" t="s">
        <v>208</v>
      </c>
      <c r="C15" s="11" t="s">
        <v>209</v>
      </c>
    </row>
    <row r="16" spans="1:3">
      <c r="B16" s="11" t="s">
        <v>200</v>
      </c>
      <c r="C16" s="11" t="s">
        <v>201</v>
      </c>
    </row>
    <row r="17" spans="2:3" ht="15" customHeight="1">
      <c r="B17" s="11" t="s">
        <v>202</v>
      </c>
      <c r="C17" s="11" t="s">
        <v>289</v>
      </c>
    </row>
    <row r="18" spans="2:3">
      <c r="B18" s="11" t="s">
        <v>368</v>
      </c>
      <c r="C18" s="11" t="s">
        <v>369</v>
      </c>
    </row>
    <row r="19" spans="2:3">
      <c r="B19" s="11" t="s">
        <v>290</v>
      </c>
      <c r="C19" s="11" t="s">
        <v>291</v>
      </c>
    </row>
    <row r="21" spans="2:3">
      <c r="B21" s="11" t="s">
        <v>220</v>
      </c>
      <c r="C21" s="11" t="s">
        <v>221</v>
      </c>
    </row>
    <row r="22" spans="2:3">
      <c r="B22" s="11" t="s">
        <v>203</v>
      </c>
      <c r="C22" s="11" t="s">
        <v>204</v>
      </c>
    </row>
    <row r="24" spans="2:3">
      <c r="B24" s="11" t="s">
        <v>330</v>
      </c>
    </row>
    <row r="25" spans="2:3">
      <c r="B25" s="11" t="s">
        <v>219</v>
      </c>
    </row>
    <row r="27" spans="2:3">
      <c r="B27" s="12" t="s">
        <v>171</v>
      </c>
    </row>
    <row r="28" spans="2:3">
      <c r="B28" s="12" t="s">
        <v>170</v>
      </c>
    </row>
    <row r="30" spans="2:3">
      <c r="B30" s="11" t="s">
        <v>217</v>
      </c>
    </row>
    <row r="31" spans="2:3">
      <c r="B31" s="11" t="s">
        <v>218</v>
      </c>
    </row>
    <row r="37" spans="2:20">
      <c r="B37" s="329" t="s">
        <v>243</v>
      </c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</row>
    <row r="40" spans="2:20" ht="12.75" customHeight="1">
      <c r="B40" s="332" t="s">
        <v>238</v>
      </c>
      <c r="C40" s="332"/>
      <c r="D40" s="333" t="s">
        <v>244</v>
      </c>
      <c r="E40" s="333"/>
      <c r="F40" s="332" t="s">
        <v>239</v>
      </c>
      <c r="G40" s="332"/>
      <c r="H40" s="332"/>
      <c r="I40" s="2" t="s">
        <v>240</v>
      </c>
      <c r="J40" s="332" t="s">
        <v>241</v>
      </c>
      <c r="K40" s="332"/>
      <c r="L40" s="332"/>
      <c r="M40" s="332" t="s">
        <v>242</v>
      </c>
      <c r="N40" s="332"/>
      <c r="O40" s="332"/>
      <c r="P40" s="332"/>
    </row>
    <row r="41" spans="2:20">
      <c r="B41" s="332"/>
      <c r="C41" s="332"/>
      <c r="D41" s="333"/>
      <c r="E41" s="333"/>
      <c r="F41" s="13">
        <v>2008</v>
      </c>
      <c r="G41" s="14">
        <v>2009</v>
      </c>
      <c r="H41" s="14">
        <v>2010</v>
      </c>
      <c r="I41" s="14">
        <v>2011</v>
      </c>
      <c r="J41" s="14">
        <v>2012</v>
      </c>
      <c r="K41" s="14">
        <v>2013</v>
      </c>
      <c r="L41" s="14">
        <v>2014</v>
      </c>
      <c r="M41" s="14">
        <v>2011</v>
      </c>
      <c r="N41" s="14">
        <v>2012</v>
      </c>
      <c r="O41" s="14">
        <v>2013</v>
      </c>
      <c r="P41" s="14">
        <v>2014</v>
      </c>
    </row>
    <row r="42" spans="2:20">
      <c r="B42" s="330" t="s">
        <v>222</v>
      </c>
      <c r="C42" s="15" t="s">
        <v>223</v>
      </c>
      <c r="D42" s="334" t="s">
        <v>180</v>
      </c>
      <c r="E42" s="16" t="s">
        <v>181</v>
      </c>
      <c r="F42" s="334" t="s">
        <v>246</v>
      </c>
      <c r="G42" s="334"/>
      <c r="H42" s="334"/>
      <c r="I42" s="17" t="s">
        <v>247</v>
      </c>
      <c r="J42" s="335" t="s">
        <v>248</v>
      </c>
      <c r="K42" s="335"/>
      <c r="L42" s="335"/>
      <c r="M42" s="334" t="s">
        <v>249</v>
      </c>
      <c r="N42" s="334"/>
      <c r="O42" s="334"/>
      <c r="P42" s="334"/>
    </row>
    <row r="43" spans="2:20">
      <c r="B43" s="330"/>
      <c r="C43" s="18" t="s">
        <v>224</v>
      </c>
      <c r="D43" s="334"/>
      <c r="E43" s="16" t="s">
        <v>182</v>
      </c>
      <c r="G43" s="16"/>
      <c r="H43" s="16"/>
      <c r="I43" s="17"/>
      <c r="J43" s="16"/>
      <c r="K43" s="17"/>
      <c r="L43" s="16"/>
      <c r="M43" s="17"/>
      <c r="N43" s="16"/>
    </row>
    <row r="44" spans="2:20">
      <c r="B44" s="330"/>
      <c r="C44" s="15" t="s">
        <v>225</v>
      </c>
      <c r="D44" s="334"/>
      <c r="E44" s="16" t="s">
        <v>183</v>
      </c>
      <c r="F44" s="16"/>
      <c r="G44" s="17"/>
      <c r="H44" s="16"/>
      <c r="I44" s="17"/>
      <c r="J44" s="17"/>
      <c r="K44" s="17"/>
      <c r="L44" s="16"/>
      <c r="M44" s="16"/>
      <c r="N44" s="16"/>
    </row>
    <row r="45" spans="2:20">
      <c r="B45" s="330"/>
      <c r="C45" s="15" t="s">
        <v>226</v>
      </c>
      <c r="D45" s="334"/>
      <c r="E45" s="17" t="s">
        <v>184</v>
      </c>
      <c r="F45" s="17"/>
      <c r="G45" s="17"/>
      <c r="H45" s="17"/>
      <c r="I45" s="17"/>
      <c r="J45" s="17"/>
      <c r="K45" s="17"/>
      <c r="L45" s="17"/>
      <c r="M45" s="17"/>
      <c r="N45" s="17"/>
    </row>
    <row r="46" spans="2:20">
      <c r="B46" s="330"/>
      <c r="C46" s="15" t="s">
        <v>227</v>
      </c>
      <c r="D46" s="334"/>
      <c r="E46" s="17" t="s">
        <v>185</v>
      </c>
      <c r="F46" s="17"/>
      <c r="G46" s="17"/>
      <c r="H46" s="17"/>
      <c r="I46" s="17"/>
      <c r="J46" s="17"/>
      <c r="K46" s="17"/>
      <c r="L46" s="17"/>
      <c r="M46" s="17"/>
      <c r="N46" s="17"/>
    </row>
    <row r="47" spans="2:20">
      <c r="B47" s="330"/>
      <c r="C47" s="15" t="s">
        <v>228</v>
      </c>
      <c r="D47" s="334"/>
      <c r="E47" s="16" t="s">
        <v>186</v>
      </c>
      <c r="F47" s="17"/>
      <c r="G47" s="17"/>
      <c r="H47" s="17"/>
      <c r="I47" s="16"/>
      <c r="J47" s="16"/>
      <c r="K47" s="16"/>
      <c r="L47" s="16"/>
      <c r="M47" s="16"/>
      <c r="N47" s="16"/>
    </row>
    <row r="48" spans="2:20">
      <c r="B48" s="330"/>
      <c r="C48" s="15" t="s">
        <v>229</v>
      </c>
      <c r="D48" s="334"/>
      <c r="E48" s="17" t="s">
        <v>187</v>
      </c>
      <c r="F48" s="17"/>
      <c r="G48" s="17"/>
      <c r="H48" s="17"/>
      <c r="I48" s="17"/>
      <c r="J48" s="17"/>
      <c r="K48" s="17"/>
      <c r="L48" s="17"/>
      <c r="M48" s="17"/>
      <c r="N48" s="17"/>
    </row>
    <row r="49" spans="2:20">
      <c r="B49" s="330"/>
      <c r="C49" s="19" t="s">
        <v>230</v>
      </c>
      <c r="D49" s="334"/>
      <c r="E49" s="16" t="s">
        <v>245</v>
      </c>
      <c r="F49" s="17"/>
      <c r="G49" s="16"/>
      <c r="H49" s="16"/>
      <c r="I49" s="16"/>
      <c r="J49" s="16"/>
      <c r="K49" s="16"/>
      <c r="L49" s="16"/>
      <c r="M49" s="16"/>
      <c r="N49" s="16"/>
    </row>
    <row r="50" spans="2:20">
      <c r="B50" s="330"/>
      <c r="C50" s="15" t="s">
        <v>231</v>
      </c>
      <c r="D50" s="334"/>
      <c r="E50" s="17" t="s">
        <v>188</v>
      </c>
      <c r="F50" s="17"/>
      <c r="G50" s="17"/>
      <c r="H50" s="17"/>
      <c r="I50" s="17"/>
      <c r="J50" s="17"/>
      <c r="K50" s="17"/>
      <c r="L50" s="17"/>
      <c r="M50" s="17"/>
      <c r="N50" s="17"/>
    </row>
    <row r="51" spans="2:20">
      <c r="B51" s="330"/>
      <c r="C51" s="15" t="s">
        <v>378</v>
      </c>
      <c r="D51" s="334"/>
      <c r="E51" s="17" t="s">
        <v>379</v>
      </c>
      <c r="F51" s="17"/>
      <c r="G51" s="17"/>
      <c r="H51" s="17"/>
      <c r="I51" s="17"/>
      <c r="J51" s="17"/>
      <c r="K51" s="17"/>
      <c r="L51" s="17"/>
      <c r="M51" s="17"/>
      <c r="N51" s="17"/>
    </row>
    <row r="52" spans="2:20">
      <c r="B52" s="331" t="s">
        <v>232</v>
      </c>
      <c r="C52" s="20" t="s">
        <v>233</v>
      </c>
      <c r="D52" s="334" t="s">
        <v>189</v>
      </c>
      <c r="E52" s="17" t="s">
        <v>190</v>
      </c>
      <c r="F52" s="17"/>
      <c r="G52" s="17"/>
      <c r="H52" s="17"/>
      <c r="I52" s="17"/>
      <c r="J52" s="17"/>
      <c r="K52" s="17"/>
      <c r="L52" s="17"/>
      <c r="M52" s="17"/>
      <c r="N52" s="17"/>
    </row>
    <row r="53" spans="2:20">
      <c r="B53" s="331"/>
      <c r="C53" s="20" t="s">
        <v>234</v>
      </c>
      <c r="D53" s="334"/>
      <c r="E53" s="17" t="s">
        <v>191</v>
      </c>
      <c r="F53" s="17"/>
      <c r="G53" s="17"/>
      <c r="H53" s="17"/>
      <c r="I53" s="17"/>
      <c r="J53" s="17"/>
      <c r="K53" s="17"/>
      <c r="L53" s="17"/>
      <c r="M53" s="17"/>
      <c r="N53" s="17"/>
    </row>
    <row r="54" spans="2:20">
      <c r="B54" s="331"/>
      <c r="C54" s="20" t="s">
        <v>235</v>
      </c>
      <c r="D54" s="334"/>
      <c r="E54" s="17" t="s">
        <v>373</v>
      </c>
      <c r="F54" s="17"/>
      <c r="G54" s="17"/>
      <c r="H54" s="17"/>
      <c r="I54" s="17"/>
      <c r="J54" s="17"/>
      <c r="K54" s="16"/>
      <c r="L54" s="17"/>
      <c r="M54" s="17"/>
      <c r="N54" s="17"/>
    </row>
    <row r="55" spans="2:20">
      <c r="B55" s="331"/>
      <c r="C55" s="20" t="s">
        <v>374</v>
      </c>
      <c r="D55" s="334"/>
      <c r="E55" s="20" t="s">
        <v>376</v>
      </c>
      <c r="F55" s="17"/>
      <c r="G55" s="17"/>
      <c r="H55" s="17"/>
      <c r="I55" s="17"/>
      <c r="J55" s="17"/>
      <c r="K55" s="16"/>
      <c r="L55" s="17"/>
      <c r="M55" s="17"/>
      <c r="N55" s="17"/>
    </row>
    <row r="56" spans="2:20">
      <c r="B56" s="331"/>
      <c r="C56" s="20" t="s">
        <v>79</v>
      </c>
      <c r="D56" s="334"/>
      <c r="E56" s="17" t="s">
        <v>192</v>
      </c>
      <c r="F56" s="17"/>
      <c r="G56" s="16"/>
      <c r="H56" s="21"/>
      <c r="I56" s="21"/>
      <c r="J56" s="21"/>
      <c r="K56" s="21"/>
      <c r="L56" s="21"/>
      <c r="M56" s="21"/>
      <c r="N56" s="16"/>
    </row>
    <row r="57" spans="2:20">
      <c r="B57" s="331"/>
      <c r="C57" s="20" t="s">
        <v>236</v>
      </c>
      <c r="D57" s="334"/>
      <c r="E57" s="17" t="s">
        <v>193</v>
      </c>
      <c r="F57" s="17"/>
      <c r="G57" s="17"/>
      <c r="H57" s="17"/>
      <c r="I57" s="17"/>
      <c r="J57" s="21"/>
      <c r="K57" s="16"/>
      <c r="L57" s="17"/>
      <c r="M57" s="17"/>
      <c r="N57" s="17"/>
    </row>
    <row r="58" spans="2:20">
      <c r="B58" s="331"/>
      <c r="C58" s="20" t="s">
        <v>375</v>
      </c>
      <c r="D58" s="334"/>
      <c r="E58" s="17" t="s">
        <v>377</v>
      </c>
      <c r="F58" s="17"/>
      <c r="G58" s="17"/>
      <c r="H58" s="17"/>
      <c r="I58" s="17"/>
      <c r="J58" s="21"/>
      <c r="K58" s="16"/>
      <c r="L58" s="17"/>
      <c r="M58" s="17"/>
      <c r="N58" s="17"/>
    </row>
    <row r="59" spans="2:20">
      <c r="B59" s="331"/>
      <c r="C59" s="20" t="s">
        <v>237</v>
      </c>
      <c r="D59" s="334"/>
      <c r="E59" s="17" t="s">
        <v>194</v>
      </c>
      <c r="F59" s="17"/>
      <c r="G59" s="17"/>
      <c r="H59" s="17"/>
      <c r="I59" s="17"/>
      <c r="J59" s="17"/>
      <c r="K59" s="17"/>
      <c r="L59" s="21"/>
      <c r="M59" s="17"/>
      <c r="N59" s="17"/>
    </row>
    <row r="60" spans="2:20">
      <c r="B60" s="11" t="s">
        <v>332</v>
      </c>
      <c r="D60" s="11" t="s">
        <v>331</v>
      </c>
    </row>
    <row r="62" spans="2:20">
      <c r="B62" s="329" t="s">
        <v>251</v>
      </c>
      <c r="C62" s="329"/>
      <c r="D62" s="329"/>
      <c r="E62" s="329"/>
      <c r="F62" s="329"/>
      <c r="G62" s="329"/>
      <c r="H62" s="329"/>
      <c r="I62" s="329"/>
      <c r="J62" s="329"/>
      <c r="K62" s="329"/>
      <c r="L62" s="329"/>
      <c r="M62" s="329"/>
      <c r="N62" s="329"/>
      <c r="O62" s="329"/>
      <c r="P62" s="329"/>
      <c r="Q62" s="329"/>
      <c r="R62" s="329"/>
      <c r="S62" s="329"/>
      <c r="T62" s="329"/>
    </row>
    <row r="66" spans="2:22">
      <c r="B66" s="11" t="s">
        <v>370</v>
      </c>
    </row>
    <row r="67" spans="2:22">
      <c r="B67" s="11" t="s">
        <v>371</v>
      </c>
      <c r="M67" s="11" t="s">
        <v>337</v>
      </c>
      <c r="O67" s="11" t="s">
        <v>380</v>
      </c>
    </row>
    <row r="68" spans="2:22">
      <c r="D68" s="22"/>
      <c r="E68" s="23"/>
      <c r="F68" s="22"/>
      <c r="G68" s="23"/>
      <c r="H68" s="22"/>
      <c r="I68" s="23"/>
      <c r="J68" s="22"/>
      <c r="K68" s="23"/>
      <c r="L68" s="22"/>
      <c r="M68" s="23" t="s">
        <v>336</v>
      </c>
      <c r="N68" s="22"/>
      <c r="O68" s="23" t="s">
        <v>381</v>
      </c>
      <c r="P68" s="22"/>
      <c r="Q68" s="23"/>
      <c r="R68" s="22"/>
      <c r="S68" s="23"/>
      <c r="T68" s="22"/>
    </row>
    <row r="69" spans="2:22">
      <c r="C69" s="4">
        <v>2006</v>
      </c>
      <c r="D69" s="4"/>
      <c r="E69" s="4">
        <v>2007</v>
      </c>
      <c r="F69" s="4"/>
      <c r="G69" s="4">
        <v>2008</v>
      </c>
      <c r="H69" s="4"/>
      <c r="I69" s="4">
        <v>2009</v>
      </c>
      <c r="J69" s="4"/>
      <c r="K69" s="4">
        <v>2010</v>
      </c>
      <c r="L69" s="4"/>
      <c r="M69" s="4">
        <v>2011</v>
      </c>
      <c r="N69" s="4"/>
      <c r="O69" s="4">
        <v>2012</v>
      </c>
      <c r="P69" s="4"/>
      <c r="Q69" s="4">
        <v>2013</v>
      </c>
      <c r="R69" s="4"/>
      <c r="S69" s="4">
        <v>2014</v>
      </c>
      <c r="T69" s="4"/>
      <c r="U69" s="11">
        <v>2015</v>
      </c>
    </row>
    <row r="70" spans="2:22">
      <c r="B70" s="5" t="s">
        <v>126</v>
      </c>
      <c r="C70" s="6" t="s">
        <v>262</v>
      </c>
      <c r="D70" s="6" t="s">
        <v>149</v>
      </c>
      <c r="E70" s="6" t="s">
        <v>262</v>
      </c>
      <c r="F70" s="6" t="s">
        <v>149</v>
      </c>
      <c r="G70" s="6" t="s">
        <v>262</v>
      </c>
      <c r="H70" s="6" t="s">
        <v>149</v>
      </c>
      <c r="I70" s="6" t="s">
        <v>262</v>
      </c>
      <c r="J70" s="6" t="s">
        <v>149</v>
      </c>
      <c r="K70" s="6" t="s">
        <v>262</v>
      </c>
      <c r="L70" s="6" t="s">
        <v>149</v>
      </c>
      <c r="M70" s="6" t="s">
        <v>262</v>
      </c>
      <c r="N70" s="6" t="s">
        <v>149</v>
      </c>
      <c r="O70" s="6" t="s">
        <v>262</v>
      </c>
      <c r="P70" s="6" t="s">
        <v>149</v>
      </c>
      <c r="Q70" s="6" t="s">
        <v>262</v>
      </c>
      <c r="R70" s="6" t="s">
        <v>149</v>
      </c>
      <c r="S70" s="6" t="s">
        <v>262</v>
      </c>
      <c r="T70" s="6" t="s">
        <v>149</v>
      </c>
      <c r="U70" s="6" t="s">
        <v>262</v>
      </c>
      <c r="V70" s="3" t="s">
        <v>149</v>
      </c>
    </row>
    <row r="71" spans="2:22">
      <c r="B71" s="5" t="s">
        <v>252</v>
      </c>
      <c r="C71" s="6" t="s">
        <v>262</v>
      </c>
      <c r="D71" s="6" t="s">
        <v>165</v>
      </c>
      <c r="E71" s="6" t="s">
        <v>262</v>
      </c>
      <c r="F71" s="6" t="s">
        <v>165</v>
      </c>
      <c r="G71" s="6" t="s">
        <v>262</v>
      </c>
      <c r="H71" s="6" t="s">
        <v>165</v>
      </c>
      <c r="I71" s="6" t="s">
        <v>262</v>
      </c>
      <c r="J71" s="6" t="s">
        <v>165</v>
      </c>
      <c r="K71" s="6" t="s">
        <v>262</v>
      </c>
      <c r="L71" s="6" t="s">
        <v>165</v>
      </c>
      <c r="M71" s="6" t="s">
        <v>262</v>
      </c>
      <c r="N71" s="6" t="s">
        <v>165</v>
      </c>
      <c r="O71" s="6" t="s">
        <v>262</v>
      </c>
      <c r="P71" s="6" t="s">
        <v>165</v>
      </c>
      <c r="Q71" s="6" t="s">
        <v>262</v>
      </c>
      <c r="R71" s="6" t="s">
        <v>165</v>
      </c>
      <c r="S71" s="6" t="s">
        <v>262</v>
      </c>
      <c r="T71" s="6" t="s">
        <v>165</v>
      </c>
      <c r="U71" s="6" t="s">
        <v>262</v>
      </c>
      <c r="V71" s="3" t="s">
        <v>165</v>
      </c>
    </row>
    <row r="72" spans="2:22">
      <c r="B72" s="7" t="s">
        <v>127</v>
      </c>
      <c r="C72" s="23" t="s">
        <v>1</v>
      </c>
      <c r="D72" s="24"/>
      <c r="E72" s="25"/>
      <c r="F72" s="24"/>
      <c r="G72" s="25"/>
      <c r="H72" s="24"/>
      <c r="I72" s="25"/>
      <c r="J72" s="24"/>
      <c r="K72" s="25"/>
      <c r="L72" s="24"/>
      <c r="M72" s="25"/>
      <c r="N72" s="24"/>
      <c r="O72" s="25"/>
      <c r="P72" s="24"/>
      <c r="Q72" s="25"/>
      <c r="R72" s="24"/>
      <c r="S72" s="25"/>
      <c r="T72" s="24"/>
    </row>
    <row r="73" spans="2:22">
      <c r="B73" s="7" t="s">
        <v>2</v>
      </c>
      <c r="C73" s="23" t="s">
        <v>166</v>
      </c>
      <c r="D73" s="22"/>
      <c r="E73" s="23"/>
      <c r="F73" s="22"/>
      <c r="G73" s="23"/>
      <c r="H73" s="22"/>
      <c r="I73" s="23"/>
      <c r="J73" s="22"/>
      <c r="K73" s="23"/>
      <c r="L73" s="22"/>
      <c r="M73" s="23"/>
      <c r="N73" s="22"/>
      <c r="O73" s="23"/>
      <c r="P73" s="22"/>
      <c r="Q73" s="23"/>
      <c r="R73" s="22"/>
      <c r="S73" s="23"/>
      <c r="T73" s="22"/>
    </row>
    <row r="74" spans="2:22">
      <c r="B74" s="8" t="s">
        <v>3</v>
      </c>
      <c r="C74" s="23" t="s">
        <v>68</v>
      </c>
      <c r="D74" s="22"/>
      <c r="E74" s="23"/>
      <c r="F74" s="22"/>
      <c r="G74" s="23"/>
      <c r="H74" s="22"/>
      <c r="I74" s="23"/>
      <c r="J74" s="22"/>
      <c r="K74" s="23"/>
      <c r="L74" s="22"/>
      <c r="M74" s="23"/>
      <c r="N74" s="22"/>
      <c r="O74" s="23"/>
      <c r="P74" s="22"/>
      <c r="Q74" s="23"/>
      <c r="R74" s="22"/>
      <c r="S74" s="23"/>
      <c r="T74" s="22"/>
    </row>
    <row r="75" spans="2:22">
      <c r="B75" s="7" t="s">
        <v>5</v>
      </c>
      <c r="C75" s="23" t="s">
        <v>253</v>
      </c>
      <c r="D75" s="22"/>
      <c r="E75" s="23"/>
      <c r="F75" s="22"/>
      <c r="G75" s="23"/>
      <c r="H75" s="22"/>
      <c r="I75" s="23"/>
      <c r="J75" s="22"/>
      <c r="K75" s="23"/>
      <c r="L75" s="22"/>
      <c r="M75" s="23"/>
      <c r="N75" s="22"/>
      <c r="O75" s="23"/>
      <c r="P75" s="22"/>
      <c r="Q75" s="23"/>
      <c r="R75" s="22"/>
      <c r="S75" s="23"/>
      <c r="T75" s="22"/>
    </row>
    <row r="76" spans="2:22">
      <c r="B76" s="7" t="s">
        <v>7</v>
      </c>
      <c r="C76" s="26" t="s">
        <v>8</v>
      </c>
      <c r="D76" s="22"/>
      <c r="E76" s="23"/>
      <c r="F76" s="22"/>
      <c r="G76" s="23"/>
      <c r="H76" s="22"/>
      <c r="I76" s="23"/>
      <c r="J76" s="22"/>
      <c r="K76" s="23"/>
      <c r="L76" s="22"/>
      <c r="M76" s="23"/>
      <c r="N76" s="22"/>
      <c r="O76" s="23"/>
      <c r="P76" s="22"/>
      <c r="Q76" s="23"/>
      <c r="R76" s="22"/>
      <c r="S76" s="23"/>
      <c r="T76" s="22"/>
    </row>
    <row r="77" spans="2:22">
      <c r="B77" s="7" t="s">
        <v>9</v>
      </c>
      <c r="C77" s="26" t="s">
        <v>10</v>
      </c>
      <c r="D77" s="24"/>
      <c r="E77" s="25"/>
      <c r="F77" s="24"/>
      <c r="G77" s="25"/>
      <c r="H77" s="24"/>
      <c r="I77" s="25"/>
      <c r="J77" s="24"/>
      <c r="K77" s="25"/>
      <c r="L77" s="24"/>
      <c r="M77" s="25"/>
      <c r="N77" s="24"/>
      <c r="O77" s="25"/>
      <c r="P77" s="24"/>
      <c r="Q77" s="25"/>
      <c r="R77" s="24"/>
      <c r="S77" s="25"/>
      <c r="T77" s="24"/>
    </row>
    <row r="78" spans="2:22">
      <c r="B78" s="7" t="s">
        <v>12</v>
      </c>
      <c r="C78" s="26" t="s">
        <v>13</v>
      </c>
      <c r="D78" s="24"/>
      <c r="E78" s="23"/>
      <c r="F78" s="24"/>
      <c r="G78" s="23"/>
      <c r="H78" s="24"/>
      <c r="I78" s="23"/>
      <c r="J78" s="24"/>
      <c r="K78" s="23"/>
      <c r="L78" s="24"/>
      <c r="M78" s="23"/>
      <c r="N78" s="24"/>
      <c r="O78" s="23"/>
      <c r="P78" s="24"/>
      <c r="Q78" s="23"/>
      <c r="R78" s="24"/>
      <c r="S78" s="23"/>
      <c r="T78" s="24"/>
    </row>
    <row r="79" spans="2:22">
      <c r="B79" s="7" t="s">
        <v>14</v>
      </c>
      <c r="C79" s="26" t="s">
        <v>15</v>
      </c>
      <c r="D79" s="24"/>
      <c r="E79" s="23"/>
      <c r="F79" s="24"/>
      <c r="G79" s="23"/>
      <c r="H79" s="24"/>
      <c r="I79" s="23"/>
      <c r="J79" s="24"/>
      <c r="K79" s="23"/>
      <c r="L79" s="24"/>
      <c r="M79" s="23"/>
      <c r="N79" s="24"/>
      <c r="O79" s="23"/>
      <c r="P79" s="24"/>
      <c r="Q79" s="23"/>
      <c r="R79" s="24"/>
      <c r="S79" s="23"/>
      <c r="T79" s="24"/>
    </row>
    <row r="80" spans="2:22">
      <c r="B80" s="7" t="s">
        <v>17</v>
      </c>
      <c r="C80" s="26" t="s">
        <v>18</v>
      </c>
      <c r="D80" s="24"/>
      <c r="E80" s="23"/>
      <c r="F80" s="24"/>
      <c r="G80" s="23"/>
      <c r="H80" s="24"/>
      <c r="I80" s="23"/>
      <c r="J80" s="24"/>
      <c r="K80" s="23"/>
      <c r="L80" s="24"/>
      <c r="M80" s="23"/>
      <c r="N80" s="24"/>
      <c r="O80" s="23"/>
      <c r="P80" s="24"/>
      <c r="Q80" s="23"/>
      <c r="R80" s="24"/>
      <c r="S80" s="23"/>
      <c r="T80" s="24"/>
    </row>
    <row r="81" spans="2:20">
      <c r="B81" s="7" t="s">
        <v>19</v>
      </c>
      <c r="C81" s="26" t="s">
        <v>20</v>
      </c>
      <c r="D81" s="24"/>
      <c r="E81" s="23"/>
      <c r="F81" s="24"/>
      <c r="G81" s="23"/>
      <c r="H81" s="24"/>
      <c r="I81" s="23"/>
      <c r="J81" s="24"/>
      <c r="K81" s="23"/>
      <c r="L81" s="24"/>
      <c r="M81" s="23"/>
      <c r="N81" s="24"/>
      <c r="O81" s="23"/>
      <c r="P81" s="24"/>
      <c r="Q81" s="23"/>
      <c r="R81" s="24"/>
      <c r="S81" s="23"/>
      <c r="T81" s="24"/>
    </row>
    <row r="82" spans="2:20">
      <c r="B82" s="7" t="s">
        <v>21</v>
      </c>
      <c r="C82" s="26" t="s">
        <v>22</v>
      </c>
      <c r="D82" s="24"/>
      <c r="E82" s="25"/>
      <c r="F82" s="24"/>
      <c r="G82" s="25"/>
      <c r="H82" s="24"/>
      <c r="I82" s="25"/>
      <c r="J82" s="24"/>
      <c r="K82" s="25"/>
      <c r="L82" s="24"/>
      <c r="M82" s="25"/>
      <c r="N82" s="24"/>
      <c r="O82" s="25"/>
      <c r="P82" s="24"/>
      <c r="Q82" s="25"/>
      <c r="R82" s="24"/>
      <c r="S82" s="25"/>
      <c r="T82" s="24"/>
    </row>
    <row r="83" spans="2:20">
      <c r="B83" s="7" t="s">
        <v>23</v>
      </c>
      <c r="C83" s="26" t="s">
        <v>24</v>
      </c>
      <c r="D83" s="24"/>
      <c r="E83" s="23"/>
      <c r="F83" s="24"/>
      <c r="G83" s="23"/>
      <c r="H83" s="24"/>
      <c r="I83" s="23"/>
      <c r="J83" s="24"/>
      <c r="K83" s="23"/>
      <c r="L83" s="24"/>
      <c r="M83" s="23"/>
      <c r="N83" s="24"/>
      <c r="O83" s="23"/>
      <c r="P83" s="24"/>
      <c r="Q83" s="23"/>
      <c r="R83" s="24"/>
      <c r="S83" s="23"/>
      <c r="T83" s="24"/>
    </row>
    <row r="84" spans="2:20">
      <c r="B84" s="7" t="s">
        <v>25</v>
      </c>
      <c r="C84" s="26" t="s">
        <v>26</v>
      </c>
      <c r="D84" s="24"/>
      <c r="E84" s="23"/>
      <c r="F84" s="24"/>
      <c r="G84" s="23"/>
      <c r="H84" s="24"/>
      <c r="I84" s="23"/>
      <c r="J84" s="24"/>
      <c r="K84" s="23"/>
      <c r="L84" s="24"/>
      <c r="M84" s="23"/>
      <c r="N84" s="24"/>
      <c r="O84" s="23"/>
      <c r="P84" s="24"/>
      <c r="Q84" s="23"/>
      <c r="R84" s="24"/>
      <c r="S84" s="23"/>
      <c r="T84" s="24"/>
    </row>
    <row r="85" spans="2:20">
      <c r="B85" s="7" t="s">
        <v>27</v>
      </c>
      <c r="C85" s="26" t="s">
        <v>28</v>
      </c>
      <c r="D85" s="24"/>
      <c r="E85" s="23"/>
      <c r="F85" s="24"/>
      <c r="G85" s="23"/>
      <c r="H85" s="24"/>
      <c r="I85" s="23"/>
      <c r="J85" s="24"/>
      <c r="K85" s="23"/>
      <c r="L85" s="24"/>
      <c r="M85" s="23"/>
      <c r="N85" s="24"/>
      <c r="O85" s="23"/>
      <c r="P85" s="24"/>
      <c r="Q85" s="23"/>
      <c r="R85" s="24"/>
      <c r="S85" s="23"/>
      <c r="T85" s="24"/>
    </row>
    <row r="86" spans="2:20">
      <c r="B86" s="7" t="s">
        <v>29</v>
      </c>
      <c r="C86" s="26" t="s">
        <v>30</v>
      </c>
      <c r="D86" s="24"/>
      <c r="E86" s="23"/>
      <c r="F86" s="24"/>
      <c r="G86" s="23"/>
      <c r="H86" s="24"/>
      <c r="I86" s="23"/>
      <c r="J86" s="24"/>
      <c r="K86" s="23"/>
      <c r="L86" s="24"/>
      <c r="M86" s="23"/>
      <c r="N86" s="24"/>
      <c r="O86" s="23"/>
      <c r="P86" s="24"/>
      <c r="Q86" s="23"/>
      <c r="R86" s="24"/>
      <c r="S86" s="23"/>
      <c r="T86" s="24"/>
    </row>
    <row r="87" spans="2:20">
      <c r="B87" s="7" t="s">
        <v>31</v>
      </c>
      <c r="C87" s="26" t="s">
        <v>174</v>
      </c>
      <c r="D87" s="24"/>
      <c r="E87" s="23"/>
      <c r="F87" s="24"/>
      <c r="G87" s="23"/>
      <c r="H87" s="24"/>
      <c r="I87" s="23"/>
      <c r="J87" s="24"/>
      <c r="K87" s="23"/>
      <c r="L87" s="24"/>
      <c r="M87" s="23"/>
      <c r="N87" s="24"/>
      <c r="O87" s="23"/>
      <c r="P87" s="24"/>
      <c r="Q87" s="23"/>
      <c r="R87" s="24"/>
      <c r="S87" s="23"/>
      <c r="T87" s="24"/>
    </row>
    <row r="88" spans="2:20">
      <c r="B88" s="7" t="s">
        <v>32</v>
      </c>
      <c r="C88" s="12" t="s">
        <v>33</v>
      </c>
      <c r="D88" s="24"/>
      <c r="E88" s="23"/>
      <c r="F88" s="24"/>
      <c r="G88" s="23"/>
      <c r="H88" s="24"/>
      <c r="I88" s="23"/>
      <c r="J88" s="24"/>
      <c r="K88" s="23"/>
      <c r="L88" s="24"/>
      <c r="M88" s="23"/>
      <c r="N88" s="24"/>
      <c r="O88" s="23"/>
      <c r="P88" s="24"/>
      <c r="Q88" s="23"/>
      <c r="R88" s="24"/>
      <c r="S88" s="23"/>
      <c r="T88" s="24"/>
    </row>
    <row r="89" spans="2:20">
      <c r="B89" s="7" t="s">
        <v>34</v>
      </c>
      <c r="C89" s="12" t="s">
        <v>35</v>
      </c>
      <c r="D89" s="24"/>
      <c r="E89" s="25"/>
      <c r="F89" s="24"/>
      <c r="G89" s="25"/>
      <c r="H89" s="24"/>
      <c r="I89" s="25"/>
      <c r="J89" s="24"/>
      <c r="K89" s="25"/>
      <c r="L89" s="24"/>
      <c r="M89" s="25"/>
      <c r="N89" s="24"/>
      <c r="O89" s="25"/>
      <c r="P89" s="24"/>
      <c r="Q89" s="25"/>
      <c r="R89" s="24"/>
      <c r="S89" s="25"/>
      <c r="T89" s="24"/>
    </row>
    <row r="90" spans="2:20">
      <c r="B90" s="7" t="s">
        <v>37</v>
      </c>
      <c r="C90" s="12" t="s">
        <v>38</v>
      </c>
      <c r="D90" s="24"/>
      <c r="E90" s="23"/>
      <c r="F90" s="24"/>
      <c r="G90" s="23"/>
      <c r="H90" s="24"/>
      <c r="I90" s="23"/>
      <c r="J90" s="24"/>
      <c r="K90" s="23"/>
      <c r="L90" s="24"/>
      <c r="M90" s="23"/>
      <c r="N90" s="24"/>
      <c r="O90" s="23"/>
      <c r="P90" s="24"/>
      <c r="Q90" s="23"/>
      <c r="R90" s="24"/>
      <c r="S90" s="23"/>
      <c r="T90" s="24"/>
    </row>
    <row r="91" spans="2:20">
      <c r="B91" s="7" t="s">
        <v>39</v>
      </c>
      <c r="C91" s="12" t="s">
        <v>167</v>
      </c>
      <c r="D91" s="24"/>
      <c r="E91" s="23"/>
      <c r="F91" s="24"/>
      <c r="G91" s="23"/>
      <c r="H91" s="24"/>
      <c r="I91" s="23"/>
      <c r="J91" s="24"/>
      <c r="K91" s="23"/>
      <c r="L91" s="24"/>
      <c r="M91" s="23"/>
      <c r="N91" s="24"/>
      <c r="O91" s="23"/>
      <c r="P91" s="24"/>
      <c r="Q91" s="23"/>
      <c r="R91" s="24"/>
      <c r="S91" s="23"/>
      <c r="T91" s="24"/>
    </row>
    <row r="92" spans="2:20">
      <c r="B92" s="7" t="s">
        <v>40</v>
      </c>
      <c r="C92" s="12" t="s">
        <v>41</v>
      </c>
      <c r="D92" s="24"/>
      <c r="E92" s="23"/>
      <c r="F92" s="24"/>
      <c r="G92" s="23"/>
      <c r="H92" s="24"/>
      <c r="I92" s="23"/>
      <c r="J92" s="24"/>
      <c r="K92" s="23"/>
      <c r="L92" s="24"/>
      <c r="M92" s="23"/>
      <c r="N92" s="24"/>
      <c r="O92" s="23"/>
      <c r="P92" s="24"/>
      <c r="Q92" s="23"/>
      <c r="R92" s="24"/>
      <c r="S92" s="23"/>
      <c r="T92" s="24"/>
    </row>
    <row r="93" spans="2:20">
      <c r="B93" s="7" t="s">
        <v>42</v>
      </c>
      <c r="C93" s="12" t="s">
        <v>43</v>
      </c>
      <c r="D93" s="24"/>
      <c r="E93" s="23"/>
      <c r="F93" s="24"/>
      <c r="G93" s="23"/>
      <c r="H93" s="24"/>
      <c r="I93" s="23"/>
      <c r="J93" s="24"/>
      <c r="K93" s="23"/>
      <c r="L93" s="24"/>
      <c r="M93" s="23"/>
      <c r="N93" s="24"/>
      <c r="O93" s="23"/>
      <c r="P93" s="24"/>
      <c r="Q93" s="23"/>
      <c r="R93" s="24"/>
      <c r="S93" s="23"/>
      <c r="T93" s="24"/>
    </row>
    <row r="94" spans="2:20">
      <c r="B94" s="7" t="s">
        <v>45</v>
      </c>
      <c r="C94" s="12" t="s">
        <v>46</v>
      </c>
      <c r="D94" s="24"/>
      <c r="E94" s="25"/>
      <c r="F94" s="24"/>
      <c r="G94" s="25"/>
      <c r="H94" s="24"/>
      <c r="I94" s="25"/>
      <c r="J94" s="24"/>
      <c r="K94" s="25"/>
      <c r="L94" s="24"/>
      <c r="M94" s="25"/>
      <c r="N94" s="24"/>
      <c r="O94" s="25"/>
      <c r="P94" s="24"/>
      <c r="Q94" s="25"/>
      <c r="R94" s="24"/>
      <c r="S94" s="25"/>
      <c r="T94" s="24"/>
    </row>
    <row r="95" spans="2:20">
      <c r="B95" s="7" t="s">
        <v>47</v>
      </c>
      <c r="C95" s="12" t="s">
        <v>48</v>
      </c>
      <c r="D95" s="24"/>
      <c r="E95" s="25"/>
      <c r="F95" s="24"/>
      <c r="G95" s="25"/>
      <c r="H95" s="24"/>
      <c r="I95" s="25"/>
      <c r="J95" s="24"/>
      <c r="K95" s="25"/>
      <c r="L95" s="24"/>
      <c r="M95" s="25"/>
      <c r="N95" s="24"/>
      <c r="O95" s="25"/>
      <c r="P95" s="24"/>
      <c r="Q95" s="25"/>
      <c r="R95" s="24"/>
      <c r="S95" s="25"/>
      <c r="T95" s="24"/>
    </row>
    <row r="96" spans="2:20">
      <c r="B96" s="7" t="s">
        <v>50</v>
      </c>
      <c r="C96" s="12" t="s">
        <v>168</v>
      </c>
      <c r="D96" s="24"/>
      <c r="E96" s="25"/>
      <c r="F96" s="24"/>
      <c r="G96" s="25"/>
      <c r="H96" s="24"/>
      <c r="I96" s="25"/>
      <c r="J96" s="24"/>
      <c r="K96" s="25"/>
      <c r="L96" s="24"/>
      <c r="M96" s="25"/>
      <c r="N96" s="24"/>
      <c r="O96" s="25"/>
      <c r="P96" s="24"/>
      <c r="Q96" s="25"/>
      <c r="R96" s="24"/>
      <c r="S96" s="25"/>
      <c r="T96" s="24"/>
    </row>
    <row r="97" spans="2:20">
      <c r="B97" s="7" t="s">
        <v>51</v>
      </c>
      <c r="C97" s="12" t="s">
        <v>52</v>
      </c>
      <c r="D97" s="22"/>
      <c r="E97" s="23"/>
      <c r="F97" s="22"/>
      <c r="G97" s="23"/>
      <c r="H97" s="22"/>
      <c r="I97" s="23"/>
      <c r="J97" s="22"/>
      <c r="K97" s="23"/>
      <c r="L97" s="22"/>
      <c r="M97" s="23"/>
      <c r="N97" s="22"/>
      <c r="O97" s="23"/>
      <c r="P97" s="22"/>
      <c r="Q97" s="23"/>
      <c r="R97" s="22"/>
      <c r="S97" s="23"/>
      <c r="T97" s="22"/>
    </row>
    <row r="98" spans="2:20">
      <c r="B98" s="7" t="s">
        <v>53</v>
      </c>
      <c r="C98" s="12" t="s">
        <v>54</v>
      </c>
      <c r="D98" s="22"/>
      <c r="E98" s="23"/>
      <c r="F98" s="22"/>
      <c r="G98" s="23"/>
      <c r="H98" s="22"/>
      <c r="I98" s="23"/>
      <c r="J98" s="22"/>
      <c r="K98" s="23"/>
      <c r="L98" s="22"/>
      <c r="M98" s="23"/>
      <c r="N98" s="22"/>
      <c r="O98" s="23"/>
      <c r="P98" s="22"/>
      <c r="Q98" s="23"/>
      <c r="R98" s="22"/>
      <c r="S98" s="23"/>
      <c r="T98" s="22"/>
    </row>
    <row r="99" spans="2:20">
      <c r="B99" s="7" t="s">
        <v>55</v>
      </c>
      <c r="C99" s="12" t="s">
        <v>56</v>
      </c>
      <c r="D99" s="22"/>
      <c r="E99" s="23"/>
      <c r="F99" s="22"/>
      <c r="G99" s="23"/>
      <c r="H99" s="22"/>
      <c r="I99" s="23"/>
      <c r="J99" s="22"/>
      <c r="K99" s="23"/>
      <c r="L99" s="22"/>
      <c r="M99" s="23"/>
      <c r="N99" s="22"/>
      <c r="O99" s="23"/>
      <c r="P99" s="22"/>
      <c r="Q99" s="23"/>
      <c r="R99" s="22"/>
      <c r="S99" s="23"/>
      <c r="T99" s="22"/>
    </row>
    <row r="100" spans="2:20">
      <c r="B100" s="7" t="s">
        <v>57</v>
      </c>
      <c r="C100" s="12" t="s">
        <v>58</v>
      </c>
      <c r="D100" s="22"/>
      <c r="E100" s="23"/>
      <c r="F100" s="22"/>
      <c r="G100" s="23"/>
      <c r="H100" s="22"/>
      <c r="I100" s="23"/>
      <c r="J100" s="22"/>
      <c r="K100" s="23"/>
      <c r="L100" s="22"/>
      <c r="M100" s="23"/>
      <c r="N100" s="22"/>
      <c r="O100" s="23"/>
      <c r="P100" s="22"/>
      <c r="Q100" s="23"/>
      <c r="R100" s="22"/>
      <c r="S100" s="23"/>
      <c r="T100" s="22"/>
    </row>
    <row r="101" spans="2:20">
      <c r="B101" s="7" t="s">
        <v>59</v>
      </c>
      <c r="C101" s="12" t="s">
        <v>60</v>
      </c>
      <c r="D101" s="22"/>
      <c r="E101" s="23"/>
      <c r="F101" s="22"/>
      <c r="G101" s="23"/>
      <c r="H101" s="22"/>
      <c r="I101" s="23"/>
      <c r="J101" s="22"/>
      <c r="K101" s="23"/>
      <c r="L101" s="22"/>
      <c r="M101" s="23"/>
      <c r="N101" s="22"/>
      <c r="O101" s="23"/>
      <c r="P101" s="22"/>
      <c r="Q101" s="23"/>
      <c r="R101" s="22"/>
      <c r="S101" s="23"/>
      <c r="T101" s="22"/>
    </row>
    <row r="102" spans="2:20">
      <c r="B102" s="7" t="s">
        <v>53</v>
      </c>
      <c r="C102" s="12" t="s">
        <v>54</v>
      </c>
      <c r="D102" s="22"/>
      <c r="E102" s="23"/>
      <c r="F102" s="22"/>
      <c r="G102" s="23"/>
      <c r="H102" s="22"/>
      <c r="I102" s="23"/>
      <c r="J102" s="22"/>
      <c r="K102" s="23"/>
      <c r="L102" s="22"/>
      <c r="M102" s="23"/>
      <c r="N102" s="22"/>
      <c r="O102" s="23"/>
      <c r="P102" s="22"/>
      <c r="Q102" s="23"/>
      <c r="R102" s="22"/>
      <c r="S102" s="23"/>
      <c r="T102" s="22"/>
    </row>
    <row r="103" spans="2:20">
      <c r="B103" s="7" t="s">
        <v>408</v>
      </c>
      <c r="C103" s="12" t="s">
        <v>462</v>
      </c>
      <c r="D103" s="22"/>
      <c r="E103" s="23"/>
      <c r="F103" s="22"/>
      <c r="G103" s="23"/>
      <c r="H103" s="22"/>
      <c r="I103" s="23"/>
      <c r="J103" s="22"/>
      <c r="K103" s="23"/>
      <c r="L103" s="22"/>
      <c r="M103" s="23"/>
      <c r="N103" s="22"/>
      <c r="O103" s="23"/>
      <c r="P103" s="22"/>
      <c r="Q103" s="23"/>
      <c r="R103" s="22"/>
      <c r="S103" s="23"/>
      <c r="T103" s="22"/>
    </row>
    <row r="104" spans="2:20">
      <c r="B104" s="7" t="s">
        <v>61</v>
      </c>
      <c r="C104" s="12" t="s">
        <v>339</v>
      </c>
      <c r="D104" s="22"/>
      <c r="E104" s="23"/>
      <c r="F104" s="22"/>
      <c r="G104" s="23"/>
      <c r="H104" s="22"/>
      <c r="I104" s="23"/>
      <c r="J104" s="22"/>
      <c r="K104" s="23"/>
      <c r="L104" s="22"/>
      <c r="M104" s="23"/>
      <c r="N104" s="22"/>
      <c r="O104" s="23"/>
      <c r="P104" s="22"/>
      <c r="Q104" s="23"/>
      <c r="R104" s="22"/>
      <c r="S104" s="23"/>
      <c r="T104" s="22"/>
    </row>
    <row r="105" spans="2:20">
      <c r="B105" s="7" t="s">
        <v>125</v>
      </c>
      <c r="C105" s="12" t="s">
        <v>169</v>
      </c>
      <c r="D105" s="22"/>
      <c r="E105" s="23"/>
      <c r="F105" s="22"/>
      <c r="G105" s="23"/>
      <c r="H105" s="22"/>
      <c r="I105" s="23"/>
      <c r="J105" s="22"/>
      <c r="K105" s="23"/>
      <c r="L105" s="22"/>
      <c r="M105" s="23"/>
      <c r="N105" s="22"/>
      <c r="O105" s="23"/>
      <c r="P105" s="22"/>
      <c r="Q105" s="23"/>
      <c r="R105" s="22"/>
      <c r="S105" s="23"/>
      <c r="T105" s="22"/>
    </row>
    <row r="106" spans="2:20">
      <c r="B106" s="9" t="s">
        <v>62</v>
      </c>
      <c r="C106" s="12" t="s">
        <v>340</v>
      </c>
      <c r="D106" s="22"/>
      <c r="E106" s="23"/>
      <c r="F106" s="22"/>
      <c r="G106" s="23"/>
      <c r="H106" s="22"/>
      <c r="I106" s="23"/>
      <c r="J106" s="22"/>
      <c r="K106" s="23"/>
      <c r="L106" s="22"/>
      <c r="M106" s="23"/>
      <c r="N106" s="22"/>
      <c r="O106" s="23"/>
      <c r="P106" s="22"/>
      <c r="Q106" s="23"/>
      <c r="R106" s="22"/>
      <c r="S106" s="23"/>
      <c r="T106" s="22"/>
    </row>
    <row r="107" spans="2:20">
      <c r="B107" s="9" t="s">
        <v>63</v>
      </c>
      <c r="C107" s="12" t="s">
        <v>64</v>
      </c>
      <c r="D107" s="22"/>
      <c r="E107" s="23"/>
      <c r="F107" s="22"/>
      <c r="G107" s="23"/>
      <c r="H107" s="22"/>
      <c r="I107" s="23"/>
      <c r="J107" s="22"/>
      <c r="K107" s="23"/>
      <c r="L107" s="22"/>
      <c r="M107" s="23"/>
      <c r="N107" s="22"/>
      <c r="O107" s="23"/>
      <c r="P107" s="22"/>
      <c r="Q107" s="23"/>
      <c r="R107" s="22"/>
      <c r="S107" s="23"/>
      <c r="T107" s="22"/>
    </row>
    <row r="108" spans="2:20">
      <c r="B108" s="9" t="s">
        <v>65</v>
      </c>
      <c r="C108" s="12" t="s">
        <v>66</v>
      </c>
      <c r="D108" s="22"/>
      <c r="E108" s="23"/>
      <c r="F108" s="22"/>
      <c r="G108" s="23"/>
      <c r="H108" s="22"/>
      <c r="I108" s="23"/>
      <c r="J108" s="22"/>
      <c r="K108" s="23"/>
      <c r="L108" s="22"/>
      <c r="M108" s="23"/>
      <c r="N108" s="22"/>
      <c r="O108" s="23"/>
      <c r="P108" s="22"/>
      <c r="Q108" s="23"/>
      <c r="R108" s="22"/>
      <c r="S108" s="23"/>
      <c r="T108" s="22"/>
    </row>
    <row r="109" spans="2:20">
      <c r="B109" s="9" t="s">
        <v>67</v>
      </c>
      <c r="C109" s="12" t="s">
        <v>68</v>
      </c>
      <c r="D109" s="22"/>
      <c r="E109" s="23"/>
      <c r="F109" s="22"/>
      <c r="G109" s="23"/>
      <c r="H109" s="22"/>
      <c r="I109" s="23"/>
      <c r="J109" s="22"/>
      <c r="K109" s="23"/>
      <c r="L109" s="22"/>
      <c r="M109" s="23"/>
      <c r="N109" s="22"/>
      <c r="O109" s="23"/>
      <c r="P109" s="22"/>
      <c r="Q109" s="23"/>
      <c r="R109" s="22"/>
      <c r="S109" s="23"/>
      <c r="T109" s="22"/>
    </row>
    <row r="110" spans="2:20">
      <c r="B110" s="9" t="s">
        <v>69</v>
      </c>
      <c r="C110" s="12" t="s">
        <v>70</v>
      </c>
      <c r="D110" s="22"/>
      <c r="E110" s="23"/>
      <c r="F110" s="22"/>
      <c r="G110" s="23"/>
      <c r="H110" s="22"/>
      <c r="I110" s="23"/>
      <c r="J110" s="22"/>
      <c r="K110" s="23"/>
      <c r="L110" s="22"/>
      <c r="M110" s="23"/>
      <c r="N110" s="22"/>
      <c r="O110" s="23"/>
      <c r="P110" s="22"/>
      <c r="Q110" s="23"/>
      <c r="R110" s="22"/>
      <c r="S110" s="23"/>
      <c r="T110" s="22"/>
    </row>
    <row r="111" spans="2:20">
      <c r="B111" s="9" t="s">
        <v>71</v>
      </c>
      <c r="C111" s="12" t="s">
        <v>72</v>
      </c>
      <c r="D111" s="22"/>
      <c r="E111" s="23"/>
      <c r="F111" s="22"/>
      <c r="G111" s="23"/>
      <c r="H111" s="22"/>
      <c r="I111" s="23"/>
      <c r="J111" s="22"/>
      <c r="K111" s="23"/>
      <c r="L111" s="22"/>
      <c r="M111" s="23"/>
      <c r="N111" s="22"/>
      <c r="O111" s="23"/>
      <c r="P111" s="22"/>
      <c r="Q111" s="23"/>
      <c r="R111" s="22"/>
      <c r="S111" s="23"/>
      <c r="T111" s="22"/>
    </row>
    <row r="112" spans="2:20">
      <c r="B112" s="9" t="s">
        <v>128</v>
      </c>
      <c r="C112" s="12" t="s">
        <v>178</v>
      </c>
      <c r="D112" s="24"/>
      <c r="E112" s="25"/>
      <c r="F112" s="24"/>
      <c r="G112" s="25"/>
      <c r="H112" s="24"/>
      <c r="I112" s="25"/>
      <c r="J112" s="24"/>
      <c r="K112" s="25"/>
      <c r="L112" s="24"/>
      <c r="M112" s="25"/>
      <c r="N112" s="24"/>
      <c r="O112" s="25"/>
      <c r="P112" s="24"/>
      <c r="Q112" s="25"/>
      <c r="R112" s="24"/>
      <c r="S112" s="25"/>
      <c r="T112" s="24"/>
    </row>
    <row r="113" spans="2:20">
      <c r="B113" s="9" t="s">
        <v>74</v>
      </c>
      <c r="C113" s="12" t="s">
        <v>75</v>
      </c>
      <c r="D113" s="22"/>
      <c r="E113" s="23"/>
      <c r="F113" s="22"/>
      <c r="G113" s="23"/>
      <c r="H113" s="22"/>
      <c r="I113" s="23"/>
      <c r="J113" s="22"/>
      <c r="K113" s="23"/>
      <c r="L113" s="22"/>
      <c r="M113" s="23"/>
      <c r="N113" s="22"/>
      <c r="O113" s="23"/>
      <c r="P113" s="22"/>
      <c r="Q113" s="23"/>
      <c r="R113" s="22"/>
      <c r="S113" s="23"/>
      <c r="T113" s="22"/>
    </row>
    <row r="114" spans="2:20">
      <c r="B114" s="9" t="s">
        <v>76</v>
      </c>
      <c r="C114" s="12" t="s">
        <v>77</v>
      </c>
      <c r="D114" s="22"/>
      <c r="E114" s="23"/>
      <c r="F114" s="22"/>
      <c r="G114" s="23"/>
      <c r="H114" s="22"/>
      <c r="I114" s="23"/>
      <c r="J114" s="22"/>
      <c r="K114" s="23"/>
      <c r="L114" s="22"/>
      <c r="M114" s="23"/>
      <c r="N114" s="22"/>
      <c r="O114" s="23"/>
      <c r="P114" s="22"/>
      <c r="Q114" s="23"/>
      <c r="R114" s="22"/>
      <c r="S114" s="23"/>
      <c r="T114" s="22"/>
    </row>
    <row r="115" spans="2:20">
      <c r="B115" s="9" t="s">
        <v>78</v>
      </c>
      <c r="C115" s="12" t="s">
        <v>150</v>
      </c>
      <c r="D115" s="22"/>
      <c r="E115" s="23"/>
      <c r="F115" s="22"/>
      <c r="G115" s="23"/>
      <c r="H115" s="22"/>
      <c r="I115" s="23"/>
      <c r="J115" s="22"/>
      <c r="K115" s="23"/>
      <c r="L115" s="22"/>
      <c r="M115" s="23"/>
      <c r="N115" s="22"/>
      <c r="O115" s="23"/>
      <c r="P115" s="22"/>
      <c r="Q115" s="23"/>
      <c r="R115" s="22"/>
      <c r="S115" s="23"/>
      <c r="T115" s="22"/>
    </row>
    <row r="116" spans="2:20">
      <c r="B116" s="9" t="s">
        <v>79</v>
      </c>
      <c r="C116" s="12" t="s">
        <v>80</v>
      </c>
      <c r="D116" s="22"/>
      <c r="E116" s="23"/>
      <c r="F116" s="22"/>
      <c r="G116" s="23"/>
      <c r="H116" s="22"/>
      <c r="I116" s="23"/>
      <c r="J116" s="22"/>
      <c r="K116" s="23"/>
      <c r="L116" s="22"/>
      <c r="M116" s="23"/>
      <c r="N116" s="22"/>
      <c r="O116" s="23"/>
      <c r="P116" s="22"/>
      <c r="Q116" s="23"/>
      <c r="R116" s="22"/>
      <c r="S116" s="23"/>
      <c r="T116" s="22"/>
    </row>
    <row r="117" spans="2:20">
      <c r="B117" s="9" t="s">
        <v>81</v>
      </c>
      <c r="C117" s="12" t="s">
        <v>82</v>
      </c>
      <c r="D117" s="22"/>
      <c r="E117" s="23"/>
      <c r="F117" s="22"/>
      <c r="G117" s="23"/>
      <c r="H117" s="22"/>
      <c r="I117" s="23"/>
      <c r="J117" s="22"/>
      <c r="K117" s="23"/>
      <c r="L117" s="22"/>
      <c r="M117" s="23"/>
      <c r="N117" s="22"/>
      <c r="O117" s="23"/>
      <c r="P117" s="22"/>
      <c r="Q117" s="23"/>
      <c r="R117" s="22"/>
      <c r="S117" s="23"/>
      <c r="T117" s="22"/>
    </row>
    <row r="118" spans="2:20">
      <c r="B118" s="9" t="s">
        <v>83</v>
      </c>
      <c r="C118" s="12" t="s">
        <v>84</v>
      </c>
      <c r="D118" s="24"/>
      <c r="E118" s="25"/>
      <c r="F118" s="24"/>
      <c r="G118" s="25"/>
      <c r="H118" s="24"/>
      <c r="I118" s="25"/>
      <c r="J118" s="24"/>
      <c r="K118" s="25"/>
      <c r="L118" s="24"/>
      <c r="M118" s="25"/>
      <c r="N118" s="24"/>
      <c r="O118" s="25"/>
      <c r="P118" s="24"/>
      <c r="Q118" s="25"/>
      <c r="R118" s="24"/>
      <c r="S118" s="25"/>
      <c r="T118" s="24"/>
    </row>
    <row r="119" spans="2:20">
      <c r="B119" s="9" t="s">
        <v>85</v>
      </c>
      <c r="C119" s="12" t="s">
        <v>341</v>
      </c>
      <c r="D119" s="22"/>
      <c r="E119" s="23"/>
      <c r="F119" s="22"/>
      <c r="G119" s="23"/>
      <c r="H119" s="22"/>
      <c r="I119" s="23"/>
      <c r="J119" s="22"/>
      <c r="K119" s="23"/>
      <c r="L119" s="22"/>
      <c r="M119" s="23"/>
      <c r="N119" s="22"/>
      <c r="O119" s="23"/>
      <c r="P119" s="22"/>
      <c r="Q119" s="23"/>
      <c r="R119" s="22"/>
      <c r="S119" s="23"/>
      <c r="T119" s="22"/>
    </row>
    <row r="120" spans="2:20">
      <c r="B120" s="9" t="s">
        <v>129</v>
      </c>
      <c r="C120" s="12" t="s">
        <v>179</v>
      </c>
      <c r="D120" s="22"/>
      <c r="E120" s="23"/>
      <c r="F120" s="22"/>
      <c r="G120" s="23"/>
      <c r="H120" s="22"/>
      <c r="I120" s="23"/>
      <c r="J120" s="22"/>
      <c r="K120" s="23"/>
      <c r="L120" s="22"/>
      <c r="M120" s="23"/>
      <c r="N120" s="22"/>
      <c r="O120" s="23"/>
      <c r="P120" s="22"/>
      <c r="Q120" s="23"/>
      <c r="R120" s="22"/>
      <c r="S120" s="23"/>
      <c r="T120" s="22"/>
    </row>
    <row r="121" spans="2:20">
      <c r="B121" s="9" t="s">
        <v>86</v>
      </c>
      <c r="C121" s="12" t="s">
        <v>87</v>
      </c>
      <c r="D121" s="22"/>
      <c r="E121" s="23"/>
      <c r="F121" s="22"/>
      <c r="G121" s="23"/>
      <c r="H121" s="22"/>
      <c r="I121" s="23"/>
      <c r="J121" s="22"/>
      <c r="K121" s="23"/>
      <c r="L121" s="22"/>
      <c r="M121" s="23"/>
      <c r="N121" s="22"/>
      <c r="O121" s="23"/>
      <c r="P121" s="22"/>
      <c r="Q121" s="23"/>
      <c r="R121" s="22"/>
      <c r="S121" s="23"/>
      <c r="T121" s="22"/>
    </row>
    <row r="122" spans="2:20">
      <c r="B122" s="9" t="s">
        <v>88</v>
      </c>
      <c r="C122" s="12" t="s">
        <v>89</v>
      </c>
      <c r="D122" s="22"/>
      <c r="E122" s="23"/>
      <c r="F122" s="22"/>
      <c r="G122" s="23"/>
      <c r="H122" s="22"/>
      <c r="I122" s="23"/>
      <c r="J122" s="22"/>
      <c r="K122" s="23"/>
      <c r="L122" s="22"/>
      <c r="M122" s="23"/>
      <c r="N122" s="22"/>
      <c r="O122" s="23"/>
      <c r="P122" s="22"/>
      <c r="Q122" s="23"/>
      <c r="R122" s="22"/>
      <c r="S122" s="23"/>
      <c r="T122" s="22"/>
    </row>
    <row r="123" spans="2:20">
      <c r="B123" s="9" t="s">
        <v>90</v>
      </c>
      <c r="C123" s="12" t="s">
        <v>91</v>
      </c>
      <c r="D123" s="22"/>
      <c r="E123" s="23"/>
      <c r="F123" s="22"/>
      <c r="G123" s="23"/>
      <c r="H123" s="22"/>
      <c r="I123" s="23"/>
      <c r="J123" s="22"/>
      <c r="K123" s="23"/>
      <c r="L123" s="22"/>
      <c r="M123" s="23"/>
      <c r="N123" s="22"/>
      <c r="O123" s="23"/>
      <c r="P123" s="22"/>
      <c r="Q123" s="23"/>
      <c r="R123" s="22"/>
      <c r="S123" s="23"/>
      <c r="T123" s="22"/>
    </row>
    <row r="124" spans="2:20">
      <c r="B124" s="9" t="s">
        <v>92</v>
      </c>
      <c r="C124" s="12" t="s">
        <v>93</v>
      </c>
      <c r="D124" s="24"/>
      <c r="E124" s="25"/>
      <c r="F124" s="24"/>
      <c r="G124" s="25"/>
      <c r="H124" s="24"/>
      <c r="I124" s="25"/>
      <c r="J124" s="24"/>
      <c r="K124" s="25"/>
      <c r="L124" s="24"/>
      <c r="M124" s="25"/>
      <c r="N124" s="24"/>
      <c r="O124" s="25"/>
      <c r="P124" s="24"/>
      <c r="Q124" s="25"/>
      <c r="R124" s="24"/>
      <c r="S124" s="25"/>
      <c r="T124" s="24"/>
    </row>
    <row r="125" spans="2:20">
      <c r="B125" s="9" t="s">
        <v>94</v>
      </c>
      <c r="C125" s="12" t="s">
        <v>95</v>
      </c>
      <c r="D125" s="24"/>
      <c r="E125" s="25"/>
      <c r="F125" s="24"/>
      <c r="G125" s="25"/>
      <c r="H125" s="24"/>
      <c r="I125" s="25"/>
      <c r="J125" s="24"/>
      <c r="K125" s="25"/>
      <c r="L125" s="24"/>
      <c r="M125" s="25"/>
      <c r="N125" s="24"/>
      <c r="O125" s="25"/>
      <c r="P125" s="24"/>
      <c r="Q125" s="25"/>
      <c r="R125" s="24"/>
      <c r="S125" s="25"/>
      <c r="T125" s="24"/>
    </row>
    <row r="126" spans="2:20">
      <c r="B126" s="9" t="s">
        <v>96</v>
      </c>
      <c r="C126" s="12" t="s">
        <v>97</v>
      </c>
      <c r="D126" s="24"/>
      <c r="E126" s="25"/>
      <c r="F126" s="24"/>
      <c r="G126" s="25"/>
      <c r="H126" s="24"/>
      <c r="I126" s="25"/>
      <c r="J126" s="24"/>
      <c r="K126" s="25"/>
      <c r="L126" s="24"/>
      <c r="M126" s="25"/>
      <c r="N126" s="24"/>
      <c r="O126" s="25"/>
      <c r="P126" s="24"/>
      <c r="Q126" s="25"/>
      <c r="R126" s="24"/>
      <c r="S126" s="25"/>
      <c r="T126" s="24"/>
    </row>
    <row r="127" spans="2:20">
      <c r="B127" s="9" t="s">
        <v>99</v>
      </c>
      <c r="C127" s="12" t="s">
        <v>100</v>
      </c>
      <c r="D127" s="24"/>
      <c r="E127" s="25"/>
      <c r="F127" s="24"/>
      <c r="G127" s="25"/>
      <c r="H127" s="24"/>
      <c r="I127" s="25"/>
      <c r="J127" s="24"/>
      <c r="K127" s="25"/>
      <c r="L127" s="24"/>
      <c r="M127" s="25"/>
      <c r="N127" s="24"/>
      <c r="O127" s="25"/>
      <c r="P127" s="24"/>
      <c r="Q127" s="25"/>
      <c r="R127" s="24"/>
      <c r="S127" s="25"/>
      <c r="T127" s="24"/>
    </row>
    <row r="128" spans="2:20">
      <c r="B128" s="9" t="s">
        <v>101</v>
      </c>
      <c r="C128" s="12" t="s">
        <v>102</v>
      </c>
      <c r="D128" s="24"/>
      <c r="E128" s="25"/>
      <c r="F128" s="24"/>
      <c r="G128" s="25"/>
      <c r="H128" s="24"/>
      <c r="I128" s="25"/>
      <c r="J128" s="24"/>
      <c r="K128" s="25"/>
      <c r="L128" s="24"/>
      <c r="M128" s="25"/>
      <c r="N128" s="24"/>
      <c r="O128" s="25"/>
      <c r="P128" s="24"/>
      <c r="Q128" s="25"/>
      <c r="R128" s="24"/>
      <c r="S128" s="25"/>
      <c r="T128" s="24"/>
    </row>
    <row r="129" spans="2:20">
      <c r="B129" s="9" t="s">
        <v>103</v>
      </c>
      <c r="C129" s="12" t="s">
        <v>104</v>
      </c>
      <c r="D129" s="24"/>
      <c r="E129" s="25"/>
      <c r="F129" s="24"/>
      <c r="G129" s="25"/>
      <c r="H129" s="24"/>
      <c r="I129" s="25"/>
      <c r="J129" s="24"/>
      <c r="K129" s="25"/>
      <c r="L129" s="24"/>
      <c r="M129" s="25"/>
      <c r="N129" s="24"/>
      <c r="O129" s="25"/>
      <c r="P129" s="24"/>
      <c r="Q129" s="25"/>
      <c r="R129" s="24"/>
      <c r="S129" s="25"/>
      <c r="T129" s="24"/>
    </row>
    <row r="130" spans="2:20">
      <c r="B130" s="9" t="s">
        <v>105</v>
      </c>
      <c r="C130" s="12" t="s">
        <v>106</v>
      </c>
      <c r="D130" s="24"/>
      <c r="E130" s="25"/>
      <c r="F130" s="24"/>
      <c r="G130" s="25"/>
      <c r="H130" s="24"/>
      <c r="I130" s="25"/>
      <c r="J130" s="24"/>
      <c r="K130" s="25"/>
      <c r="L130" s="24"/>
      <c r="M130" s="25"/>
      <c r="N130" s="24"/>
      <c r="O130" s="25"/>
      <c r="P130" s="24"/>
      <c r="Q130" s="25"/>
      <c r="R130" s="24"/>
      <c r="S130" s="25"/>
      <c r="T130" s="24"/>
    </row>
    <row r="131" spans="2:20">
      <c r="B131" s="9" t="s">
        <v>107</v>
      </c>
      <c r="C131" s="12" t="s">
        <v>172</v>
      </c>
      <c r="D131" s="24"/>
      <c r="E131" s="25"/>
      <c r="F131" s="24"/>
      <c r="G131" s="25"/>
      <c r="H131" s="24"/>
      <c r="I131" s="25"/>
      <c r="J131" s="24"/>
      <c r="K131" s="25"/>
      <c r="L131" s="24"/>
      <c r="M131" s="25"/>
      <c r="N131" s="24"/>
      <c r="O131" s="25"/>
      <c r="P131" s="24"/>
      <c r="Q131" s="25"/>
      <c r="R131" s="24"/>
      <c r="S131" s="25"/>
      <c r="T131" s="24"/>
    </row>
    <row r="132" spans="2:20">
      <c r="B132" s="9" t="s">
        <v>108</v>
      </c>
      <c r="C132" s="12" t="s">
        <v>173</v>
      </c>
      <c r="D132" s="22"/>
      <c r="E132" s="23"/>
      <c r="F132" s="22"/>
      <c r="G132" s="23"/>
      <c r="H132" s="22"/>
      <c r="I132" s="23"/>
      <c r="J132" s="22"/>
      <c r="K132" s="23"/>
      <c r="L132" s="22"/>
      <c r="M132" s="23"/>
      <c r="N132" s="22"/>
      <c r="O132" s="23"/>
      <c r="P132" s="22"/>
      <c r="Q132" s="23"/>
      <c r="R132" s="22"/>
      <c r="S132" s="23"/>
      <c r="T132" s="22"/>
    </row>
    <row r="133" spans="2:20">
      <c r="B133" s="9" t="s">
        <v>130</v>
      </c>
      <c r="C133" s="12" t="s">
        <v>175</v>
      </c>
      <c r="D133" s="22"/>
      <c r="E133" s="23"/>
      <c r="F133" s="22"/>
      <c r="G133" s="23"/>
      <c r="H133" s="22"/>
      <c r="I133" s="23"/>
      <c r="J133" s="22"/>
      <c r="K133" s="23"/>
      <c r="L133" s="22"/>
      <c r="M133" s="23"/>
      <c r="N133" s="22"/>
      <c r="O133" s="23"/>
      <c r="P133" s="22"/>
      <c r="Q133" s="23"/>
      <c r="R133" s="22"/>
      <c r="S133" s="23"/>
      <c r="T133" s="22"/>
    </row>
    <row r="134" spans="2:20">
      <c r="B134" s="9" t="s">
        <v>110</v>
      </c>
      <c r="C134" s="12" t="s">
        <v>111</v>
      </c>
      <c r="D134" s="22"/>
      <c r="E134" s="23"/>
      <c r="F134" s="22"/>
      <c r="G134" s="23"/>
      <c r="H134" s="22"/>
      <c r="I134" s="23"/>
      <c r="J134" s="22"/>
      <c r="K134" s="23"/>
      <c r="L134" s="22"/>
      <c r="M134" s="23"/>
      <c r="N134" s="22"/>
      <c r="O134" s="23"/>
      <c r="P134" s="22"/>
      <c r="Q134" s="23"/>
      <c r="R134" s="22"/>
      <c r="S134" s="23"/>
      <c r="T134" s="22"/>
    </row>
    <row r="135" spans="2:20">
      <c r="B135" s="9" t="s">
        <v>117</v>
      </c>
      <c r="C135" s="12" t="s">
        <v>118</v>
      </c>
      <c r="D135" s="22"/>
      <c r="E135" s="23"/>
      <c r="F135" s="22"/>
      <c r="G135" s="23"/>
      <c r="H135" s="22"/>
      <c r="I135" s="23"/>
      <c r="J135" s="22"/>
      <c r="K135" s="23"/>
      <c r="L135" s="22"/>
      <c r="M135" s="23"/>
      <c r="N135" s="22"/>
      <c r="O135" s="23"/>
      <c r="P135" s="22"/>
      <c r="Q135" s="23"/>
      <c r="R135" s="22"/>
      <c r="S135" s="23"/>
      <c r="T135" s="22"/>
    </row>
    <row r="136" spans="2:20">
      <c r="B136" s="9" t="s">
        <v>151</v>
      </c>
      <c r="C136" s="12" t="s">
        <v>176</v>
      </c>
      <c r="D136" s="24"/>
      <c r="E136" s="25"/>
      <c r="F136" s="24"/>
      <c r="G136" s="25"/>
      <c r="H136" s="24"/>
      <c r="I136" s="25"/>
      <c r="J136" s="24"/>
      <c r="K136" s="25"/>
      <c r="L136" s="24"/>
      <c r="M136" s="25"/>
      <c r="N136" s="24"/>
      <c r="O136" s="25"/>
      <c r="P136" s="24"/>
      <c r="Q136" s="25"/>
      <c r="R136" s="24"/>
      <c r="S136" s="25"/>
      <c r="T136" s="24"/>
    </row>
    <row r="137" spans="2:20">
      <c r="B137" s="9" t="s">
        <v>131</v>
      </c>
      <c r="C137" s="12" t="s">
        <v>119</v>
      </c>
      <c r="D137" s="24"/>
      <c r="E137" s="25"/>
      <c r="F137" s="24"/>
      <c r="G137" s="25"/>
      <c r="H137" s="24"/>
      <c r="I137" s="25"/>
      <c r="J137" s="24"/>
      <c r="K137" s="25"/>
      <c r="L137" s="24"/>
      <c r="M137" s="25"/>
      <c r="N137" s="24"/>
      <c r="O137" s="25"/>
      <c r="P137" s="24"/>
      <c r="Q137" s="25"/>
      <c r="R137" s="24"/>
      <c r="S137" s="25"/>
      <c r="T137" s="24"/>
    </row>
    <row r="138" spans="2:20">
      <c r="B138" s="9" t="s">
        <v>132</v>
      </c>
      <c r="C138" s="12" t="s">
        <v>177</v>
      </c>
      <c r="D138" s="22"/>
      <c r="E138" s="23"/>
      <c r="F138" s="22"/>
      <c r="G138" s="23"/>
      <c r="H138" s="22"/>
      <c r="I138" s="23"/>
      <c r="J138" s="22"/>
      <c r="K138" s="23"/>
      <c r="L138" s="22"/>
      <c r="M138" s="23"/>
      <c r="N138" s="22"/>
      <c r="O138" s="23"/>
      <c r="P138" s="22"/>
      <c r="Q138" s="23"/>
      <c r="R138" s="22"/>
      <c r="S138" s="23"/>
      <c r="T138" s="22"/>
    </row>
    <row r="139" spans="2:20">
      <c r="B139" s="9" t="s">
        <v>0</v>
      </c>
      <c r="C139" s="12" t="s">
        <v>133</v>
      </c>
      <c r="D139" s="22"/>
      <c r="E139" s="23"/>
      <c r="F139" s="22"/>
      <c r="G139" s="23"/>
      <c r="H139" s="22"/>
      <c r="I139" s="23"/>
      <c r="J139" s="22"/>
      <c r="K139" s="23"/>
      <c r="L139" s="22"/>
      <c r="M139" s="23"/>
      <c r="N139" s="22"/>
      <c r="O139" s="23"/>
      <c r="P139" s="22"/>
      <c r="Q139" s="23"/>
      <c r="R139" s="22"/>
      <c r="S139" s="23"/>
      <c r="T139" s="22"/>
    </row>
    <row r="140" spans="2:20">
      <c r="B140" s="9" t="s">
        <v>134</v>
      </c>
      <c r="C140" s="12" t="s">
        <v>135</v>
      </c>
      <c r="D140" s="22"/>
      <c r="E140" s="23"/>
      <c r="F140" s="22"/>
      <c r="G140" s="23"/>
      <c r="H140" s="22"/>
      <c r="I140" s="23"/>
      <c r="J140" s="22"/>
      <c r="K140" s="23"/>
      <c r="L140" s="22"/>
      <c r="M140" s="23"/>
      <c r="N140" s="22"/>
      <c r="O140" s="23"/>
      <c r="P140" s="22"/>
      <c r="Q140" s="23"/>
      <c r="R140" s="22"/>
      <c r="S140" s="23"/>
      <c r="T140" s="22"/>
    </row>
    <row r="141" spans="2:20">
      <c r="B141" s="9" t="s">
        <v>136</v>
      </c>
      <c r="C141" s="12" t="s">
        <v>137</v>
      </c>
      <c r="D141" s="22"/>
      <c r="E141" s="23"/>
      <c r="F141" s="22"/>
      <c r="G141" s="23"/>
      <c r="H141" s="22"/>
      <c r="I141" s="23"/>
      <c r="J141" s="22"/>
      <c r="K141" s="23"/>
      <c r="L141" s="22"/>
      <c r="M141" s="23"/>
      <c r="N141" s="22"/>
      <c r="O141" s="23"/>
      <c r="P141" s="22"/>
      <c r="Q141" s="23"/>
      <c r="R141" s="22"/>
      <c r="S141" s="23"/>
      <c r="T141" s="22"/>
    </row>
    <row r="142" spans="2:20">
      <c r="B142" s="9" t="s">
        <v>115</v>
      </c>
      <c r="C142" s="12" t="s">
        <v>138</v>
      </c>
    </row>
    <row r="143" spans="2:20">
      <c r="B143" s="9" t="s">
        <v>112</v>
      </c>
      <c r="C143" s="12" t="s">
        <v>139</v>
      </c>
    </row>
    <row r="144" spans="2:20">
      <c r="B144" s="9" t="s">
        <v>140</v>
      </c>
      <c r="C144" s="12" t="s">
        <v>141</v>
      </c>
    </row>
    <row r="145" spans="2:22">
      <c r="B145" s="9" t="s">
        <v>120</v>
      </c>
      <c r="C145" s="12" t="s">
        <v>142</v>
      </c>
    </row>
    <row r="146" spans="2:22">
      <c r="B146" s="9" t="s">
        <v>143</v>
      </c>
      <c r="C146" s="12" t="s">
        <v>144</v>
      </c>
    </row>
    <row r="147" spans="2:22">
      <c r="B147" s="9" t="s">
        <v>121</v>
      </c>
      <c r="C147" s="12" t="s">
        <v>145</v>
      </c>
    </row>
    <row r="148" spans="2:22">
      <c r="B148" s="9" t="s">
        <v>122</v>
      </c>
      <c r="C148" s="12" t="s">
        <v>146</v>
      </c>
    </row>
    <row r="149" spans="2:22">
      <c r="B149" s="9" t="s">
        <v>328</v>
      </c>
      <c r="C149" s="12" t="s">
        <v>147</v>
      </c>
    </row>
    <row r="150" spans="2:22">
      <c r="B150" s="9" t="s">
        <v>124</v>
      </c>
      <c r="C150" s="12" t="s">
        <v>148</v>
      </c>
    </row>
    <row r="151" spans="2:22">
      <c r="B151" s="11" t="s">
        <v>265</v>
      </c>
      <c r="C151" s="11" t="s">
        <v>266</v>
      </c>
    </row>
    <row r="154" spans="2:22">
      <c r="B154" s="329" t="s">
        <v>255</v>
      </c>
      <c r="C154" s="329"/>
      <c r="D154" s="329"/>
      <c r="E154" s="329"/>
      <c r="F154" s="329"/>
      <c r="G154" s="329"/>
      <c r="H154" s="329"/>
      <c r="I154" s="329"/>
      <c r="J154" s="329"/>
      <c r="K154" s="329"/>
      <c r="L154" s="329"/>
      <c r="M154" s="329"/>
      <c r="N154" s="329"/>
      <c r="O154" s="329"/>
      <c r="P154" s="329"/>
      <c r="Q154" s="329"/>
      <c r="R154" s="329"/>
      <c r="S154" s="329"/>
      <c r="T154" s="329"/>
    </row>
    <row r="158" spans="2:22">
      <c r="C158" s="11">
        <v>2006</v>
      </c>
      <c r="E158" s="11">
        <v>2007</v>
      </c>
      <c r="G158" s="11">
        <v>2008</v>
      </c>
      <c r="I158" s="11">
        <v>2009</v>
      </c>
      <c r="K158" s="11">
        <v>2010</v>
      </c>
      <c r="M158" s="11">
        <v>2011</v>
      </c>
      <c r="O158" s="11">
        <v>2012</v>
      </c>
      <c r="Q158" s="11">
        <v>2013</v>
      </c>
      <c r="S158" s="11">
        <v>2014</v>
      </c>
      <c r="U158" s="11">
        <v>2015</v>
      </c>
    </row>
    <row r="159" spans="2:22">
      <c r="B159" s="11" t="s">
        <v>258</v>
      </c>
      <c r="C159" s="11" t="s">
        <v>262</v>
      </c>
      <c r="D159" s="11" t="s">
        <v>152</v>
      </c>
      <c r="E159" s="11" t="s">
        <v>262</v>
      </c>
      <c r="F159" s="11" t="s">
        <v>152</v>
      </c>
      <c r="G159" s="11" t="s">
        <v>262</v>
      </c>
      <c r="H159" s="11" t="s">
        <v>152</v>
      </c>
      <c r="I159" s="11" t="s">
        <v>262</v>
      </c>
      <c r="J159" s="11" t="s">
        <v>152</v>
      </c>
      <c r="K159" s="11" t="s">
        <v>262</v>
      </c>
      <c r="L159" s="11" t="s">
        <v>152</v>
      </c>
      <c r="M159" s="11" t="s">
        <v>262</v>
      </c>
      <c r="N159" s="11" t="s">
        <v>152</v>
      </c>
      <c r="O159" s="11" t="s">
        <v>262</v>
      </c>
      <c r="P159" s="11" t="s">
        <v>152</v>
      </c>
      <c r="Q159" s="11" t="s">
        <v>262</v>
      </c>
      <c r="R159" s="11" t="s">
        <v>152</v>
      </c>
      <c r="S159" s="11" t="s">
        <v>262</v>
      </c>
      <c r="T159" s="11" t="s">
        <v>152</v>
      </c>
      <c r="U159" s="11" t="s">
        <v>262</v>
      </c>
      <c r="V159" s="1" t="s">
        <v>152</v>
      </c>
    </row>
    <row r="160" spans="2:22">
      <c r="B160" s="11" t="s">
        <v>257</v>
      </c>
      <c r="C160" s="11" t="s">
        <v>262</v>
      </c>
      <c r="D160" s="11" t="s">
        <v>256</v>
      </c>
      <c r="E160" s="11" t="s">
        <v>262</v>
      </c>
      <c r="F160" s="11" t="s">
        <v>256</v>
      </c>
      <c r="G160" s="11" t="s">
        <v>262</v>
      </c>
      <c r="H160" s="11" t="s">
        <v>256</v>
      </c>
      <c r="I160" s="11" t="s">
        <v>262</v>
      </c>
      <c r="J160" s="11" t="s">
        <v>256</v>
      </c>
      <c r="K160" s="11" t="s">
        <v>262</v>
      </c>
      <c r="L160" s="11" t="s">
        <v>256</v>
      </c>
      <c r="M160" s="11" t="s">
        <v>262</v>
      </c>
      <c r="N160" s="11" t="s">
        <v>256</v>
      </c>
      <c r="O160" s="11" t="s">
        <v>262</v>
      </c>
      <c r="P160" s="11" t="s">
        <v>256</v>
      </c>
      <c r="Q160" s="11" t="s">
        <v>262</v>
      </c>
      <c r="R160" s="11" t="s">
        <v>256</v>
      </c>
      <c r="S160" s="11" t="s">
        <v>262</v>
      </c>
      <c r="T160" s="11" t="s">
        <v>256</v>
      </c>
      <c r="U160" s="11" t="s">
        <v>262</v>
      </c>
      <c r="V160" s="1" t="s">
        <v>256</v>
      </c>
    </row>
    <row r="161" spans="2:3">
      <c r="B161" s="11" t="s">
        <v>260</v>
      </c>
      <c r="C161" s="11" t="s">
        <v>259</v>
      </c>
    </row>
    <row r="162" spans="2:3">
      <c r="B162" s="11" t="s">
        <v>127</v>
      </c>
      <c r="C162" s="11" t="s">
        <v>1</v>
      </c>
    </row>
    <row r="163" spans="2:3">
      <c r="B163" s="11" t="s">
        <v>2</v>
      </c>
      <c r="C163" s="11" t="s">
        <v>166</v>
      </c>
    </row>
    <row r="164" spans="2:3">
      <c r="B164" s="11" t="s">
        <v>3</v>
      </c>
      <c r="C164" s="11" t="s">
        <v>4</v>
      </c>
    </row>
    <row r="165" spans="2:3">
      <c r="B165" s="11" t="s">
        <v>5</v>
      </c>
      <c r="C165" s="11" t="s">
        <v>6</v>
      </c>
    </row>
    <row r="166" spans="2:3">
      <c r="B166" s="11" t="s">
        <v>7</v>
      </c>
      <c r="C166" s="11" t="s">
        <v>8</v>
      </c>
    </row>
    <row r="167" spans="2:3">
      <c r="B167" s="11" t="s">
        <v>9</v>
      </c>
      <c r="C167" s="11" t="s">
        <v>10</v>
      </c>
    </row>
    <row r="168" spans="2:3">
      <c r="B168" s="11" t="s">
        <v>11</v>
      </c>
      <c r="C168" s="11" t="s">
        <v>263</v>
      </c>
    </row>
    <row r="169" spans="2:3">
      <c r="B169" s="11" t="s">
        <v>12</v>
      </c>
      <c r="C169" s="11" t="s">
        <v>13</v>
      </c>
    </row>
    <row r="170" spans="2:3">
      <c r="B170" s="11" t="s">
        <v>14</v>
      </c>
      <c r="C170" s="11" t="s">
        <v>15</v>
      </c>
    </row>
    <row r="171" spans="2:3">
      <c r="B171" s="11" t="s">
        <v>16</v>
      </c>
      <c r="C171" s="11" t="s">
        <v>18</v>
      </c>
    </row>
    <row r="172" spans="2:3">
      <c r="B172" s="11" t="s">
        <v>19</v>
      </c>
      <c r="C172" s="11" t="s">
        <v>20</v>
      </c>
    </row>
    <row r="173" spans="2:3">
      <c r="B173" s="11" t="s">
        <v>21</v>
      </c>
      <c r="C173" s="11" t="s">
        <v>22</v>
      </c>
    </row>
    <row r="174" spans="2:3">
      <c r="B174" s="11" t="s">
        <v>23</v>
      </c>
      <c r="C174" s="11" t="s">
        <v>24</v>
      </c>
    </row>
    <row r="175" spans="2:3">
      <c r="B175" s="11" t="s">
        <v>25</v>
      </c>
      <c r="C175" s="11" t="s">
        <v>26</v>
      </c>
    </row>
    <row r="176" spans="2:3">
      <c r="B176" s="11" t="s">
        <v>27</v>
      </c>
      <c r="C176" s="11" t="s">
        <v>28</v>
      </c>
    </row>
    <row r="177" spans="2:3">
      <c r="B177" s="11" t="s">
        <v>29</v>
      </c>
      <c r="C177" s="11" t="s">
        <v>30</v>
      </c>
    </row>
    <row r="178" spans="2:3">
      <c r="B178" s="11" t="s">
        <v>31</v>
      </c>
      <c r="C178" s="11" t="s">
        <v>174</v>
      </c>
    </row>
    <row r="179" spans="2:3">
      <c r="B179" s="11" t="s">
        <v>32</v>
      </c>
      <c r="C179" s="11" t="s">
        <v>33</v>
      </c>
    </row>
    <row r="180" spans="2:3">
      <c r="B180" s="11" t="s">
        <v>34</v>
      </c>
      <c r="C180" s="11" t="s">
        <v>267</v>
      </c>
    </row>
    <row r="181" spans="2:3">
      <c r="B181" s="11" t="s">
        <v>36</v>
      </c>
      <c r="C181" s="11" t="s">
        <v>272</v>
      </c>
    </row>
    <row r="182" spans="2:3">
      <c r="B182" s="11" t="s">
        <v>37</v>
      </c>
      <c r="C182" s="11" t="s">
        <v>38</v>
      </c>
    </row>
    <row r="183" spans="2:3">
      <c r="B183" s="11" t="s">
        <v>39</v>
      </c>
      <c r="C183" s="11" t="s">
        <v>167</v>
      </c>
    </row>
    <row r="184" spans="2:3">
      <c r="B184" s="11" t="s">
        <v>40</v>
      </c>
      <c r="C184" s="11" t="s">
        <v>41</v>
      </c>
    </row>
    <row r="185" spans="2:3">
      <c r="B185" s="11" t="s">
        <v>42</v>
      </c>
      <c r="C185" s="11" t="s">
        <v>43</v>
      </c>
    </row>
    <row r="186" spans="2:3">
      <c r="B186" s="11" t="s">
        <v>161</v>
      </c>
      <c r="C186" s="11" t="s">
        <v>277</v>
      </c>
    </row>
    <row r="187" spans="2:3">
      <c r="B187" s="11" t="s">
        <v>44</v>
      </c>
      <c r="C187" s="11" t="s">
        <v>276</v>
      </c>
    </row>
    <row r="188" spans="2:3">
      <c r="B188" s="11" t="s">
        <v>45</v>
      </c>
      <c r="C188" s="11" t="s">
        <v>46</v>
      </c>
    </row>
    <row r="189" spans="2:3">
      <c r="B189" s="11" t="s">
        <v>47</v>
      </c>
      <c r="C189" s="11" t="s">
        <v>48</v>
      </c>
    </row>
    <row r="190" spans="2:3">
      <c r="B190" s="11" t="s">
        <v>49</v>
      </c>
      <c r="C190" s="11" t="s">
        <v>268</v>
      </c>
    </row>
    <row r="191" spans="2:3">
      <c r="B191" s="11" t="s">
        <v>50</v>
      </c>
      <c r="C191" s="11" t="s">
        <v>168</v>
      </c>
    </row>
    <row r="192" spans="2:3">
      <c r="B192" s="11" t="s">
        <v>51</v>
      </c>
      <c r="C192" s="11" t="s">
        <v>52</v>
      </c>
    </row>
    <row r="193" spans="2:3">
      <c r="B193" s="11" t="s">
        <v>53</v>
      </c>
      <c r="C193" s="11" t="s">
        <v>54</v>
      </c>
    </row>
    <row r="194" spans="2:3">
      <c r="B194" s="11" t="s">
        <v>55</v>
      </c>
      <c r="C194" s="11" t="s">
        <v>56</v>
      </c>
    </row>
    <row r="195" spans="2:3">
      <c r="B195" s="11" t="s">
        <v>57</v>
      </c>
      <c r="C195" s="11" t="s">
        <v>58</v>
      </c>
    </row>
    <row r="196" spans="2:3">
      <c r="B196" s="11" t="s">
        <v>59</v>
      </c>
      <c r="C196" s="11" t="s">
        <v>60</v>
      </c>
    </row>
    <row r="197" spans="2:3">
      <c r="B197" s="11" t="s">
        <v>53</v>
      </c>
      <c r="C197" s="11" t="s">
        <v>54</v>
      </c>
    </row>
    <row r="198" spans="2:3">
      <c r="B198" s="7" t="s">
        <v>463</v>
      </c>
      <c r="C198" s="11" t="s">
        <v>461</v>
      </c>
    </row>
    <row r="199" spans="2:3">
      <c r="B199" s="11" t="s">
        <v>122</v>
      </c>
      <c r="C199" s="11" t="s">
        <v>146</v>
      </c>
    </row>
    <row r="200" spans="2:3">
      <c r="B200" s="11" t="s">
        <v>61</v>
      </c>
      <c r="C200" s="11" t="s">
        <v>339</v>
      </c>
    </row>
    <row r="201" spans="2:3">
      <c r="B201" s="11" t="s">
        <v>261</v>
      </c>
      <c r="C201" s="11" t="s">
        <v>269</v>
      </c>
    </row>
    <row r="202" spans="2:3">
      <c r="B202" s="11" t="s">
        <v>62</v>
      </c>
      <c r="C202" s="11" t="s">
        <v>340</v>
      </c>
    </row>
    <row r="203" spans="2:3">
      <c r="B203" s="11" t="s">
        <v>63</v>
      </c>
      <c r="C203" s="11" t="s">
        <v>64</v>
      </c>
    </row>
    <row r="204" spans="2:3">
      <c r="B204" s="11" t="s">
        <v>65</v>
      </c>
      <c r="C204" s="11" t="s">
        <v>66</v>
      </c>
    </row>
    <row r="205" spans="2:3">
      <c r="B205" s="11" t="s">
        <v>67</v>
      </c>
      <c r="C205" s="11" t="s">
        <v>68</v>
      </c>
    </row>
    <row r="206" spans="2:3">
      <c r="B206" s="11" t="s">
        <v>69</v>
      </c>
      <c r="C206" s="11" t="s">
        <v>70</v>
      </c>
    </row>
    <row r="207" spans="2:3">
      <c r="B207" s="11" t="s">
        <v>71</v>
      </c>
      <c r="C207" s="11" t="s">
        <v>72</v>
      </c>
    </row>
    <row r="208" spans="2:3">
      <c r="B208" s="11" t="s">
        <v>73</v>
      </c>
      <c r="C208" s="11" t="s">
        <v>270</v>
      </c>
    </row>
    <row r="209" spans="2:3">
      <c r="B209" s="11" t="s">
        <v>74</v>
      </c>
      <c r="C209" s="11" t="s">
        <v>75</v>
      </c>
    </row>
    <row r="210" spans="2:3">
      <c r="B210" s="11" t="s">
        <v>76</v>
      </c>
      <c r="C210" s="11" t="s">
        <v>77</v>
      </c>
    </row>
    <row r="211" spans="2:3">
      <c r="B211" s="11" t="s">
        <v>78</v>
      </c>
      <c r="C211" s="11" t="s">
        <v>271</v>
      </c>
    </row>
    <row r="212" spans="2:3">
      <c r="B212" s="11" t="s">
        <v>79</v>
      </c>
      <c r="C212" s="11" t="s">
        <v>80</v>
      </c>
    </row>
    <row r="213" spans="2:3">
      <c r="B213" s="11" t="s">
        <v>81</v>
      </c>
      <c r="C213" s="11" t="s">
        <v>82</v>
      </c>
    </row>
    <row r="214" spans="2:3">
      <c r="B214" s="11" t="s">
        <v>83</v>
      </c>
      <c r="C214" s="11" t="s">
        <v>84</v>
      </c>
    </row>
    <row r="215" spans="2:3">
      <c r="B215" s="11" t="s">
        <v>85</v>
      </c>
      <c r="C215" s="11" t="s">
        <v>341</v>
      </c>
    </row>
    <row r="216" spans="2:3">
      <c r="B216" s="11" t="s">
        <v>86</v>
      </c>
      <c r="C216" s="11" t="s">
        <v>87</v>
      </c>
    </row>
    <row r="217" spans="2:3">
      <c r="B217" s="11" t="s">
        <v>88</v>
      </c>
      <c r="C217" s="11" t="s">
        <v>89</v>
      </c>
    </row>
    <row r="218" spans="2:3">
      <c r="B218" s="11" t="s">
        <v>90</v>
      </c>
      <c r="C218" s="11" t="s">
        <v>91</v>
      </c>
    </row>
    <row r="219" spans="2:3">
      <c r="B219" s="11" t="s">
        <v>92</v>
      </c>
      <c r="C219" s="11" t="s">
        <v>93</v>
      </c>
    </row>
    <row r="220" spans="2:3">
      <c r="B220" s="11" t="s">
        <v>94</v>
      </c>
      <c r="C220" s="11" t="s">
        <v>95</v>
      </c>
    </row>
    <row r="221" spans="2:3">
      <c r="B221" s="11" t="s">
        <v>96</v>
      </c>
      <c r="C221" s="11" t="s">
        <v>97</v>
      </c>
    </row>
    <row r="222" spans="2:3">
      <c r="B222" s="11" t="s">
        <v>98</v>
      </c>
      <c r="C222" s="11" t="s">
        <v>100</v>
      </c>
    </row>
    <row r="223" spans="2:3">
      <c r="B223" s="11" t="s">
        <v>101</v>
      </c>
      <c r="C223" s="11" t="s">
        <v>102</v>
      </c>
    </row>
    <row r="224" spans="2:3">
      <c r="B224" s="11" t="s">
        <v>103</v>
      </c>
      <c r="C224" s="11" t="s">
        <v>104</v>
      </c>
    </row>
    <row r="225" spans="2:3">
      <c r="B225" s="11" t="s">
        <v>105</v>
      </c>
      <c r="C225" s="11" t="s">
        <v>106</v>
      </c>
    </row>
    <row r="226" spans="2:3">
      <c r="B226" s="11" t="s">
        <v>107</v>
      </c>
      <c r="C226" s="12" t="s">
        <v>172</v>
      </c>
    </row>
    <row r="227" spans="2:3">
      <c r="B227" s="11" t="s">
        <v>108</v>
      </c>
      <c r="C227" s="12" t="s">
        <v>173</v>
      </c>
    </row>
    <row r="228" spans="2:3">
      <c r="B228" s="11" t="s">
        <v>162</v>
      </c>
      <c r="C228" s="11" t="s">
        <v>342</v>
      </c>
    </row>
    <row r="229" spans="2:3">
      <c r="B229" s="11" t="s">
        <v>109</v>
      </c>
      <c r="C229" s="12" t="s">
        <v>175</v>
      </c>
    </row>
    <row r="230" spans="2:3">
      <c r="B230" s="11" t="s">
        <v>110</v>
      </c>
      <c r="C230" s="11" t="s">
        <v>111</v>
      </c>
    </row>
    <row r="231" spans="2:3">
      <c r="B231" s="11" t="s">
        <v>112</v>
      </c>
      <c r="C231" s="11" t="s">
        <v>113</v>
      </c>
    </row>
    <row r="232" spans="2:3">
      <c r="B232" s="11" t="s">
        <v>114</v>
      </c>
      <c r="C232" s="11" t="s">
        <v>116</v>
      </c>
    </row>
    <row r="233" spans="2:3">
      <c r="B233" s="11" t="s">
        <v>117</v>
      </c>
      <c r="C233" s="11" t="s">
        <v>118</v>
      </c>
    </row>
    <row r="234" spans="2:3">
      <c r="B234" s="11" t="s">
        <v>151</v>
      </c>
      <c r="C234" s="12" t="s">
        <v>176</v>
      </c>
    </row>
    <row r="235" spans="2:3">
      <c r="B235" s="11" t="s">
        <v>264</v>
      </c>
      <c r="C235" s="11" t="s">
        <v>286</v>
      </c>
    </row>
    <row r="236" spans="2:3">
      <c r="B236" s="11" t="s">
        <v>132</v>
      </c>
      <c r="C236" s="12" t="s">
        <v>177</v>
      </c>
    </row>
    <row r="237" spans="2:3">
      <c r="B237" s="11" t="s">
        <v>0</v>
      </c>
      <c r="C237" s="12" t="s">
        <v>133</v>
      </c>
    </row>
    <row r="238" spans="2:3">
      <c r="B238" s="11" t="s">
        <v>157</v>
      </c>
      <c r="C238" s="12" t="s">
        <v>135</v>
      </c>
    </row>
    <row r="239" spans="2:3">
      <c r="B239" s="11" t="s">
        <v>158</v>
      </c>
      <c r="C239" s="12" t="s">
        <v>137</v>
      </c>
    </row>
    <row r="240" spans="2:3">
      <c r="B240" s="11" t="s">
        <v>159</v>
      </c>
      <c r="C240" s="12" t="s">
        <v>138</v>
      </c>
    </row>
    <row r="241" spans="2:21">
      <c r="B241" s="11" t="s">
        <v>112</v>
      </c>
      <c r="C241" s="12" t="s">
        <v>139</v>
      </c>
    </row>
    <row r="242" spans="2:21">
      <c r="B242" s="11" t="s">
        <v>140</v>
      </c>
      <c r="C242" s="12" t="s">
        <v>141</v>
      </c>
    </row>
    <row r="243" spans="2:21">
      <c r="B243" s="11" t="s">
        <v>120</v>
      </c>
      <c r="C243" s="12" t="s">
        <v>142</v>
      </c>
    </row>
    <row r="244" spans="2:21">
      <c r="B244" s="11" t="s">
        <v>143</v>
      </c>
      <c r="C244" s="12" t="s">
        <v>144</v>
      </c>
    </row>
    <row r="245" spans="2:21">
      <c r="B245" s="11" t="s">
        <v>121</v>
      </c>
      <c r="C245" s="12" t="s">
        <v>145</v>
      </c>
    </row>
    <row r="246" spans="2:21">
      <c r="B246" s="11" t="s">
        <v>123</v>
      </c>
      <c r="C246" s="12" t="s">
        <v>147</v>
      </c>
    </row>
    <row r="247" spans="2:21">
      <c r="B247" s="11" t="s">
        <v>122</v>
      </c>
      <c r="C247" s="5" t="s">
        <v>146</v>
      </c>
    </row>
    <row r="248" spans="2:21">
      <c r="B248" s="11" t="s">
        <v>163</v>
      </c>
      <c r="C248" s="5" t="s">
        <v>274</v>
      </c>
    </row>
    <row r="249" spans="2:21">
      <c r="B249" s="11" t="s">
        <v>164</v>
      </c>
      <c r="C249" s="5" t="s">
        <v>275</v>
      </c>
    </row>
    <row r="250" spans="2:21">
      <c r="B250" s="11" t="s">
        <v>265</v>
      </c>
      <c r="C250" s="11" t="s">
        <v>273</v>
      </c>
    </row>
    <row r="253" spans="2:21">
      <c r="B253" s="329" t="s">
        <v>278</v>
      </c>
      <c r="C253" s="329"/>
      <c r="D253" s="329"/>
      <c r="E253" s="329"/>
      <c r="F253" s="329"/>
      <c r="G253" s="329"/>
      <c r="H253" s="329"/>
      <c r="I253" s="329"/>
      <c r="J253" s="329"/>
      <c r="K253" s="329"/>
      <c r="L253" s="329"/>
      <c r="M253" s="329"/>
      <c r="N253" s="329"/>
      <c r="O253" s="329"/>
      <c r="P253" s="329"/>
      <c r="Q253" s="329"/>
      <c r="R253" s="329"/>
      <c r="S253" s="329"/>
      <c r="T253" s="329"/>
    </row>
    <row r="256" spans="2:21">
      <c r="C256" s="11">
        <v>2006</v>
      </c>
      <c r="E256" s="11">
        <v>2007</v>
      </c>
      <c r="G256" s="11">
        <v>2008</v>
      </c>
      <c r="I256" s="11">
        <v>2009</v>
      </c>
      <c r="K256" s="11">
        <v>2010</v>
      </c>
      <c r="M256" s="11">
        <v>2011</v>
      </c>
      <c r="O256" s="11">
        <v>2012</v>
      </c>
      <c r="Q256" s="11">
        <v>2013</v>
      </c>
      <c r="S256" s="11">
        <v>2014</v>
      </c>
      <c r="U256" s="11">
        <v>2015</v>
      </c>
    </row>
    <row r="257" spans="2:22">
      <c r="B257" s="11" t="s">
        <v>234</v>
      </c>
      <c r="C257" s="11" t="s">
        <v>262</v>
      </c>
      <c r="D257" s="11" t="s">
        <v>152</v>
      </c>
      <c r="E257" s="11" t="s">
        <v>262</v>
      </c>
      <c r="F257" s="11" t="s">
        <v>152</v>
      </c>
      <c r="G257" s="11" t="s">
        <v>262</v>
      </c>
      <c r="H257" s="11" t="s">
        <v>152</v>
      </c>
      <c r="I257" s="11" t="s">
        <v>262</v>
      </c>
      <c r="J257" s="11" t="s">
        <v>152</v>
      </c>
      <c r="K257" s="11" t="s">
        <v>262</v>
      </c>
      <c r="L257" s="11" t="s">
        <v>152</v>
      </c>
      <c r="M257" s="11" t="s">
        <v>262</v>
      </c>
      <c r="N257" s="11" t="s">
        <v>152</v>
      </c>
      <c r="O257" s="11" t="s">
        <v>262</v>
      </c>
      <c r="P257" s="11" t="s">
        <v>152</v>
      </c>
      <c r="Q257" s="11" t="s">
        <v>262</v>
      </c>
      <c r="R257" s="11" t="s">
        <v>152</v>
      </c>
      <c r="S257" s="11" t="s">
        <v>262</v>
      </c>
      <c r="T257" s="11" t="s">
        <v>152</v>
      </c>
      <c r="U257" s="11" t="s">
        <v>262</v>
      </c>
      <c r="V257" s="1" t="s">
        <v>152</v>
      </c>
    </row>
    <row r="258" spans="2:22">
      <c r="B258" s="11" t="s">
        <v>191</v>
      </c>
      <c r="C258" s="11" t="s">
        <v>262</v>
      </c>
      <c r="D258" s="11" t="s">
        <v>256</v>
      </c>
      <c r="E258" s="11" t="s">
        <v>262</v>
      </c>
      <c r="F258" s="11" t="s">
        <v>256</v>
      </c>
      <c r="G258" s="11" t="s">
        <v>262</v>
      </c>
      <c r="H258" s="11" t="s">
        <v>256</v>
      </c>
      <c r="I258" s="11" t="s">
        <v>262</v>
      </c>
      <c r="J258" s="11" t="s">
        <v>256</v>
      </c>
      <c r="K258" s="11" t="s">
        <v>262</v>
      </c>
      <c r="L258" s="11" t="s">
        <v>256</v>
      </c>
      <c r="M258" s="11" t="s">
        <v>262</v>
      </c>
      <c r="N258" s="11" t="s">
        <v>256</v>
      </c>
      <c r="O258" s="11" t="s">
        <v>262</v>
      </c>
      <c r="P258" s="11" t="s">
        <v>256</v>
      </c>
      <c r="Q258" s="11" t="s">
        <v>262</v>
      </c>
      <c r="R258" s="11" t="s">
        <v>256</v>
      </c>
      <c r="S258" s="11" t="s">
        <v>262</v>
      </c>
      <c r="T258" s="11" t="s">
        <v>256</v>
      </c>
      <c r="U258" s="11" t="s">
        <v>262</v>
      </c>
      <c r="V258" s="1" t="s">
        <v>256</v>
      </c>
    </row>
    <row r="259" spans="2:22">
      <c r="B259" s="11" t="s">
        <v>127</v>
      </c>
      <c r="C259" s="11" t="s">
        <v>1</v>
      </c>
    </row>
    <row r="260" spans="2:22">
      <c r="B260" s="11" t="s">
        <v>2</v>
      </c>
      <c r="C260" s="11" t="s">
        <v>166</v>
      </c>
    </row>
    <row r="261" spans="2:22">
      <c r="B261" s="11" t="s">
        <v>3</v>
      </c>
      <c r="C261" s="11" t="s">
        <v>4</v>
      </c>
    </row>
    <row r="262" spans="2:22">
      <c r="B262" s="11" t="s">
        <v>5</v>
      </c>
      <c r="C262" s="11" t="s">
        <v>6</v>
      </c>
    </row>
    <row r="263" spans="2:22">
      <c r="B263" s="11" t="s">
        <v>7</v>
      </c>
      <c r="C263" s="11" t="s">
        <v>8</v>
      </c>
    </row>
    <row r="264" spans="2:22">
      <c r="B264" s="11" t="s">
        <v>9</v>
      </c>
      <c r="C264" s="11" t="s">
        <v>10</v>
      </c>
    </row>
    <row r="265" spans="2:22">
      <c r="B265" s="11" t="s">
        <v>12</v>
      </c>
      <c r="C265" s="11" t="s">
        <v>13</v>
      </c>
    </row>
    <row r="266" spans="2:22">
      <c r="B266" s="11" t="s">
        <v>14</v>
      </c>
      <c r="C266" s="11" t="s">
        <v>15</v>
      </c>
    </row>
    <row r="267" spans="2:22">
      <c r="B267" s="11" t="s">
        <v>11</v>
      </c>
      <c r="C267" s="11" t="s">
        <v>281</v>
      </c>
    </row>
    <row r="268" spans="2:22">
      <c r="B268" s="11" t="s">
        <v>16</v>
      </c>
      <c r="C268" s="11" t="s">
        <v>18</v>
      </c>
    </row>
    <row r="269" spans="2:22">
      <c r="B269" s="11" t="s">
        <v>19</v>
      </c>
      <c r="C269" s="11" t="s">
        <v>20</v>
      </c>
    </row>
    <row r="270" spans="2:22">
      <c r="B270" s="11" t="s">
        <v>21</v>
      </c>
      <c r="C270" s="11" t="s">
        <v>22</v>
      </c>
    </row>
    <row r="271" spans="2:22">
      <c r="B271" s="11" t="s">
        <v>23</v>
      </c>
      <c r="C271" s="11" t="s">
        <v>24</v>
      </c>
    </row>
    <row r="272" spans="2:22">
      <c r="B272" s="11" t="s">
        <v>25</v>
      </c>
      <c r="C272" s="11" t="s">
        <v>26</v>
      </c>
    </row>
    <row r="273" spans="2:3">
      <c r="B273" s="11" t="s">
        <v>27</v>
      </c>
      <c r="C273" s="11" t="s">
        <v>28</v>
      </c>
    </row>
    <row r="274" spans="2:3">
      <c r="B274" s="11" t="s">
        <v>29</v>
      </c>
      <c r="C274" s="11" t="s">
        <v>30</v>
      </c>
    </row>
    <row r="275" spans="2:3">
      <c r="B275" s="11" t="s">
        <v>39</v>
      </c>
      <c r="C275" s="11" t="s">
        <v>167</v>
      </c>
    </row>
    <row r="276" spans="2:3">
      <c r="B276" s="11" t="s">
        <v>53</v>
      </c>
      <c r="C276" s="11" t="s">
        <v>54</v>
      </c>
    </row>
    <row r="277" spans="2:3">
      <c r="B277" s="7" t="s">
        <v>408</v>
      </c>
      <c r="C277" s="11" t="s">
        <v>462</v>
      </c>
    </row>
    <row r="278" spans="2:3">
      <c r="B278" s="11" t="s">
        <v>234</v>
      </c>
      <c r="C278" s="11" t="s">
        <v>282</v>
      </c>
    </row>
    <row r="279" spans="2:3">
      <c r="B279" s="11" t="s">
        <v>279</v>
      </c>
      <c r="C279" s="11" t="s">
        <v>283</v>
      </c>
    </row>
    <row r="280" spans="2:3">
      <c r="B280" s="11" t="s">
        <v>62</v>
      </c>
      <c r="C280" s="11" t="s">
        <v>340</v>
      </c>
    </row>
    <row r="281" spans="2:3">
      <c r="B281" s="11" t="s">
        <v>63</v>
      </c>
      <c r="C281" s="11" t="s">
        <v>64</v>
      </c>
    </row>
    <row r="282" spans="2:3">
      <c r="B282" s="11" t="s">
        <v>65</v>
      </c>
      <c r="C282" s="11" t="s">
        <v>66</v>
      </c>
    </row>
    <row r="283" spans="2:3">
      <c r="B283" s="11" t="s">
        <v>67</v>
      </c>
      <c r="C283" s="11" t="s">
        <v>68</v>
      </c>
    </row>
    <row r="284" spans="2:3">
      <c r="B284" s="11" t="s">
        <v>69</v>
      </c>
      <c r="C284" s="11" t="s">
        <v>70</v>
      </c>
    </row>
    <row r="285" spans="2:3">
      <c r="B285" s="11" t="s">
        <v>71</v>
      </c>
      <c r="C285" s="11" t="s">
        <v>72</v>
      </c>
    </row>
    <row r="286" spans="2:3">
      <c r="B286" s="11" t="s">
        <v>153</v>
      </c>
      <c r="C286" s="11" t="s">
        <v>270</v>
      </c>
    </row>
    <row r="287" spans="2:3">
      <c r="B287" s="11" t="s">
        <v>74</v>
      </c>
      <c r="C287" s="11" t="s">
        <v>75</v>
      </c>
    </row>
    <row r="288" spans="2:3">
      <c r="B288" s="11" t="s">
        <v>76</v>
      </c>
      <c r="C288" s="11" t="s">
        <v>77</v>
      </c>
    </row>
    <row r="289" spans="2:3">
      <c r="B289" s="11" t="s">
        <v>78</v>
      </c>
      <c r="C289" s="11" t="s">
        <v>271</v>
      </c>
    </row>
    <row r="290" spans="2:3">
      <c r="B290" s="11" t="s">
        <v>79</v>
      </c>
      <c r="C290" s="11" t="s">
        <v>80</v>
      </c>
    </row>
    <row r="291" spans="2:3">
      <c r="B291" s="11" t="s">
        <v>81</v>
      </c>
      <c r="C291" s="11" t="s">
        <v>82</v>
      </c>
    </row>
    <row r="292" spans="2:3">
      <c r="B292" s="11" t="s">
        <v>83</v>
      </c>
      <c r="C292" s="11" t="s">
        <v>84</v>
      </c>
    </row>
    <row r="293" spans="2:3">
      <c r="B293" s="11" t="s">
        <v>85</v>
      </c>
      <c r="C293" s="11" t="s">
        <v>341</v>
      </c>
    </row>
    <row r="294" spans="2:3">
      <c r="B294" s="11" t="s">
        <v>154</v>
      </c>
      <c r="C294" s="11" t="s">
        <v>343</v>
      </c>
    </row>
    <row r="295" spans="2:3">
      <c r="B295" s="11" t="s">
        <v>86</v>
      </c>
      <c r="C295" s="11" t="s">
        <v>87</v>
      </c>
    </row>
    <row r="296" spans="2:3">
      <c r="B296" s="11" t="s">
        <v>88</v>
      </c>
      <c r="C296" s="11" t="s">
        <v>89</v>
      </c>
    </row>
    <row r="297" spans="2:3">
      <c r="B297" s="11" t="s">
        <v>90</v>
      </c>
      <c r="C297" s="11" t="s">
        <v>91</v>
      </c>
    </row>
    <row r="298" spans="2:3">
      <c r="B298" s="11" t="s">
        <v>92</v>
      </c>
      <c r="C298" s="11" t="s">
        <v>93</v>
      </c>
    </row>
    <row r="299" spans="2:3">
      <c r="B299" s="11" t="s">
        <v>94</v>
      </c>
      <c r="C299" s="11" t="s">
        <v>95</v>
      </c>
    </row>
    <row r="300" spans="2:3">
      <c r="B300" s="11" t="s">
        <v>96</v>
      </c>
      <c r="C300" s="11" t="s">
        <v>97</v>
      </c>
    </row>
    <row r="301" spans="2:3">
      <c r="B301" s="11" t="s">
        <v>155</v>
      </c>
      <c r="C301" s="11" t="s">
        <v>100</v>
      </c>
    </row>
    <row r="302" spans="2:3">
      <c r="B302" s="11" t="s">
        <v>101</v>
      </c>
      <c r="C302" s="11" t="s">
        <v>102</v>
      </c>
    </row>
    <row r="303" spans="2:3">
      <c r="B303" s="11" t="s">
        <v>103</v>
      </c>
      <c r="C303" s="11" t="s">
        <v>104</v>
      </c>
    </row>
    <row r="304" spans="2:3">
      <c r="B304" s="11" t="s">
        <v>108</v>
      </c>
      <c r="C304" s="12" t="s">
        <v>173</v>
      </c>
    </row>
    <row r="305" spans="2:3">
      <c r="B305" s="11" t="s">
        <v>105</v>
      </c>
      <c r="C305" s="11" t="s">
        <v>106</v>
      </c>
    </row>
    <row r="306" spans="2:3">
      <c r="B306" s="11" t="s">
        <v>280</v>
      </c>
      <c r="C306" s="11" t="s">
        <v>342</v>
      </c>
    </row>
    <row r="307" spans="2:3">
      <c r="B307" s="11" t="s">
        <v>109</v>
      </c>
      <c r="C307" s="11" t="s">
        <v>284</v>
      </c>
    </row>
    <row r="308" spans="2:3">
      <c r="B308" s="11" t="s">
        <v>156</v>
      </c>
      <c r="C308" s="11" t="s">
        <v>285</v>
      </c>
    </row>
    <row r="309" spans="2:3">
      <c r="B309" s="11" t="s">
        <v>110</v>
      </c>
      <c r="C309" s="11" t="s">
        <v>111</v>
      </c>
    </row>
    <row r="310" spans="2:3">
      <c r="B310" s="11" t="s">
        <v>112</v>
      </c>
      <c r="C310" s="11" t="s">
        <v>113</v>
      </c>
    </row>
    <row r="311" spans="2:3">
      <c r="B311" s="11" t="s">
        <v>115</v>
      </c>
      <c r="C311" s="11" t="s">
        <v>116</v>
      </c>
    </row>
    <row r="312" spans="2:3">
      <c r="B312" s="11" t="s">
        <v>117</v>
      </c>
      <c r="C312" s="11" t="s">
        <v>118</v>
      </c>
    </row>
    <row r="313" spans="2:3">
      <c r="B313" s="11" t="s">
        <v>151</v>
      </c>
      <c r="C313" s="12" t="s">
        <v>176</v>
      </c>
    </row>
    <row r="314" spans="2:3">
      <c r="B314" s="11" t="s">
        <v>264</v>
      </c>
      <c r="C314" s="11" t="s">
        <v>286</v>
      </c>
    </row>
    <row r="315" spans="2:3">
      <c r="B315" s="11" t="s">
        <v>132</v>
      </c>
      <c r="C315" s="12" t="s">
        <v>177</v>
      </c>
    </row>
    <row r="316" spans="2:3">
      <c r="B316" s="11" t="s">
        <v>0</v>
      </c>
      <c r="C316" s="12" t="s">
        <v>133</v>
      </c>
    </row>
    <row r="317" spans="2:3">
      <c r="B317" s="11" t="s">
        <v>157</v>
      </c>
      <c r="C317" s="12" t="s">
        <v>135</v>
      </c>
    </row>
    <row r="318" spans="2:3">
      <c r="B318" s="11" t="s">
        <v>158</v>
      </c>
      <c r="C318" s="12" t="s">
        <v>137</v>
      </c>
    </row>
    <row r="319" spans="2:3">
      <c r="B319" s="11" t="s">
        <v>115</v>
      </c>
      <c r="C319" s="12" t="s">
        <v>138</v>
      </c>
    </row>
    <row r="320" spans="2:3">
      <c r="B320" s="11" t="s">
        <v>112</v>
      </c>
      <c r="C320" s="12" t="s">
        <v>139</v>
      </c>
    </row>
    <row r="321" spans="2:20">
      <c r="B321" s="11" t="s">
        <v>140</v>
      </c>
      <c r="C321" s="12" t="s">
        <v>141</v>
      </c>
    </row>
    <row r="322" spans="2:20">
      <c r="B322" s="11" t="s">
        <v>120</v>
      </c>
      <c r="C322" s="12" t="s">
        <v>287</v>
      </c>
    </row>
    <row r="323" spans="2:20">
      <c r="B323" s="11" t="s">
        <v>143</v>
      </c>
      <c r="C323" s="12" t="s">
        <v>144</v>
      </c>
    </row>
    <row r="324" spans="2:20">
      <c r="B324" s="11" t="s">
        <v>121</v>
      </c>
      <c r="C324" s="12" t="s">
        <v>145</v>
      </c>
    </row>
    <row r="325" spans="2:20">
      <c r="B325" s="11" t="s">
        <v>122</v>
      </c>
      <c r="C325" s="5" t="s">
        <v>146</v>
      </c>
    </row>
    <row r="326" spans="2:20">
      <c r="B326" s="11" t="s">
        <v>123</v>
      </c>
      <c r="C326" s="12" t="s">
        <v>288</v>
      </c>
    </row>
    <row r="327" spans="2:20">
      <c r="B327" s="11" t="s">
        <v>160</v>
      </c>
      <c r="C327" s="12" t="s">
        <v>148</v>
      </c>
    </row>
    <row r="328" spans="2:20">
      <c r="B328" s="11" t="s">
        <v>265</v>
      </c>
      <c r="C328" s="11" t="s">
        <v>273</v>
      </c>
    </row>
    <row r="331" spans="2:20">
      <c r="B331" s="329" t="s">
        <v>314</v>
      </c>
      <c r="C331" s="329"/>
      <c r="D331" s="329"/>
      <c r="E331" s="329"/>
      <c r="F331" s="329"/>
      <c r="G331" s="329"/>
      <c r="H331" s="329"/>
      <c r="I331" s="329"/>
      <c r="J331" s="329"/>
      <c r="K331" s="329"/>
      <c r="L331" s="329"/>
      <c r="M331" s="329"/>
      <c r="N331" s="329"/>
      <c r="O331" s="329"/>
      <c r="P331" s="329"/>
      <c r="Q331" s="329"/>
      <c r="R331" s="329"/>
      <c r="S331" s="329"/>
      <c r="T331" s="329"/>
    </row>
    <row r="334" spans="2:20">
      <c r="C334" s="11">
        <v>2013</v>
      </c>
    </row>
    <row r="335" spans="2:20">
      <c r="B335" s="11" t="s">
        <v>384</v>
      </c>
      <c r="C335" s="11" t="s">
        <v>292</v>
      </c>
      <c r="D335" s="11" t="s">
        <v>293</v>
      </c>
      <c r="E335" s="11" t="s">
        <v>294</v>
      </c>
      <c r="F335" s="11" t="s">
        <v>295</v>
      </c>
      <c r="G335" s="11" t="s">
        <v>296</v>
      </c>
      <c r="H335" s="11" t="s">
        <v>297</v>
      </c>
      <c r="I335" s="11" t="s">
        <v>298</v>
      </c>
      <c r="J335" s="11" t="s">
        <v>299</v>
      </c>
      <c r="K335" s="11" t="s">
        <v>300</v>
      </c>
      <c r="L335" s="11" t="s">
        <v>301</v>
      </c>
      <c r="M335" s="11" t="s">
        <v>302</v>
      </c>
      <c r="N335" s="11" t="s">
        <v>303</v>
      </c>
      <c r="O335" s="11" t="s">
        <v>383</v>
      </c>
    </row>
    <row r="336" spans="2:20">
      <c r="B336" s="11" t="s">
        <v>385</v>
      </c>
      <c r="C336" s="11" t="s">
        <v>315</v>
      </c>
      <c r="D336" s="11" t="s">
        <v>316</v>
      </c>
      <c r="E336" s="11" t="s">
        <v>317</v>
      </c>
      <c r="F336" s="11" t="s">
        <v>295</v>
      </c>
      <c r="G336" s="11" t="s">
        <v>318</v>
      </c>
      <c r="H336" s="11" t="s">
        <v>319</v>
      </c>
      <c r="I336" s="11" t="s">
        <v>320</v>
      </c>
      <c r="J336" s="11" t="s">
        <v>321</v>
      </c>
      <c r="K336" s="11" t="s">
        <v>322</v>
      </c>
      <c r="L336" s="11" t="s">
        <v>323</v>
      </c>
      <c r="M336" s="11" t="s">
        <v>324</v>
      </c>
      <c r="N336" s="11" t="s">
        <v>325</v>
      </c>
      <c r="O336" s="11" t="s">
        <v>382</v>
      </c>
    </row>
    <row r="337" spans="2:3">
      <c r="B337" s="11" t="s">
        <v>127</v>
      </c>
      <c r="C337" s="11" t="s">
        <v>1</v>
      </c>
    </row>
    <row r="338" spans="2:3">
      <c r="B338" s="11" t="s">
        <v>2</v>
      </c>
      <c r="C338" s="11" t="s">
        <v>166</v>
      </c>
    </row>
    <row r="339" spans="2:3">
      <c r="B339" s="11" t="s">
        <v>3</v>
      </c>
      <c r="C339" s="11" t="s">
        <v>4</v>
      </c>
    </row>
    <row r="340" spans="2:3">
      <c r="B340" s="11" t="s">
        <v>5</v>
      </c>
      <c r="C340" s="11" t="s">
        <v>6</v>
      </c>
    </row>
    <row r="341" spans="2:3">
      <c r="B341" s="11" t="s">
        <v>304</v>
      </c>
      <c r="C341" s="11" t="s">
        <v>8</v>
      </c>
    </row>
    <row r="342" spans="2:3">
      <c r="B342" s="11" t="s">
        <v>9</v>
      </c>
      <c r="C342" s="11" t="s">
        <v>10</v>
      </c>
    </row>
    <row r="343" spans="2:3">
      <c r="B343" s="11" t="s">
        <v>305</v>
      </c>
      <c r="C343" s="11" t="s">
        <v>13</v>
      </c>
    </row>
    <row r="344" spans="2:3">
      <c r="B344" s="11" t="s">
        <v>306</v>
      </c>
      <c r="C344" s="11" t="s">
        <v>15</v>
      </c>
    </row>
    <row r="345" spans="2:3">
      <c r="B345" s="11" t="s">
        <v>458</v>
      </c>
      <c r="C345" s="11" t="s">
        <v>459</v>
      </c>
    </row>
    <row r="346" spans="2:3">
      <c r="B346" s="11" t="s">
        <v>19</v>
      </c>
      <c r="C346" s="11" t="s">
        <v>20</v>
      </c>
    </row>
    <row r="347" spans="2:3">
      <c r="B347" s="11" t="s">
        <v>307</v>
      </c>
      <c r="C347" s="11" t="s">
        <v>22</v>
      </c>
    </row>
    <row r="348" spans="2:3">
      <c r="B348" s="11" t="s">
        <v>308</v>
      </c>
      <c r="C348" s="11" t="s">
        <v>24</v>
      </c>
    </row>
    <row r="349" spans="2:3">
      <c r="B349" s="11" t="s">
        <v>309</v>
      </c>
      <c r="C349" s="11" t="s">
        <v>26</v>
      </c>
    </row>
    <row r="350" spans="2:3">
      <c r="B350" s="11" t="s">
        <v>27</v>
      </c>
      <c r="C350" s="11" t="s">
        <v>28</v>
      </c>
    </row>
    <row r="351" spans="2:3">
      <c r="B351" s="11" t="s">
        <v>29</v>
      </c>
      <c r="C351" s="11" t="s">
        <v>30</v>
      </c>
    </row>
    <row r="352" spans="2:3">
      <c r="B352" s="11" t="s">
        <v>31</v>
      </c>
      <c r="C352" s="11" t="s">
        <v>174</v>
      </c>
    </row>
    <row r="353" spans="2:3">
      <c r="B353" s="11" t="s">
        <v>32</v>
      </c>
      <c r="C353" s="11" t="s">
        <v>33</v>
      </c>
    </row>
    <row r="354" spans="2:3">
      <c r="B354" s="11" t="s">
        <v>34</v>
      </c>
      <c r="C354" s="11" t="s">
        <v>35</v>
      </c>
    </row>
    <row r="355" spans="2:3">
      <c r="B355" s="11" t="s">
        <v>37</v>
      </c>
      <c r="C355" s="11" t="s">
        <v>38</v>
      </c>
    </row>
    <row r="356" spans="2:3">
      <c r="B356" s="11" t="s">
        <v>39</v>
      </c>
      <c r="C356" s="11" t="s">
        <v>167</v>
      </c>
    </row>
    <row r="357" spans="2:3">
      <c r="B357" s="11" t="s">
        <v>327</v>
      </c>
      <c r="C357" s="11" t="s">
        <v>41</v>
      </c>
    </row>
    <row r="358" spans="2:3">
      <c r="B358" s="11" t="s">
        <v>310</v>
      </c>
      <c r="C358" s="11" t="s">
        <v>43</v>
      </c>
    </row>
    <row r="359" spans="2:3">
      <c r="B359" s="11" t="s">
        <v>45</v>
      </c>
      <c r="C359" s="11" t="s">
        <v>46</v>
      </c>
    </row>
    <row r="360" spans="2:3">
      <c r="B360" s="11" t="s">
        <v>311</v>
      </c>
      <c r="C360" s="11" t="s">
        <v>48</v>
      </c>
    </row>
    <row r="361" spans="2:3">
      <c r="B361" s="11" t="s">
        <v>312</v>
      </c>
      <c r="C361" s="11" t="s">
        <v>168</v>
      </c>
    </row>
    <row r="362" spans="2:3">
      <c r="B362" s="11" t="s">
        <v>51</v>
      </c>
      <c r="C362" s="11" t="s">
        <v>52</v>
      </c>
    </row>
    <row r="363" spans="2:3">
      <c r="B363" s="11" t="s">
        <v>53</v>
      </c>
      <c r="C363" s="11" t="s">
        <v>54</v>
      </c>
    </row>
    <row r="364" spans="2:3">
      <c r="B364" s="11" t="s">
        <v>55</v>
      </c>
      <c r="C364" s="11" t="s">
        <v>56</v>
      </c>
    </row>
    <row r="365" spans="2:3">
      <c r="B365" s="11" t="s">
        <v>57</v>
      </c>
      <c r="C365" s="11" t="s">
        <v>58</v>
      </c>
    </row>
    <row r="366" spans="2:3">
      <c r="B366" s="11" t="s">
        <v>313</v>
      </c>
      <c r="C366" s="11" t="s">
        <v>60</v>
      </c>
    </row>
    <row r="367" spans="2:3">
      <c r="B367" s="11" t="s">
        <v>53</v>
      </c>
      <c r="C367" s="11" t="s">
        <v>54</v>
      </c>
    </row>
    <row r="368" spans="2:3">
      <c r="B368" s="7" t="s">
        <v>408</v>
      </c>
      <c r="C368" s="11" t="s">
        <v>461</v>
      </c>
    </row>
    <row r="369" spans="2:3">
      <c r="B369" s="11" t="s">
        <v>61</v>
      </c>
      <c r="C369" s="11" t="s">
        <v>339</v>
      </c>
    </row>
    <row r="370" spans="2:3">
      <c r="B370" s="11" t="s">
        <v>125</v>
      </c>
      <c r="C370" s="11" t="s">
        <v>169</v>
      </c>
    </row>
    <row r="371" spans="2:3">
      <c r="B371" s="11" t="s">
        <v>62</v>
      </c>
      <c r="C371" s="11" t="s">
        <v>340</v>
      </c>
    </row>
    <row r="372" spans="2:3">
      <c r="B372" s="11" t="s">
        <v>63</v>
      </c>
      <c r="C372" s="11" t="s">
        <v>64</v>
      </c>
    </row>
    <row r="373" spans="2:3">
      <c r="B373" s="11" t="s">
        <v>65</v>
      </c>
      <c r="C373" s="11" t="s">
        <v>66</v>
      </c>
    </row>
    <row r="374" spans="2:3">
      <c r="B374" s="11" t="s">
        <v>67</v>
      </c>
      <c r="C374" s="11" t="s">
        <v>68</v>
      </c>
    </row>
    <row r="375" spans="2:3">
      <c r="B375" s="11" t="s">
        <v>69</v>
      </c>
      <c r="C375" s="11" t="s">
        <v>70</v>
      </c>
    </row>
    <row r="376" spans="2:3">
      <c r="B376" s="11" t="s">
        <v>71</v>
      </c>
      <c r="C376" s="11" t="s">
        <v>72</v>
      </c>
    </row>
    <row r="377" spans="2:3">
      <c r="B377" s="11" t="s">
        <v>128</v>
      </c>
      <c r="C377" s="11" t="s">
        <v>178</v>
      </c>
    </row>
    <row r="378" spans="2:3">
      <c r="B378" s="11" t="s">
        <v>74</v>
      </c>
      <c r="C378" s="11" t="s">
        <v>75</v>
      </c>
    </row>
    <row r="379" spans="2:3">
      <c r="B379" s="11" t="s">
        <v>76</v>
      </c>
      <c r="C379" s="11" t="s">
        <v>77</v>
      </c>
    </row>
    <row r="380" spans="2:3">
      <c r="B380" s="11" t="s">
        <v>78</v>
      </c>
      <c r="C380" s="11" t="s">
        <v>150</v>
      </c>
    </row>
    <row r="381" spans="2:3">
      <c r="B381" s="11" t="s">
        <v>79</v>
      </c>
      <c r="C381" s="11" t="s">
        <v>80</v>
      </c>
    </row>
    <row r="382" spans="2:3">
      <c r="B382" s="11" t="s">
        <v>81</v>
      </c>
      <c r="C382" s="11" t="s">
        <v>82</v>
      </c>
    </row>
    <row r="383" spans="2:3">
      <c r="B383" s="11" t="s">
        <v>83</v>
      </c>
      <c r="C383" s="11" t="s">
        <v>84</v>
      </c>
    </row>
    <row r="384" spans="2:3">
      <c r="B384" s="11" t="s">
        <v>85</v>
      </c>
      <c r="C384" s="11" t="s">
        <v>341</v>
      </c>
    </row>
    <row r="385" spans="2:3">
      <c r="B385" s="11" t="s">
        <v>129</v>
      </c>
      <c r="C385" s="11" t="s">
        <v>179</v>
      </c>
    </row>
    <row r="386" spans="2:3">
      <c r="B386" s="11" t="s">
        <v>86</v>
      </c>
      <c r="C386" s="11" t="s">
        <v>87</v>
      </c>
    </row>
    <row r="387" spans="2:3">
      <c r="B387" s="11" t="s">
        <v>88</v>
      </c>
      <c r="C387" s="11" t="s">
        <v>89</v>
      </c>
    </row>
    <row r="388" spans="2:3">
      <c r="B388" s="11" t="s">
        <v>90</v>
      </c>
      <c r="C388" s="11" t="s">
        <v>91</v>
      </c>
    </row>
    <row r="389" spans="2:3">
      <c r="B389" s="11" t="s">
        <v>92</v>
      </c>
      <c r="C389" s="11" t="s">
        <v>93</v>
      </c>
    </row>
    <row r="390" spans="2:3">
      <c r="B390" s="11" t="s">
        <v>94</v>
      </c>
      <c r="C390" s="11" t="s">
        <v>95</v>
      </c>
    </row>
    <row r="391" spans="2:3">
      <c r="B391" s="11" t="s">
        <v>96</v>
      </c>
      <c r="C391" s="11" t="s">
        <v>97</v>
      </c>
    </row>
    <row r="392" spans="2:3">
      <c r="B392" s="11" t="s">
        <v>99</v>
      </c>
      <c r="C392" s="11" t="s">
        <v>100</v>
      </c>
    </row>
    <row r="393" spans="2:3">
      <c r="B393" s="11" t="s">
        <v>101</v>
      </c>
      <c r="C393" s="11" t="s">
        <v>102</v>
      </c>
    </row>
    <row r="394" spans="2:3">
      <c r="B394" s="11" t="s">
        <v>103</v>
      </c>
      <c r="C394" s="11" t="s">
        <v>104</v>
      </c>
    </row>
    <row r="395" spans="2:3">
      <c r="B395" s="11" t="s">
        <v>105</v>
      </c>
      <c r="C395" s="11" t="s">
        <v>106</v>
      </c>
    </row>
    <row r="396" spans="2:3">
      <c r="B396" s="11" t="s">
        <v>107</v>
      </c>
      <c r="C396" s="11" t="s">
        <v>172</v>
      </c>
    </row>
    <row r="397" spans="2:3">
      <c r="B397" s="11" t="s">
        <v>108</v>
      </c>
      <c r="C397" s="11" t="s">
        <v>173</v>
      </c>
    </row>
    <row r="398" spans="2:3">
      <c r="B398" s="11" t="s">
        <v>130</v>
      </c>
      <c r="C398" s="11" t="s">
        <v>372</v>
      </c>
    </row>
    <row r="399" spans="2:3">
      <c r="B399" s="11" t="s">
        <v>110</v>
      </c>
      <c r="C399" s="11" t="s">
        <v>111</v>
      </c>
    </row>
    <row r="400" spans="2:3">
      <c r="B400" s="11" t="s">
        <v>117</v>
      </c>
      <c r="C400" s="11" t="s">
        <v>118</v>
      </c>
    </row>
    <row r="401" spans="2:3">
      <c r="B401" s="11" t="s">
        <v>151</v>
      </c>
      <c r="C401" s="11" t="s">
        <v>176</v>
      </c>
    </row>
    <row r="402" spans="2:3">
      <c r="B402" s="11" t="s">
        <v>131</v>
      </c>
      <c r="C402" s="11" t="s">
        <v>119</v>
      </c>
    </row>
    <row r="403" spans="2:3">
      <c r="B403" s="11" t="s">
        <v>132</v>
      </c>
      <c r="C403" s="11" t="s">
        <v>177</v>
      </c>
    </row>
    <row r="404" spans="2:3">
      <c r="B404" s="11" t="s">
        <v>0</v>
      </c>
      <c r="C404" s="11" t="s">
        <v>133</v>
      </c>
    </row>
    <row r="405" spans="2:3">
      <c r="B405" s="11" t="s">
        <v>134</v>
      </c>
      <c r="C405" s="11" t="s">
        <v>135</v>
      </c>
    </row>
    <row r="406" spans="2:3">
      <c r="B406" s="11" t="s">
        <v>136</v>
      </c>
      <c r="C406" s="11" t="s">
        <v>137</v>
      </c>
    </row>
    <row r="407" spans="2:3">
      <c r="B407" s="11" t="s">
        <v>115</v>
      </c>
      <c r="C407" s="11" t="s">
        <v>138</v>
      </c>
    </row>
    <row r="408" spans="2:3">
      <c r="B408" s="11" t="s">
        <v>112</v>
      </c>
      <c r="C408" s="11" t="s">
        <v>139</v>
      </c>
    </row>
    <row r="409" spans="2:3">
      <c r="B409" s="11" t="s">
        <v>140</v>
      </c>
      <c r="C409" s="11" t="s">
        <v>141</v>
      </c>
    </row>
    <row r="410" spans="2:3">
      <c r="B410" s="11" t="s">
        <v>120</v>
      </c>
      <c r="C410" s="11" t="s">
        <v>142</v>
      </c>
    </row>
    <row r="411" spans="2:3">
      <c r="B411" s="11" t="s">
        <v>143</v>
      </c>
      <c r="C411" s="11" t="s">
        <v>144</v>
      </c>
    </row>
    <row r="412" spans="2:3">
      <c r="B412" s="11" t="s">
        <v>121</v>
      </c>
      <c r="C412" s="11" t="s">
        <v>145</v>
      </c>
    </row>
    <row r="413" spans="2:3">
      <c r="B413" s="11" t="s">
        <v>122</v>
      </c>
      <c r="C413" s="11" t="s">
        <v>146</v>
      </c>
    </row>
    <row r="414" spans="2:3">
      <c r="B414" s="11" t="s">
        <v>328</v>
      </c>
      <c r="C414" s="11" t="s">
        <v>147</v>
      </c>
    </row>
    <row r="415" spans="2:3">
      <c r="B415" s="11" t="s">
        <v>124</v>
      </c>
      <c r="C415" s="11" t="s">
        <v>148</v>
      </c>
    </row>
    <row r="416" spans="2:3">
      <c r="B416" s="11" t="s">
        <v>265</v>
      </c>
      <c r="C416" s="11" t="s">
        <v>266</v>
      </c>
    </row>
    <row r="419" spans="2:23">
      <c r="B419" s="329" t="s">
        <v>386</v>
      </c>
      <c r="C419" s="336"/>
      <c r="D419" s="336"/>
      <c r="E419" s="336"/>
      <c r="F419" s="336"/>
      <c r="G419" s="336"/>
      <c r="H419" s="336"/>
      <c r="I419" s="336"/>
      <c r="J419" s="336"/>
      <c r="K419" s="336"/>
      <c r="L419" s="336"/>
      <c r="M419" s="336"/>
      <c r="N419" s="336"/>
      <c r="O419" s="336"/>
      <c r="P419" s="336"/>
      <c r="Q419" s="336"/>
      <c r="R419" s="336"/>
      <c r="S419" s="336"/>
      <c r="T419" s="336"/>
    </row>
    <row r="421" spans="2:23">
      <c r="B421" s="11" t="s">
        <v>326</v>
      </c>
    </row>
    <row r="422" spans="2:23">
      <c r="B422" s="11" t="s">
        <v>333</v>
      </c>
      <c r="O422" s="1"/>
    </row>
    <row r="424" spans="2:23">
      <c r="B424" s="11" t="s">
        <v>388</v>
      </c>
    </row>
    <row r="425" spans="2:23">
      <c r="B425" s="11" t="s">
        <v>388</v>
      </c>
    </row>
    <row r="427" spans="2:23">
      <c r="B427" s="329" t="s">
        <v>329</v>
      </c>
      <c r="C427" s="329"/>
      <c r="D427" s="329"/>
      <c r="E427" s="329"/>
      <c r="F427" s="329"/>
      <c r="G427" s="329"/>
      <c r="H427" s="329"/>
      <c r="I427" s="329"/>
      <c r="J427" s="329"/>
      <c r="K427" s="329"/>
      <c r="L427" s="329"/>
      <c r="M427" s="329"/>
      <c r="N427" s="329"/>
      <c r="O427" s="329"/>
      <c r="P427" s="329"/>
      <c r="Q427" s="329"/>
      <c r="R427" s="329"/>
      <c r="S427" s="329"/>
      <c r="T427" s="329"/>
    </row>
    <row r="429" spans="2:23">
      <c r="B429" s="11" t="s">
        <v>334</v>
      </c>
      <c r="C429" s="11" t="s">
        <v>239</v>
      </c>
      <c r="D429" s="11" t="s">
        <v>387</v>
      </c>
      <c r="E429" s="27" t="s">
        <v>389</v>
      </c>
      <c r="F429" s="27" t="s">
        <v>390</v>
      </c>
    </row>
    <row r="430" spans="2:23">
      <c r="B430" s="11" t="s">
        <v>335</v>
      </c>
      <c r="C430" s="11" t="s">
        <v>338</v>
      </c>
      <c r="D430" s="11" t="s">
        <v>387</v>
      </c>
      <c r="E430" s="27" t="s">
        <v>389</v>
      </c>
      <c r="F430" s="27" t="s">
        <v>391</v>
      </c>
      <c r="W430" s="28"/>
    </row>
    <row r="432" spans="2:23">
      <c r="B432" s="329" t="s">
        <v>344</v>
      </c>
      <c r="C432" s="329"/>
      <c r="D432" s="329"/>
      <c r="E432" s="329"/>
      <c r="F432" s="329"/>
      <c r="G432" s="329"/>
      <c r="H432" s="329"/>
      <c r="I432" s="329"/>
      <c r="J432" s="329"/>
      <c r="K432" s="329"/>
      <c r="L432" s="329"/>
      <c r="M432" s="329"/>
      <c r="N432" s="329"/>
      <c r="O432" s="329"/>
      <c r="P432" s="329"/>
      <c r="Q432" s="329"/>
      <c r="R432" s="329"/>
      <c r="S432" s="329"/>
      <c r="T432" s="329"/>
    </row>
    <row r="435" spans="2:6">
      <c r="B435" s="11" t="s">
        <v>352</v>
      </c>
      <c r="C435" s="11" t="s">
        <v>353</v>
      </c>
    </row>
    <row r="437" spans="2:6">
      <c r="B437" s="11" t="s">
        <v>345</v>
      </c>
      <c r="C437" s="11" t="s">
        <v>344</v>
      </c>
    </row>
    <row r="438" spans="2:6">
      <c r="B438" s="11" t="s">
        <v>346</v>
      </c>
      <c r="C438" s="11" t="s">
        <v>354</v>
      </c>
    </row>
    <row r="439" spans="2:6">
      <c r="B439" s="11" t="s">
        <v>347</v>
      </c>
      <c r="C439" s="11" t="s">
        <v>355</v>
      </c>
    </row>
    <row r="441" spans="2:6">
      <c r="B441" s="11" t="s">
        <v>356</v>
      </c>
      <c r="C441" s="11" t="s">
        <v>348</v>
      </c>
      <c r="D441" s="11" t="s">
        <v>349</v>
      </c>
      <c r="E441" s="11" t="s">
        <v>350</v>
      </c>
      <c r="F441" s="11" t="s">
        <v>351</v>
      </c>
    </row>
    <row r="442" spans="2:6">
      <c r="B442" s="11" t="s">
        <v>357</v>
      </c>
      <c r="C442" s="11" t="s">
        <v>358</v>
      </c>
      <c r="D442" s="11" t="s">
        <v>359</v>
      </c>
      <c r="E442" s="11" t="s">
        <v>360</v>
      </c>
      <c r="F442" s="11" t="s">
        <v>361</v>
      </c>
    </row>
    <row r="443" spans="2:6">
      <c r="B443" s="11" t="s">
        <v>362</v>
      </c>
    </row>
    <row r="444" spans="2:6">
      <c r="B444" s="11" t="s">
        <v>363</v>
      </c>
    </row>
  </sheetData>
  <mergeCells count="21">
    <mergeCell ref="B40:C41"/>
    <mergeCell ref="B419:T419"/>
    <mergeCell ref="B432:T432"/>
    <mergeCell ref="B427:T427"/>
    <mergeCell ref="B331:T331"/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C4:P7"/>
  <sheetViews>
    <sheetView workbookViewId="0">
      <selection activeCell="P5" sqref="P5:P7"/>
    </sheetView>
  </sheetViews>
  <sheetFormatPr defaultRowHeight="12.75"/>
  <cols>
    <col min="3" max="3" width="28.28515625" bestFit="1" customWidth="1"/>
  </cols>
  <sheetData>
    <row r="4" spans="3:16">
      <c r="D4" s="174" t="s">
        <v>292</v>
      </c>
      <c r="E4" s="174" t="s">
        <v>293</v>
      </c>
      <c r="F4" s="174" t="s">
        <v>294</v>
      </c>
      <c r="G4" s="174" t="s">
        <v>295</v>
      </c>
      <c r="H4" s="174" t="s">
        <v>296</v>
      </c>
      <c r="I4" s="174" t="s">
        <v>297</v>
      </c>
      <c r="J4" s="174" t="s">
        <v>298</v>
      </c>
      <c r="K4" s="174" t="s">
        <v>299</v>
      </c>
      <c r="L4" s="174" t="s">
        <v>300</v>
      </c>
      <c r="M4" s="174" t="s">
        <v>301</v>
      </c>
      <c r="N4" s="174" t="s">
        <v>302</v>
      </c>
      <c r="O4" s="174" t="s">
        <v>303</v>
      </c>
    </row>
    <row r="5" spans="3:16">
      <c r="C5" s="174" t="s">
        <v>435</v>
      </c>
      <c r="D5" s="175">
        <v>62425293.156965584</v>
      </c>
      <c r="E5" s="175">
        <v>79762187.59852089</v>
      </c>
      <c r="F5" s="175">
        <v>89318688.151918903</v>
      </c>
      <c r="G5" s="175">
        <v>106294081.27535464</v>
      </c>
      <c r="H5" s="175">
        <v>97189661.825924918</v>
      </c>
      <c r="I5" s="175">
        <v>105191801.34506513</v>
      </c>
      <c r="J5" s="175">
        <v>123272889.17858437</v>
      </c>
      <c r="K5" s="175">
        <v>125579133.65326507</v>
      </c>
      <c r="L5" s="175">
        <v>121047897.33843082</v>
      </c>
      <c r="M5" s="175">
        <v>114789505.85515907</v>
      </c>
      <c r="N5" s="175">
        <v>97406301.479715049</v>
      </c>
      <c r="O5" s="175">
        <v>145778958.57826602</v>
      </c>
      <c r="P5" s="175">
        <f>+SUM(D5:O5)</f>
        <v>1268056399.4371705</v>
      </c>
    </row>
    <row r="6" spans="3:16">
      <c r="C6" s="174" t="s">
        <v>436</v>
      </c>
      <c r="D6" s="175">
        <v>70632268.589999989</v>
      </c>
      <c r="E6" s="175">
        <v>81381758.450000018</v>
      </c>
      <c r="F6" s="175">
        <v>100495765.61000001</v>
      </c>
      <c r="G6" s="175">
        <v>107356417.33534782</v>
      </c>
      <c r="H6" s="175">
        <v>98816734.644163221</v>
      </c>
      <c r="I6" s="175">
        <v>107147051.5707173</v>
      </c>
      <c r="J6" s="175">
        <v>125666748.8575906</v>
      </c>
      <c r="K6" s="175">
        <v>127890096.38694921</v>
      </c>
      <c r="L6" s="175">
        <v>123465322.33433203</v>
      </c>
      <c r="M6" s="175">
        <v>117130344.73943919</v>
      </c>
      <c r="N6" s="175">
        <v>99294843.070796907</v>
      </c>
      <c r="O6" s="175">
        <v>149056317.49743444</v>
      </c>
      <c r="P6" s="175">
        <f>+SUM(D6:O6)</f>
        <v>1308333669.0867708</v>
      </c>
    </row>
    <row r="7" spans="3:16">
      <c r="C7" s="174" t="s">
        <v>437</v>
      </c>
      <c r="D7" s="175">
        <v>54757461.979999989</v>
      </c>
      <c r="E7" s="175">
        <v>75673443.909999996</v>
      </c>
      <c r="F7" s="175">
        <v>88296245.580000013</v>
      </c>
      <c r="G7" s="175">
        <v>103948239.19999999</v>
      </c>
      <c r="H7" s="175">
        <v>93997829.679999992</v>
      </c>
      <c r="I7" s="175">
        <v>99561632.659999996</v>
      </c>
      <c r="J7" s="175">
        <v>122021331.04999998</v>
      </c>
      <c r="K7" s="175">
        <v>125053427.64999999</v>
      </c>
      <c r="L7" s="175">
        <v>116342017.78000002</v>
      </c>
      <c r="M7" s="175">
        <v>117283627.60000001</v>
      </c>
      <c r="N7" s="175">
        <v>95781753.159999996</v>
      </c>
      <c r="O7" s="175">
        <v>142429369.22999999</v>
      </c>
      <c r="P7" s="175">
        <f>+SUM(D7:O7)</f>
        <v>1235146379.48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B1:M80"/>
  <sheetViews>
    <sheetView workbookViewId="0">
      <selection activeCell="G63" sqref="G63"/>
    </sheetView>
  </sheetViews>
  <sheetFormatPr defaultRowHeight="12.75"/>
  <cols>
    <col min="2" max="2" width="43.28515625" customWidth="1"/>
    <col min="3" max="3" width="7.42578125" bestFit="1" customWidth="1"/>
    <col min="4" max="4" width="7.85546875" bestFit="1" customWidth="1"/>
    <col min="5" max="5" width="7.7109375" style="80" customWidth="1"/>
    <col min="6" max="6" width="6" style="80" customWidth="1"/>
    <col min="7" max="7" width="7.7109375" style="80" customWidth="1"/>
    <col min="8" max="8" width="7" style="80" bestFit="1" customWidth="1"/>
    <col min="12" max="12" width="11.5703125" bestFit="1" customWidth="1"/>
  </cols>
  <sheetData>
    <row r="1" spans="2:13">
      <c r="E1" s="82"/>
      <c r="F1" s="82"/>
      <c r="G1" s="82"/>
      <c r="H1" s="82"/>
    </row>
    <row r="2" spans="2:13" ht="13.5" thickBot="1">
      <c r="E2" s="82"/>
      <c r="F2" s="82"/>
      <c r="G2" s="82"/>
      <c r="H2" s="82"/>
    </row>
    <row r="3" spans="2:13" ht="14.25" thickTop="1" thickBot="1">
      <c r="C3" s="300">
        <v>3335894492.1291356</v>
      </c>
      <c r="D3" s="300"/>
      <c r="E3" s="293">
        <v>3516156889.9792166</v>
      </c>
      <c r="F3" s="294"/>
      <c r="G3" s="294"/>
      <c r="H3" s="295"/>
    </row>
    <row r="4" spans="2:13" ht="13.5" thickTop="1">
      <c r="E4" s="83"/>
      <c r="F4" s="83"/>
      <c r="G4" s="82"/>
      <c r="H4" s="82"/>
    </row>
    <row r="5" spans="2:13" ht="13.5" thickBot="1">
      <c r="E5" s="157"/>
      <c r="F5" s="157"/>
      <c r="G5" s="157"/>
      <c r="H5" s="157"/>
    </row>
    <row r="6" spans="2:13" ht="13.5" thickTop="1">
      <c r="B6" t="s">
        <v>126</v>
      </c>
      <c r="C6" s="291">
        <v>2013</v>
      </c>
      <c r="D6" s="292"/>
      <c r="E6" s="291" t="s">
        <v>392</v>
      </c>
      <c r="F6" s="292"/>
      <c r="G6" s="291" t="s">
        <v>426</v>
      </c>
      <c r="H6" s="292"/>
      <c r="I6" s="291" t="s">
        <v>438</v>
      </c>
      <c r="J6" s="292"/>
    </row>
    <row r="7" spans="2:13" ht="13.5" thickBot="1">
      <c r="C7" s="88" t="str">
        <f>+E7</f>
        <v>mil. €</v>
      </c>
      <c r="D7" s="89" t="str">
        <f>+F7</f>
        <v>% BDP</v>
      </c>
      <c r="E7" s="88" t="s">
        <v>262</v>
      </c>
      <c r="F7" s="89" t="s">
        <v>149</v>
      </c>
      <c r="G7" s="88" t="s">
        <v>262</v>
      </c>
      <c r="H7" s="89" t="s">
        <v>149</v>
      </c>
      <c r="I7" s="177" t="s">
        <v>262</v>
      </c>
      <c r="J7" s="177" t="s">
        <v>439</v>
      </c>
    </row>
    <row r="8" spans="2:13" ht="14.25" thickTop="1" thickBot="1">
      <c r="B8" s="90" t="s">
        <v>127</v>
      </c>
      <c r="C8" s="158">
        <f>C9+C17+C22+C27+C34+C39</f>
        <v>1235146379.48</v>
      </c>
      <c r="D8" s="92">
        <f>C8/C$3*100</f>
        <v>37.025942588839719</v>
      </c>
      <c r="E8" s="158">
        <f>+E9+E17+E22+E27+E34+E39+E40</f>
        <v>1276056399.4371703</v>
      </c>
      <c r="F8" s="92">
        <f>E8/E$3*100</f>
        <v>36.291224748071834</v>
      </c>
      <c r="G8" s="155">
        <f>+G9+G17+G22+G27+G34+G39+G40</f>
        <v>1316333669.0867703</v>
      </c>
      <c r="H8" s="92">
        <f>G8/E$3*100</f>
        <v>37.436716002014087</v>
      </c>
      <c r="I8" s="155">
        <f>+G8-E8</f>
        <v>40277269.649600029</v>
      </c>
      <c r="J8" s="92">
        <f>+G8/E8*100-100</f>
        <v>3.1563863217460693</v>
      </c>
    </row>
    <row r="9" spans="2:13" ht="13.5" thickTop="1">
      <c r="B9" s="93" t="s">
        <v>2</v>
      </c>
      <c r="C9" s="149">
        <f>SUM(C10:C16)</f>
        <v>755696459.51000011</v>
      </c>
      <c r="D9" s="95">
        <f t="shared" ref="D9:D72" si="0">C9/C$3*100</f>
        <v>22.653488031261944</v>
      </c>
      <c r="E9" s="149">
        <f>+SUM(E10:E16)</f>
        <v>797828901.35953081</v>
      </c>
      <c r="F9" s="96">
        <f t="shared" ref="F9:F73" si="1">E9/E$3*100</f>
        <v>22.690366963808792</v>
      </c>
      <c r="G9" s="149">
        <f>+SUM(G10:G16)</f>
        <v>819077478.06873</v>
      </c>
      <c r="H9" s="96">
        <f t="shared" ref="H9:H72" si="2">G9/E$3*100</f>
        <v>23.294679495190881</v>
      </c>
      <c r="I9" s="149">
        <f t="shared" ref="I9:I41" si="3">+G9-E9</f>
        <v>21248576.70919919</v>
      </c>
      <c r="J9" s="96">
        <f t="shared" ref="J9:J73" si="4">+G9/E9*100-100</f>
        <v>2.6632999472682428</v>
      </c>
    </row>
    <row r="10" spans="2:13">
      <c r="B10" s="97" t="s">
        <v>3</v>
      </c>
      <c r="C10" s="150">
        <v>95618433.909999996</v>
      </c>
      <c r="D10" s="98">
        <f t="shared" si="0"/>
        <v>2.8663506635358695</v>
      </c>
      <c r="E10" s="150">
        <v>96011654.614494905</v>
      </c>
      <c r="F10" s="98">
        <f t="shared" si="1"/>
        <v>2.7305850568875618</v>
      </c>
      <c r="G10" s="151">
        <v>96781150.729929999</v>
      </c>
      <c r="H10" s="98">
        <f t="shared" si="2"/>
        <v>2.7524696354064582</v>
      </c>
      <c r="I10" s="151">
        <f t="shared" si="3"/>
        <v>769496.11543509364</v>
      </c>
      <c r="J10" s="98">
        <f t="shared" si="4"/>
        <v>0.80146115440335564</v>
      </c>
    </row>
    <row r="11" spans="2:13">
      <c r="B11" s="97" t="s">
        <v>5</v>
      </c>
      <c r="C11" s="151">
        <v>40638726.390000008</v>
      </c>
      <c r="D11" s="98">
        <f t="shared" si="0"/>
        <v>1.2182257708055488</v>
      </c>
      <c r="E11" s="151">
        <v>44395641.531501003</v>
      </c>
      <c r="F11" s="98">
        <f t="shared" si="1"/>
        <v>1.2626183336137604</v>
      </c>
      <c r="G11" s="151">
        <v>50018934.706970006</v>
      </c>
      <c r="H11" s="98">
        <f t="shared" si="2"/>
        <v>1.4225455880401758</v>
      </c>
      <c r="I11" s="151">
        <f t="shared" si="3"/>
        <v>5623293.1754690036</v>
      </c>
      <c r="J11" s="98">
        <f t="shared" si="4"/>
        <v>12.666318092236565</v>
      </c>
    </row>
    <row r="12" spans="2:13">
      <c r="B12" s="97" t="s">
        <v>7</v>
      </c>
      <c r="C12" s="151">
        <v>1440565.3199999998</v>
      </c>
      <c r="D12" s="98">
        <f t="shared" si="0"/>
        <v>4.318377944503151E-2</v>
      </c>
      <c r="E12" s="151">
        <v>1544536.6728920399</v>
      </c>
      <c r="F12" s="98">
        <f t="shared" si="1"/>
        <v>4.3926841754241781E-2</v>
      </c>
      <c r="G12" s="151">
        <v>1489198.0023599996</v>
      </c>
      <c r="H12" s="98">
        <f t="shared" si="2"/>
        <v>4.2353002125818169E-2</v>
      </c>
      <c r="I12" s="151">
        <f t="shared" si="3"/>
        <v>-55338.670532040298</v>
      </c>
      <c r="J12" s="98">
        <f t="shared" si="4"/>
        <v>-3.5828654316392772</v>
      </c>
    </row>
    <row r="13" spans="2:13">
      <c r="B13" s="97" t="s">
        <v>9</v>
      </c>
      <c r="C13" s="150">
        <v>429195069.32999998</v>
      </c>
      <c r="D13" s="98">
        <f t="shared" si="0"/>
        <v>12.865966544885122</v>
      </c>
      <c r="E13" s="150">
        <v>455945630.52919102</v>
      </c>
      <c r="F13" s="98">
        <f t="shared" si="1"/>
        <v>12.967158315051353</v>
      </c>
      <c r="G13" s="151">
        <v>473642045.78458995</v>
      </c>
      <c r="H13" s="98">
        <f t="shared" si="2"/>
        <v>13.470446871538474</v>
      </c>
      <c r="I13" s="151">
        <f t="shared" si="3"/>
        <v>17696415.255398929</v>
      </c>
      <c r="J13" s="98">
        <f t="shared" si="4"/>
        <v>3.8812555862986784</v>
      </c>
      <c r="L13" s="151">
        <f>+G13-C13</f>
        <v>44446976.454589963</v>
      </c>
      <c r="M13">
        <f>+G13/C13*100-100</f>
        <v>10.355891675077828</v>
      </c>
    </row>
    <row r="14" spans="2:13">
      <c r="B14" s="97" t="s">
        <v>12</v>
      </c>
      <c r="C14" s="151">
        <v>161445470.17000002</v>
      </c>
      <c r="D14" s="98">
        <f t="shared" si="0"/>
        <v>4.8396455748502225</v>
      </c>
      <c r="E14" s="151">
        <v>171111988.52539012</v>
      </c>
      <c r="F14" s="98">
        <f t="shared" si="1"/>
        <v>4.8664491909631922</v>
      </c>
      <c r="G14" s="151">
        <v>169158715.98390999</v>
      </c>
      <c r="H14" s="98">
        <f t="shared" si="2"/>
        <v>4.8108978432105705</v>
      </c>
      <c r="I14" s="151">
        <f t="shared" si="3"/>
        <v>-1953272.541480124</v>
      </c>
      <c r="J14" s="98">
        <f t="shared" si="4"/>
        <v>-1.1415170604427232</v>
      </c>
    </row>
    <row r="15" spans="2:13">
      <c r="B15" s="97" t="s">
        <v>14</v>
      </c>
      <c r="C15" s="151">
        <v>22269382.640000001</v>
      </c>
      <c r="D15" s="98">
        <f t="shared" si="0"/>
        <v>0.66756855447746977</v>
      </c>
      <c r="E15" s="151">
        <v>23735353.696558259</v>
      </c>
      <c r="F15" s="98">
        <f t="shared" si="1"/>
        <v>0.67503682114419394</v>
      </c>
      <c r="G15" s="151">
        <v>22781578.440719999</v>
      </c>
      <c r="H15" s="98">
        <f t="shared" si="2"/>
        <v>0.64791131776985811</v>
      </c>
      <c r="I15" s="151">
        <f t="shared" si="3"/>
        <v>-953775.25583826005</v>
      </c>
      <c r="J15" s="98">
        <f t="shared" si="4"/>
        <v>-4.0183738908283573</v>
      </c>
    </row>
    <row r="16" spans="2:13">
      <c r="B16" s="97" t="s">
        <v>17</v>
      </c>
      <c r="C16" s="151">
        <v>5088811.75</v>
      </c>
      <c r="D16" s="98">
        <f t="shared" si="0"/>
        <v>0.15254714326267749</v>
      </c>
      <c r="E16" s="151">
        <v>5084095.7895035082</v>
      </c>
      <c r="F16" s="98">
        <f t="shared" si="1"/>
        <v>0.14459240439449103</v>
      </c>
      <c r="G16" s="151">
        <v>5205854.4202499995</v>
      </c>
      <c r="H16" s="98">
        <f t="shared" si="2"/>
        <v>0.14805523709952459</v>
      </c>
      <c r="I16" s="151">
        <f t="shared" si="3"/>
        <v>121758.63074649125</v>
      </c>
      <c r="J16" s="98">
        <f t="shared" si="4"/>
        <v>2.394892539158505</v>
      </c>
      <c r="L16">
        <f>+G13/G8*100</f>
        <v>35.981913773670129</v>
      </c>
    </row>
    <row r="17" spans="2:12">
      <c r="B17" s="93" t="s">
        <v>19</v>
      </c>
      <c r="C17" s="159">
        <f>SUM(C18:C21)</f>
        <v>398494284.19</v>
      </c>
      <c r="D17" s="96">
        <f t="shared" si="0"/>
        <v>11.94565011364196</v>
      </c>
      <c r="E17" s="149">
        <f>+SUM(E18:E21)</f>
        <v>397823173.70918262</v>
      </c>
      <c r="F17" s="96">
        <f t="shared" si="1"/>
        <v>11.314147410286179</v>
      </c>
      <c r="G17" s="149">
        <f>+SUM(G18:G21)</f>
        <v>417559652.73636997</v>
      </c>
      <c r="H17" s="96">
        <f t="shared" si="2"/>
        <v>11.87545566940951</v>
      </c>
      <c r="I17" s="149">
        <f t="shared" si="3"/>
        <v>19736479.027187347</v>
      </c>
      <c r="J17" s="96">
        <f t="shared" si="4"/>
        <v>4.9611184896974265</v>
      </c>
    </row>
    <row r="18" spans="2:12">
      <c r="B18" s="97" t="s">
        <v>21</v>
      </c>
      <c r="C18" s="151">
        <v>241949355.72999999</v>
      </c>
      <c r="D18" s="98">
        <f t="shared" si="0"/>
        <v>7.2529079172277937</v>
      </c>
      <c r="E18" s="151">
        <v>234882396.70208701</v>
      </c>
      <c r="F18" s="98">
        <f t="shared" si="1"/>
        <v>6.6800886323213922</v>
      </c>
      <c r="G18" s="151">
        <v>254875867.28178996</v>
      </c>
      <c r="H18" s="98">
        <f t="shared" si="2"/>
        <v>7.2487057676000486</v>
      </c>
      <c r="I18" s="151">
        <f t="shared" si="3"/>
        <v>19993470.579702944</v>
      </c>
      <c r="J18" s="98">
        <f t="shared" si="4"/>
        <v>8.5121196225963445</v>
      </c>
      <c r="L18" s="151">
        <f>+G18-C18</f>
        <v>12926511.551789969</v>
      </c>
    </row>
    <row r="19" spans="2:12">
      <c r="B19" s="97" t="s">
        <v>23</v>
      </c>
      <c r="C19" s="151">
        <v>134703897.09</v>
      </c>
      <c r="D19" s="98">
        <f t="shared" si="0"/>
        <v>4.038014313936686</v>
      </c>
      <c r="E19" s="151">
        <v>138667298.82084399</v>
      </c>
      <c r="F19" s="98">
        <f t="shared" si="1"/>
        <v>3.9437176201106214</v>
      </c>
      <c r="G19" s="151">
        <v>139196347.37307</v>
      </c>
      <c r="H19" s="98">
        <f t="shared" si="2"/>
        <v>3.9587638358734543</v>
      </c>
      <c r="I19" s="151">
        <f t="shared" si="3"/>
        <v>529048.55222600698</v>
      </c>
      <c r="J19" s="98">
        <f t="shared" si="4"/>
        <v>0.3815236589482538</v>
      </c>
    </row>
    <row r="20" spans="2:12">
      <c r="B20" s="97" t="s">
        <v>25</v>
      </c>
      <c r="C20" s="151">
        <v>10770190.189999999</v>
      </c>
      <c r="D20" s="98">
        <f t="shared" si="0"/>
        <v>0.32285763879558199</v>
      </c>
      <c r="E20" s="151">
        <v>11617385.520490499</v>
      </c>
      <c r="F20" s="98">
        <f t="shared" si="1"/>
        <v>0.33040008975706336</v>
      </c>
      <c r="G20" s="151">
        <v>11434714.104369998</v>
      </c>
      <c r="H20" s="98">
        <f t="shared" si="2"/>
        <v>0.3252048888079504</v>
      </c>
      <c r="I20" s="151">
        <f t="shared" si="3"/>
        <v>-182671.41612050124</v>
      </c>
      <c r="J20" s="98">
        <f t="shared" si="4"/>
        <v>-1.5723969545325787</v>
      </c>
    </row>
    <row r="21" spans="2:12">
      <c r="B21" s="97" t="s">
        <v>27</v>
      </c>
      <c r="C21" s="151">
        <v>11070841.180000002</v>
      </c>
      <c r="D21" s="98">
        <f t="shared" si="0"/>
        <v>0.33187024368189877</v>
      </c>
      <c r="E21" s="150">
        <v>12656092.6657611</v>
      </c>
      <c r="F21" s="98">
        <f t="shared" si="1"/>
        <v>0.3599410680971038</v>
      </c>
      <c r="G21" s="151">
        <v>12052723.97714</v>
      </c>
      <c r="H21" s="98">
        <f t="shared" si="2"/>
        <v>0.34278117712805589</v>
      </c>
      <c r="I21" s="151">
        <f t="shared" si="3"/>
        <v>-603368.68862110004</v>
      </c>
      <c r="J21" s="98">
        <f t="shared" si="4"/>
        <v>-4.7674168051361647</v>
      </c>
    </row>
    <row r="22" spans="2:12">
      <c r="B22" s="93" t="s">
        <v>29</v>
      </c>
      <c r="C22" s="149">
        <f>SUM(C23:C26)</f>
        <v>27069458</v>
      </c>
      <c r="D22" s="96">
        <f t="shared" si="0"/>
        <v>0.81146025642804165</v>
      </c>
      <c r="E22" s="149">
        <f>+SUM(E23:E26)</f>
        <v>20923047.198280636</v>
      </c>
      <c r="F22" s="96">
        <f t="shared" si="1"/>
        <v>0.59505442598166625</v>
      </c>
      <c r="G22" s="149">
        <f>+SUM(G23:G26)</f>
        <v>19923047.198280636</v>
      </c>
      <c r="H22" s="96">
        <f t="shared" si="2"/>
        <v>0.56661428433582772</v>
      </c>
      <c r="I22" s="149">
        <f t="shared" si="3"/>
        <v>-1000000</v>
      </c>
      <c r="J22" s="96">
        <f t="shared" si="4"/>
        <v>-4.7794185546843977</v>
      </c>
    </row>
    <row r="23" spans="2:12">
      <c r="B23" s="97" t="s">
        <v>31</v>
      </c>
      <c r="C23" s="151">
        <v>7881462.9399999995</v>
      </c>
      <c r="D23" s="98">
        <f t="shared" si="0"/>
        <v>0.23626235657620134</v>
      </c>
      <c r="E23" s="151">
        <v>8144616.5029747505</v>
      </c>
      <c r="F23" s="98">
        <f t="shared" si="1"/>
        <v>0.23163404699563594</v>
      </c>
      <c r="G23" s="151">
        <v>8144616.5029747505</v>
      </c>
      <c r="H23" s="98">
        <f t="shared" si="2"/>
        <v>0.23163404699563594</v>
      </c>
      <c r="I23" s="151">
        <f t="shared" si="3"/>
        <v>0</v>
      </c>
      <c r="J23" s="98">
        <f t="shared" si="4"/>
        <v>0</v>
      </c>
    </row>
    <row r="24" spans="2:12">
      <c r="B24" s="97" t="s">
        <v>32</v>
      </c>
      <c r="C24" s="151">
        <v>4557791.26</v>
      </c>
      <c r="D24" s="98">
        <f t="shared" si="0"/>
        <v>0.13662875941531916</v>
      </c>
      <c r="E24" s="151">
        <v>3676083.5729169641</v>
      </c>
      <c r="F24" s="98">
        <f t="shared" si="1"/>
        <v>0.10454833751569864</v>
      </c>
      <c r="G24" s="151">
        <v>5176083.5729169641</v>
      </c>
      <c r="H24" s="98">
        <f t="shared" si="2"/>
        <v>0.14720854998445643</v>
      </c>
      <c r="I24" s="151">
        <f t="shared" si="3"/>
        <v>1500000</v>
      </c>
      <c r="J24" s="98">
        <f t="shared" si="4"/>
        <v>40.804295393364868</v>
      </c>
    </row>
    <row r="25" spans="2:12">
      <c r="B25" s="97" t="s">
        <v>34</v>
      </c>
      <c r="C25" s="151">
        <v>767936.98999999987</v>
      </c>
      <c r="D25" s="98">
        <f t="shared" si="0"/>
        <v>2.3020422013103413E-2</v>
      </c>
      <c r="E25" s="151">
        <v>762511.44191594806</v>
      </c>
      <c r="F25" s="98">
        <f t="shared" si="1"/>
        <v>2.1685933414662142E-2</v>
      </c>
      <c r="G25" s="151">
        <v>762511.44191594806</v>
      </c>
      <c r="H25" s="98">
        <f t="shared" si="2"/>
        <v>2.1685933414662142E-2</v>
      </c>
      <c r="I25" s="151">
        <f t="shared" si="3"/>
        <v>0</v>
      </c>
      <c r="J25" s="98">
        <f t="shared" si="4"/>
        <v>0</v>
      </c>
    </row>
    <row r="26" spans="2:12">
      <c r="B26" s="97" t="s">
        <v>37</v>
      </c>
      <c r="C26" s="150">
        <v>13862266.809999999</v>
      </c>
      <c r="D26" s="98">
        <f t="shared" si="0"/>
        <v>0.41554871842341756</v>
      </c>
      <c r="E26" s="150">
        <v>8339835.6804729737</v>
      </c>
      <c r="F26" s="98">
        <f t="shared" si="1"/>
        <v>0.23718610805566953</v>
      </c>
      <c r="G26" s="150">
        <v>5839835.6804729737</v>
      </c>
      <c r="H26" s="98">
        <f t="shared" si="2"/>
        <v>0.16608575394107319</v>
      </c>
      <c r="I26" s="150">
        <f t="shared" si="3"/>
        <v>-2500000</v>
      </c>
      <c r="J26" s="98">
        <f t="shared" si="4"/>
        <v>-29.976609801240343</v>
      </c>
    </row>
    <row r="27" spans="2:12">
      <c r="B27" s="93" t="s">
        <v>39</v>
      </c>
      <c r="C27" s="149">
        <f>SUM(C28:C33)</f>
        <v>13233490.18</v>
      </c>
      <c r="D27" s="96">
        <f t="shared" si="0"/>
        <v>0.39669990196703492</v>
      </c>
      <c r="E27" s="149">
        <f>+SUM(E28:E33)</f>
        <v>13024243.76827177</v>
      </c>
      <c r="F27" s="96">
        <f t="shared" si="1"/>
        <v>0.37041133759957889</v>
      </c>
      <c r="G27" s="149">
        <f>+SUM(G28:G33)</f>
        <v>12724243.76827177</v>
      </c>
      <c r="H27" s="96">
        <f t="shared" si="2"/>
        <v>0.36187929510582734</v>
      </c>
      <c r="I27" s="149">
        <f t="shared" si="3"/>
        <v>-300000</v>
      </c>
      <c r="J27" s="96">
        <f t="shared" si="4"/>
        <v>-2.3033966911063715</v>
      </c>
    </row>
    <row r="28" spans="2:12">
      <c r="B28" s="97" t="s">
        <v>40</v>
      </c>
      <c r="C28" s="151">
        <v>647266.8600000001</v>
      </c>
      <c r="D28" s="98">
        <f t="shared" si="0"/>
        <v>1.9403097475870164E-2</v>
      </c>
      <c r="E28" s="151">
        <v>698651.48499726248</v>
      </c>
      <c r="F28" s="98">
        <f t="shared" si="1"/>
        <v>1.9869747194397578E-2</v>
      </c>
      <c r="G28" s="151">
        <v>698651.48499726248</v>
      </c>
      <c r="H28" s="98">
        <f t="shared" si="2"/>
        <v>1.9869747194397578E-2</v>
      </c>
      <c r="I28" s="151">
        <f t="shared" si="3"/>
        <v>0</v>
      </c>
      <c r="J28" s="98">
        <f t="shared" si="4"/>
        <v>0</v>
      </c>
    </row>
    <row r="29" spans="2:12">
      <c r="B29" s="97" t="s">
        <v>42</v>
      </c>
      <c r="C29" s="151">
        <v>1995183.6300000001</v>
      </c>
      <c r="D29" s="98">
        <f t="shared" si="0"/>
        <v>5.9809554370125591E-2</v>
      </c>
      <c r="E29" s="151">
        <v>1997965.7673730874</v>
      </c>
      <c r="F29" s="98">
        <f t="shared" si="1"/>
        <v>5.6822429427627073E-2</v>
      </c>
      <c r="G29" s="151">
        <v>1997965.7673730874</v>
      </c>
      <c r="H29" s="98">
        <f t="shared" si="2"/>
        <v>5.6822429427627073E-2</v>
      </c>
      <c r="I29" s="151">
        <f t="shared" si="3"/>
        <v>0</v>
      </c>
      <c r="J29" s="98">
        <f t="shared" si="4"/>
        <v>0</v>
      </c>
    </row>
    <row r="30" spans="2:12">
      <c r="B30" s="97" t="s">
        <v>45</v>
      </c>
      <c r="C30" s="151">
        <v>309851.25</v>
      </c>
      <c r="D30" s="98">
        <f t="shared" si="0"/>
        <v>9.2884007791936302E-3</v>
      </c>
      <c r="E30" s="151">
        <v>424373.88097611902</v>
      </c>
      <c r="F30" s="98">
        <f t="shared" si="1"/>
        <v>1.2069253285755047E-2</v>
      </c>
      <c r="G30" s="151">
        <v>424373.88097611902</v>
      </c>
      <c r="H30" s="98">
        <f t="shared" si="2"/>
        <v>1.2069253285755047E-2</v>
      </c>
      <c r="I30" s="151">
        <f t="shared" si="3"/>
        <v>0</v>
      </c>
      <c r="J30" s="98">
        <f t="shared" si="4"/>
        <v>0</v>
      </c>
    </row>
    <row r="31" spans="2:12">
      <c r="B31" s="97" t="s">
        <v>47</v>
      </c>
      <c r="C31" s="151">
        <v>3324177.16</v>
      </c>
      <c r="D31" s="98">
        <f t="shared" si="0"/>
        <v>9.9648749918296836E-2</v>
      </c>
      <c r="E31" s="151">
        <v>3266343.0516235088</v>
      </c>
      <c r="F31" s="98">
        <f t="shared" si="1"/>
        <v>9.2895259052073062E-2</v>
      </c>
      <c r="G31" s="151">
        <v>3666343.0516235088</v>
      </c>
      <c r="H31" s="98">
        <f t="shared" si="2"/>
        <v>0.10427131571040847</v>
      </c>
      <c r="I31" s="151">
        <f t="shared" si="3"/>
        <v>400000</v>
      </c>
      <c r="J31" s="98">
        <f t="shared" si="4"/>
        <v>12.246111130341419</v>
      </c>
    </row>
    <row r="32" spans="2:12">
      <c r="B32" s="97" t="s">
        <v>50</v>
      </c>
      <c r="C32" s="151">
        <v>3659024.1899999995</v>
      </c>
      <c r="D32" s="98">
        <f t="shared" si="0"/>
        <v>0.10968644837638813</v>
      </c>
      <c r="E32" s="151">
        <v>3355752.0175728933</v>
      </c>
      <c r="F32" s="98">
        <f t="shared" si="1"/>
        <v>9.5438062708081514E-2</v>
      </c>
      <c r="G32" s="151">
        <v>3355752.0175728933</v>
      </c>
      <c r="H32" s="98">
        <f t="shared" si="2"/>
        <v>9.5438062708081514E-2</v>
      </c>
      <c r="I32" s="151">
        <f t="shared" si="3"/>
        <v>0</v>
      </c>
      <c r="J32" s="98">
        <f t="shared" si="4"/>
        <v>0</v>
      </c>
    </row>
    <row r="33" spans="2:10">
      <c r="B33" s="97" t="s">
        <v>51</v>
      </c>
      <c r="C33" s="151">
        <v>3297987.09</v>
      </c>
      <c r="D33" s="98">
        <f t="shared" si="0"/>
        <v>9.8863651047160633E-2</v>
      </c>
      <c r="E33" s="151">
        <v>3281157.5657288986</v>
      </c>
      <c r="F33" s="98">
        <f t="shared" si="1"/>
        <v>9.331658593164463E-2</v>
      </c>
      <c r="G33" s="151">
        <v>2581157.5657288986</v>
      </c>
      <c r="H33" s="98">
        <f t="shared" si="2"/>
        <v>7.340848677955765E-2</v>
      </c>
      <c r="I33" s="151">
        <f t="shared" si="3"/>
        <v>-700000</v>
      </c>
      <c r="J33" s="98">
        <f t="shared" si="4"/>
        <v>-21.333934319746618</v>
      </c>
    </row>
    <row r="34" spans="2:10">
      <c r="B34" s="93" t="s">
        <v>53</v>
      </c>
      <c r="C34" s="149">
        <f>SUM(C35:C38)</f>
        <v>33088194.540000003</v>
      </c>
      <c r="D34" s="96">
        <f t="shared" si="0"/>
        <v>0.99188372468223518</v>
      </c>
      <c r="E34" s="149">
        <f>+SUM(E35:E38)</f>
        <v>31410770.914738216</v>
      </c>
      <c r="F34" s="96">
        <f t="shared" si="1"/>
        <v>0.89332677402013982</v>
      </c>
      <c r="G34" s="149">
        <f>+SUM(G35:G38)</f>
        <v>31310770.914738216</v>
      </c>
      <c r="H34" s="96">
        <f t="shared" si="2"/>
        <v>0.89048275985555603</v>
      </c>
      <c r="I34" s="149">
        <f t="shared" si="3"/>
        <v>-100000</v>
      </c>
      <c r="J34" s="96">
        <f t="shared" si="4"/>
        <v>-0.318362132121635</v>
      </c>
    </row>
    <row r="35" spans="2:10">
      <c r="B35" s="97" t="s">
        <v>55</v>
      </c>
      <c r="C35" s="151">
        <v>6034873.3200000003</v>
      </c>
      <c r="D35" s="98">
        <f t="shared" si="0"/>
        <v>0.18090719998006413</v>
      </c>
      <c r="E35" s="151">
        <v>5533606.7424404304</v>
      </c>
      <c r="F35" s="98">
        <f t="shared" si="1"/>
        <v>0.15737655956737298</v>
      </c>
      <c r="G35" s="151">
        <v>6533606.7424404304</v>
      </c>
      <c r="H35" s="98">
        <f t="shared" si="2"/>
        <v>0.1858167012132115</v>
      </c>
      <c r="I35" s="151">
        <f t="shared" si="3"/>
        <v>1000000</v>
      </c>
      <c r="J35" s="98">
        <f t="shared" si="4"/>
        <v>18.071396225727824</v>
      </c>
    </row>
    <row r="36" spans="2:10">
      <c r="B36" s="97" t="s">
        <v>57</v>
      </c>
      <c r="C36" s="151">
        <v>12316700.43</v>
      </c>
      <c r="D36" s="98">
        <f t="shared" si="0"/>
        <v>0.36921732563966259</v>
      </c>
      <c r="E36" s="151">
        <v>11824073.889814863</v>
      </c>
      <c r="F36" s="98">
        <f t="shared" si="1"/>
        <v>0.33627833625719566</v>
      </c>
      <c r="G36" s="151">
        <v>12424073.889814863</v>
      </c>
      <c r="H36" s="98">
        <f t="shared" si="2"/>
        <v>0.35334242124469878</v>
      </c>
      <c r="I36" s="151">
        <f t="shared" si="3"/>
        <v>600000</v>
      </c>
      <c r="J36" s="98">
        <f t="shared" si="4"/>
        <v>5.0743931879251249</v>
      </c>
    </row>
    <row r="37" spans="2:10">
      <c r="B37" s="97" t="s">
        <v>59</v>
      </c>
      <c r="C37" s="151">
        <v>2179410.2600000002</v>
      </c>
      <c r="D37" s="98">
        <f t="shared" si="0"/>
        <v>6.5332110027526411E-2</v>
      </c>
      <c r="E37" s="151">
        <v>2220205.3434794326</v>
      </c>
      <c r="F37" s="98">
        <f t="shared" si="1"/>
        <v>6.3142954451402653E-2</v>
      </c>
      <c r="G37" s="151">
        <v>2220205.3434794326</v>
      </c>
      <c r="H37" s="98">
        <f t="shared" si="2"/>
        <v>6.3142954451402653E-2</v>
      </c>
      <c r="I37" s="151">
        <f t="shared" si="3"/>
        <v>0</v>
      </c>
      <c r="J37" s="98">
        <f t="shared" si="4"/>
        <v>0</v>
      </c>
    </row>
    <row r="38" spans="2:10">
      <c r="B38" s="97" t="s">
        <v>53</v>
      </c>
      <c r="C38" s="151">
        <v>12557210.530000001</v>
      </c>
      <c r="D38" s="98">
        <f t="shared" si="0"/>
        <v>0.37642708903498195</v>
      </c>
      <c r="E38" s="151">
        <v>11832884.939003492</v>
      </c>
      <c r="F38" s="98">
        <f t="shared" si="1"/>
        <v>0.33652892374416871</v>
      </c>
      <c r="G38" s="151">
        <v>10132884.939003492</v>
      </c>
      <c r="H38" s="98">
        <f t="shared" si="2"/>
        <v>0.28818068294624322</v>
      </c>
      <c r="I38" s="151">
        <f t="shared" si="3"/>
        <v>-1700000</v>
      </c>
      <c r="J38" s="98">
        <f t="shared" si="4"/>
        <v>-14.366741574545941</v>
      </c>
    </row>
    <row r="39" spans="2:10">
      <c r="B39" s="93" t="s">
        <v>254</v>
      </c>
      <c r="C39" s="149">
        <v>7564493.0600000005</v>
      </c>
      <c r="D39" s="96">
        <f t="shared" si="0"/>
        <v>0.22676056085850488</v>
      </c>
      <c r="E39" s="149">
        <v>7046262.4871663069</v>
      </c>
      <c r="F39" s="96">
        <f t="shared" si="1"/>
        <v>0.20039670320876826</v>
      </c>
      <c r="G39" s="149">
        <v>7738476.4003799995</v>
      </c>
      <c r="H39" s="96">
        <f t="shared" si="2"/>
        <v>0.22008336494978584</v>
      </c>
      <c r="I39" s="149">
        <f t="shared" si="3"/>
        <v>692213.91321369261</v>
      </c>
      <c r="J39" s="96">
        <f t="shared" si="4"/>
        <v>9.8238451161087852</v>
      </c>
    </row>
    <row r="40" spans="2:10" ht="13.5" thickBot="1">
      <c r="B40" s="93" t="s">
        <v>122</v>
      </c>
      <c r="C40" s="151">
        <v>6615451.54</v>
      </c>
      <c r="D40" s="98">
        <f t="shared" si="0"/>
        <v>0.19831117427750797</v>
      </c>
      <c r="E40" s="149">
        <v>8000000</v>
      </c>
      <c r="F40" s="96">
        <f t="shared" si="1"/>
        <v>0.22752113316670824</v>
      </c>
      <c r="G40" s="149">
        <v>8000000</v>
      </c>
      <c r="H40" s="96">
        <f t="shared" si="2"/>
        <v>0.22752113316670824</v>
      </c>
      <c r="I40" s="149">
        <f t="shared" si="3"/>
        <v>0</v>
      </c>
      <c r="J40" s="96">
        <f t="shared" si="4"/>
        <v>0</v>
      </c>
    </row>
    <row r="41" spans="2:10" ht="14.25" thickTop="1" thickBot="1">
      <c r="B41" s="90" t="s">
        <v>61</v>
      </c>
      <c r="C41" s="91">
        <f>+C43+C54+C60+SUM(C63:C67)</f>
        <v>1363467004.0629177</v>
      </c>
      <c r="D41" s="92">
        <f t="shared" si="0"/>
        <v>40.87260575176898</v>
      </c>
      <c r="E41" s="91">
        <f>+E43+E54+E60+SUM(E63:E67)</f>
        <v>1327102106.4899998</v>
      </c>
      <c r="F41" s="92">
        <f t="shared" si="1"/>
        <v>37.742971887066275</v>
      </c>
      <c r="G41" s="91">
        <f>+G43+G54+G60+SUM(G63:G67)</f>
        <v>1342758271.0799997</v>
      </c>
      <c r="H41" s="92">
        <f t="shared" si="2"/>
        <v>38.188235425636442</v>
      </c>
      <c r="I41" s="91">
        <f t="shared" si="3"/>
        <v>15656164.589999914</v>
      </c>
      <c r="J41" s="92">
        <f t="shared" si="4"/>
        <v>1.1797256980782294</v>
      </c>
    </row>
    <row r="42" spans="2:10" ht="14.25" thickTop="1" thickBot="1">
      <c r="B42" s="90" t="s">
        <v>125</v>
      </c>
      <c r="C42" s="91">
        <f>+C41-C63</f>
        <v>1301681501.2029178</v>
      </c>
      <c r="D42" s="92">
        <f t="shared" si="0"/>
        <v>39.020463754898891</v>
      </c>
      <c r="E42" s="91">
        <f>+E41-E63</f>
        <v>1225281606.4899998</v>
      </c>
      <c r="F42" s="92">
        <f t="shared" si="1"/>
        <v>34.84718244461618</v>
      </c>
      <c r="G42" s="91">
        <f>+G41-G63</f>
        <v>1240937771.0799997</v>
      </c>
      <c r="H42" s="92">
        <f t="shared" si="2"/>
        <v>35.29244598318634</v>
      </c>
      <c r="I42" s="91">
        <f t="shared" ref="I42:I73" si="5">+G42-E42</f>
        <v>15656164.589999914</v>
      </c>
      <c r="J42" s="92">
        <f t="shared" si="4"/>
        <v>1.2777605170169295</v>
      </c>
    </row>
    <row r="43" spans="2:10" ht="13.5" thickTop="1">
      <c r="B43" s="93" t="s">
        <v>62</v>
      </c>
      <c r="C43" s="94">
        <f>+SUM(C44:C53)</f>
        <v>600287648.01291776</v>
      </c>
      <c r="D43" s="96">
        <f t="shared" si="0"/>
        <v>17.994803175857761</v>
      </c>
      <c r="E43" s="94">
        <f>+SUM(E44:E53)</f>
        <v>615023510.13</v>
      </c>
      <c r="F43" s="96">
        <f t="shared" si="1"/>
        <v>17.491355743618005</v>
      </c>
      <c r="G43" s="94">
        <f>+SUM(G44:G53)</f>
        <v>625526473.45999992</v>
      </c>
      <c r="H43" s="96">
        <f t="shared" si="2"/>
        <v>17.790061508424255</v>
      </c>
      <c r="I43" s="94">
        <f t="shared" si="5"/>
        <v>10502963.329999924</v>
      </c>
      <c r="J43" s="96">
        <f t="shared" si="4"/>
        <v>1.7077336324557564</v>
      </c>
    </row>
    <row r="44" spans="2:10">
      <c r="B44" s="93" t="s">
        <v>63</v>
      </c>
      <c r="C44" s="149">
        <v>366128508.17291778</v>
      </c>
      <c r="D44" s="96">
        <f t="shared" si="0"/>
        <v>10.975422305375018</v>
      </c>
      <c r="E44" s="149">
        <v>386488693.71999997</v>
      </c>
      <c r="F44" s="96">
        <f t="shared" si="1"/>
        <v>10.991793193911903</v>
      </c>
      <c r="G44" s="149">
        <v>386488693.71999997</v>
      </c>
      <c r="H44" s="96">
        <f t="shared" si="2"/>
        <v>10.991793193911903</v>
      </c>
      <c r="I44" s="149">
        <f t="shared" si="5"/>
        <v>0</v>
      </c>
      <c r="J44" s="96">
        <f t="shared" si="4"/>
        <v>0</v>
      </c>
    </row>
    <row r="45" spans="2:10">
      <c r="B45" s="93" t="s">
        <v>74</v>
      </c>
      <c r="C45" s="149">
        <v>12022159.040000001</v>
      </c>
      <c r="D45" s="96">
        <f t="shared" si="0"/>
        <v>0.36038786803256645</v>
      </c>
      <c r="E45" s="149">
        <v>11478163.960000001</v>
      </c>
      <c r="F45" s="96">
        <f t="shared" si="1"/>
        <v>0.3264406088565589</v>
      </c>
      <c r="G45" s="149">
        <v>11478163.960000001</v>
      </c>
      <c r="H45" s="96">
        <f t="shared" si="2"/>
        <v>0.3264406088565589</v>
      </c>
      <c r="I45" s="149">
        <f t="shared" si="5"/>
        <v>0</v>
      </c>
      <c r="J45" s="96">
        <f t="shared" si="4"/>
        <v>0</v>
      </c>
    </row>
    <row r="46" spans="2:10">
      <c r="B46" s="93" t="s">
        <v>428</v>
      </c>
      <c r="C46" s="149">
        <v>90442340.840000004</v>
      </c>
      <c r="D46" s="96">
        <f t="shared" si="0"/>
        <v>2.7111870910004456</v>
      </c>
      <c r="E46" s="149">
        <v>89210330.25999999</v>
      </c>
      <c r="F46" s="96">
        <f t="shared" si="1"/>
        <v>2.5371544288664349</v>
      </c>
      <c r="G46" s="149">
        <v>29295302.830000002</v>
      </c>
      <c r="H46" s="96">
        <f t="shared" si="2"/>
        <v>0.83316256204293437</v>
      </c>
      <c r="I46" s="149">
        <f t="shared" si="5"/>
        <v>-59915027.429999992</v>
      </c>
      <c r="J46" s="96">
        <f t="shared" si="4"/>
        <v>-67.161535278907735</v>
      </c>
    </row>
    <row r="47" spans="2:10">
      <c r="B47" s="93" t="s">
        <v>429</v>
      </c>
      <c r="C47" s="149"/>
      <c r="D47" s="96">
        <f t="shared" si="0"/>
        <v>0</v>
      </c>
      <c r="E47" s="149"/>
      <c r="F47" s="96">
        <f t="shared" si="1"/>
        <v>0</v>
      </c>
      <c r="G47" s="149">
        <v>40692845.799999997</v>
      </c>
      <c r="H47" s="96">
        <f t="shared" si="2"/>
        <v>1.1573102985242654</v>
      </c>
      <c r="I47" s="149">
        <f t="shared" si="5"/>
        <v>40692845.799999997</v>
      </c>
      <c r="J47" s="96" t="e">
        <f t="shared" si="4"/>
        <v>#DIV/0!</v>
      </c>
    </row>
    <row r="48" spans="2:10">
      <c r="B48" s="93" t="s">
        <v>430</v>
      </c>
      <c r="C48" s="149">
        <v>20416485.639999997</v>
      </c>
      <c r="D48" s="96">
        <f t="shared" si="0"/>
        <v>0.61202432175752564</v>
      </c>
      <c r="E48" s="149">
        <v>21655403.200000003</v>
      </c>
      <c r="F48" s="96">
        <f t="shared" si="1"/>
        <v>0.61588273440574504</v>
      </c>
      <c r="G48" s="149">
        <v>21655403.200000003</v>
      </c>
      <c r="H48" s="96">
        <f t="shared" si="2"/>
        <v>0.61588273440574504</v>
      </c>
      <c r="I48" s="149">
        <f t="shared" si="5"/>
        <v>0</v>
      </c>
      <c r="J48" s="96">
        <f t="shared" si="4"/>
        <v>0</v>
      </c>
    </row>
    <row r="49" spans="2:10">
      <c r="B49" s="93" t="s">
        <v>79</v>
      </c>
      <c r="C49" s="149">
        <v>67427730.789999992</v>
      </c>
      <c r="D49" s="96">
        <f t="shared" si="0"/>
        <v>2.0212788788462022</v>
      </c>
      <c r="E49" s="149">
        <v>73316123.120000005</v>
      </c>
      <c r="F49" s="96">
        <f t="shared" si="1"/>
        <v>2.0851209264565371</v>
      </c>
      <c r="G49" s="149">
        <v>73316123.120000005</v>
      </c>
      <c r="H49" s="96">
        <f t="shared" si="2"/>
        <v>2.0851209264565371</v>
      </c>
      <c r="I49" s="149">
        <f t="shared" si="5"/>
        <v>0</v>
      </c>
      <c r="J49" s="96">
        <f t="shared" si="4"/>
        <v>0</v>
      </c>
    </row>
    <row r="50" spans="2:10">
      <c r="B50" s="93" t="s">
        <v>81</v>
      </c>
      <c r="C50" s="149">
        <v>7928041.8100000005</v>
      </c>
      <c r="D50" s="96">
        <f t="shared" si="0"/>
        <v>0.23765864983757101</v>
      </c>
      <c r="E50" s="149">
        <v>8172802.1399999997</v>
      </c>
      <c r="F50" s="96">
        <f t="shared" si="1"/>
        <v>0.23243565050501225</v>
      </c>
      <c r="G50" s="149">
        <v>8172802.1399999997</v>
      </c>
      <c r="H50" s="96">
        <f t="shared" si="2"/>
        <v>0.23243565050501225</v>
      </c>
      <c r="I50" s="149">
        <f t="shared" si="5"/>
        <v>0</v>
      </c>
      <c r="J50" s="96">
        <f t="shared" si="4"/>
        <v>0</v>
      </c>
    </row>
    <row r="51" spans="2:10">
      <c r="B51" s="93" t="s">
        <v>83</v>
      </c>
      <c r="C51" s="149">
        <v>17426749.959999997</v>
      </c>
      <c r="D51" s="96">
        <f t="shared" si="0"/>
        <v>0.52240111313824467</v>
      </c>
      <c r="E51" s="149">
        <v>18874600</v>
      </c>
      <c r="F51" s="96">
        <f t="shared" si="1"/>
        <v>0.53679629750854385</v>
      </c>
      <c r="G51" s="149">
        <v>18874600</v>
      </c>
      <c r="H51" s="96">
        <f t="shared" si="2"/>
        <v>0.53679629750854385</v>
      </c>
      <c r="I51" s="149">
        <f t="shared" si="5"/>
        <v>0</v>
      </c>
      <c r="J51" s="96">
        <f t="shared" si="4"/>
        <v>0</v>
      </c>
    </row>
    <row r="52" spans="2:10">
      <c r="B52" s="93" t="s">
        <v>85</v>
      </c>
      <c r="C52" s="149">
        <v>6279093.0100000007</v>
      </c>
      <c r="D52" s="96">
        <f t="shared" si="0"/>
        <v>0.18822816563339112</v>
      </c>
      <c r="E52" s="149">
        <v>5827393.7300000023</v>
      </c>
      <c r="F52" s="96">
        <f t="shared" si="1"/>
        <v>0.16573190310727137</v>
      </c>
      <c r="G52" s="149">
        <v>25049575.370000001</v>
      </c>
      <c r="H52" s="96">
        <f t="shared" si="2"/>
        <v>0.71241347169090818</v>
      </c>
      <c r="I52" s="149">
        <f t="shared" si="5"/>
        <v>19222181.640000001</v>
      </c>
      <c r="J52" s="96">
        <f>+G52/E52*100-100</f>
        <v>329.85898208734892</v>
      </c>
    </row>
    <row r="53" spans="2:10">
      <c r="B53" s="93" t="s">
        <v>129</v>
      </c>
      <c r="C53" s="149">
        <v>12216538.75</v>
      </c>
      <c r="D53" s="153">
        <f t="shared" si="0"/>
        <v>0.36621478223679643</v>
      </c>
      <c r="E53" s="149"/>
      <c r="F53" s="153">
        <f t="shared" si="1"/>
        <v>0</v>
      </c>
      <c r="G53" s="149">
        <v>10502963.32</v>
      </c>
      <c r="H53" s="153">
        <f t="shared" si="2"/>
        <v>0.2987057645218465</v>
      </c>
      <c r="I53" s="149">
        <f t="shared" si="5"/>
        <v>10502963.32</v>
      </c>
      <c r="J53" s="153" t="e">
        <f t="shared" si="4"/>
        <v>#DIV/0!</v>
      </c>
    </row>
    <row r="54" spans="2:10">
      <c r="B54" s="93" t="s">
        <v>86</v>
      </c>
      <c r="C54" s="94">
        <f>+SUM(C55:C59)</f>
        <v>482967769.27999985</v>
      </c>
      <c r="D54" s="96">
        <f t="shared" si="0"/>
        <v>14.47790901119734</v>
      </c>
      <c r="E54" s="94">
        <f>+SUM(E55:E59)</f>
        <v>498223398.96999997</v>
      </c>
      <c r="F54" s="96">
        <f t="shared" si="1"/>
        <v>14.169544037977921</v>
      </c>
      <c r="G54" s="94">
        <f>+SUM(G55:G59)</f>
        <v>498223398.96999997</v>
      </c>
      <c r="H54" s="96">
        <f t="shared" si="2"/>
        <v>14.169544037977921</v>
      </c>
      <c r="I54" s="94">
        <f t="shared" si="5"/>
        <v>0</v>
      </c>
      <c r="J54" s="96">
        <f t="shared" si="4"/>
        <v>0</v>
      </c>
    </row>
    <row r="55" spans="2:10">
      <c r="B55" s="97" t="s">
        <v>88</v>
      </c>
      <c r="C55" s="151">
        <v>64036543.990000002</v>
      </c>
      <c r="D55" s="98">
        <f t="shared" si="0"/>
        <v>1.919621383142986</v>
      </c>
      <c r="E55" s="151">
        <v>58645000</v>
      </c>
      <c r="F55" s="98">
        <f t="shared" si="1"/>
        <v>1.6678721068202007</v>
      </c>
      <c r="G55" s="151">
        <v>58645000</v>
      </c>
      <c r="H55" s="98">
        <f t="shared" si="2"/>
        <v>1.6678721068202007</v>
      </c>
      <c r="I55" s="151">
        <f t="shared" si="5"/>
        <v>0</v>
      </c>
      <c r="J55" s="98">
        <f t="shared" si="4"/>
        <v>0</v>
      </c>
    </row>
    <row r="56" spans="2:10">
      <c r="B56" s="97" t="s">
        <v>90</v>
      </c>
      <c r="C56" s="151">
        <v>13086355.520000001</v>
      </c>
      <c r="D56" s="98">
        <f t="shared" si="0"/>
        <v>0.39228925108022916</v>
      </c>
      <c r="E56" s="151">
        <v>20758124</v>
      </c>
      <c r="F56" s="98">
        <f t="shared" si="1"/>
        <v>0.59036398686188019</v>
      </c>
      <c r="G56" s="151">
        <v>20758124</v>
      </c>
      <c r="H56" s="98">
        <f t="shared" si="2"/>
        <v>0.59036398686188019</v>
      </c>
      <c r="I56" s="151">
        <f t="shared" si="5"/>
        <v>0</v>
      </c>
      <c r="J56" s="98">
        <f t="shared" si="4"/>
        <v>0</v>
      </c>
    </row>
    <row r="57" spans="2:10">
      <c r="B57" s="97" t="s">
        <v>92</v>
      </c>
      <c r="C57" s="151">
        <v>383190248.31999987</v>
      </c>
      <c r="D57" s="98">
        <f t="shared" si="0"/>
        <v>11.486881531298929</v>
      </c>
      <c r="E57" s="151">
        <v>397320274.96999997</v>
      </c>
      <c r="F57" s="98">
        <f t="shared" si="1"/>
        <v>11.299844898910312</v>
      </c>
      <c r="G57" s="151">
        <v>397320274.96999997</v>
      </c>
      <c r="H57" s="98">
        <f t="shared" si="2"/>
        <v>11.299844898910312</v>
      </c>
      <c r="I57" s="151">
        <f t="shared" si="5"/>
        <v>0</v>
      </c>
      <c r="J57" s="98">
        <f t="shared" si="4"/>
        <v>0</v>
      </c>
    </row>
    <row r="58" spans="2:10">
      <c r="B58" s="97" t="s">
        <v>94</v>
      </c>
      <c r="C58" s="151">
        <v>14792096.089999998</v>
      </c>
      <c r="D58" s="98">
        <f t="shared" si="0"/>
        <v>0.44342218031478986</v>
      </c>
      <c r="E58" s="151">
        <v>14500000</v>
      </c>
      <c r="F58" s="98">
        <f t="shared" si="1"/>
        <v>0.4123820538646587</v>
      </c>
      <c r="G58" s="151">
        <v>14500000</v>
      </c>
      <c r="H58" s="98">
        <f t="shared" si="2"/>
        <v>0.4123820538646587</v>
      </c>
      <c r="I58" s="151">
        <f t="shared" si="5"/>
        <v>0</v>
      </c>
      <c r="J58" s="98">
        <f t="shared" si="4"/>
        <v>0</v>
      </c>
    </row>
    <row r="59" spans="2:10">
      <c r="B59" s="97" t="s">
        <v>431</v>
      </c>
      <c r="C59" s="151">
        <v>7862525.3600000013</v>
      </c>
      <c r="D59" s="98">
        <f t="shared" si="0"/>
        <v>0.23569466536040659</v>
      </c>
      <c r="E59" s="151">
        <v>7000000</v>
      </c>
      <c r="F59" s="98">
        <f t="shared" si="1"/>
        <v>0.19908099152086972</v>
      </c>
      <c r="G59" s="151">
        <v>7000000</v>
      </c>
      <c r="H59" s="98">
        <f t="shared" si="2"/>
        <v>0.19908099152086972</v>
      </c>
      <c r="I59" s="151">
        <f t="shared" si="5"/>
        <v>0</v>
      </c>
      <c r="J59" s="98">
        <f t="shared" si="4"/>
        <v>0</v>
      </c>
    </row>
    <row r="60" spans="2:10">
      <c r="B60" s="93" t="s">
        <v>432</v>
      </c>
      <c r="C60" s="94">
        <f>+SUM(C61:C62)</f>
        <v>94307106.209999993</v>
      </c>
      <c r="D60" s="96">
        <f t="shared" si="0"/>
        <v>2.8270410359953697</v>
      </c>
      <c r="E60" s="94">
        <f>+SUM(E61:E62)</f>
        <v>101040047.61999999</v>
      </c>
      <c r="F60" s="96">
        <f t="shared" si="1"/>
        <v>2.8735932662150696</v>
      </c>
      <c r="G60" s="94">
        <f>+SUM(G61:G62)</f>
        <v>101040047.61999999</v>
      </c>
      <c r="H60" s="96">
        <f t="shared" si="2"/>
        <v>2.8735932662150696</v>
      </c>
      <c r="I60" s="94">
        <f t="shared" si="5"/>
        <v>0</v>
      </c>
      <c r="J60" s="96">
        <f t="shared" si="4"/>
        <v>0</v>
      </c>
    </row>
    <row r="61" spans="2:10">
      <c r="B61" s="97" t="s">
        <v>432</v>
      </c>
      <c r="C61" s="151">
        <v>94307106.209999993</v>
      </c>
      <c r="D61" s="98">
        <f t="shared" si="0"/>
        <v>2.8270410359953697</v>
      </c>
      <c r="E61" s="151">
        <v>101040047.61999999</v>
      </c>
      <c r="F61" s="98">
        <f t="shared" si="1"/>
        <v>2.8735932662150696</v>
      </c>
      <c r="G61" s="151">
        <v>101040047.61999999</v>
      </c>
      <c r="H61" s="98">
        <f t="shared" si="2"/>
        <v>2.8735932662150696</v>
      </c>
      <c r="I61" s="151">
        <f t="shared" si="5"/>
        <v>0</v>
      </c>
      <c r="J61" s="98">
        <f t="shared" si="4"/>
        <v>0</v>
      </c>
    </row>
    <row r="62" spans="2:10" ht="13.5" thickBot="1">
      <c r="B62" s="97" t="s">
        <v>433</v>
      </c>
      <c r="C62" s="151"/>
      <c r="D62" s="98">
        <f t="shared" si="0"/>
        <v>0</v>
      </c>
      <c r="E62" s="151"/>
      <c r="F62" s="98">
        <f t="shared" si="1"/>
        <v>0</v>
      </c>
      <c r="G62" s="151"/>
      <c r="H62" s="98">
        <f t="shared" si="2"/>
        <v>0</v>
      </c>
      <c r="I62" s="151">
        <f t="shared" si="5"/>
        <v>0</v>
      </c>
      <c r="J62" s="98" t="e">
        <f t="shared" si="4"/>
        <v>#DIV/0!</v>
      </c>
    </row>
    <row r="63" spans="2:10" ht="14.25" thickTop="1" thickBot="1">
      <c r="B63" s="90" t="s">
        <v>130</v>
      </c>
      <c r="C63" s="155">
        <v>61785502.860000007</v>
      </c>
      <c r="D63" s="92">
        <f t="shared" si="0"/>
        <v>1.8521419968700925</v>
      </c>
      <c r="E63" s="155">
        <v>101820500</v>
      </c>
      <c r="F63" s="92">
        <f t="shared" si="1"/>
        <v>2.8957894424501021</v>
      </c>
      <c r="G63" s="155">
        <v>101820500</v>
      </c>
      <c r="H63" s="92">
        <f t="shared" si="2"/>
        <v>2.8957894424501021</v>
      </c>
      <c r="I63" s="155">
        <f t="shared" si="5"/>
        <v>0</v>
      </c>
      <c r="J63" s="92">
        <f t="shared" si="4"/>
        <v>0</v>
      </c>
    </row>
    <row r="64" spans="2:10" ht="13.5" thickTop="1">
      <c r="B64" s="93" t="s">
        <v>110</v>
      </c>
      <c r="C64" s="149">
        <v>2752781.9799999995</v>
      </c>
      <c r="D64" s="96">
        <f t="shared" si="0"/>
        <v>8.2520055310353516E-2</v>
      </c>
      <c r="E64" s="149">
        <v>2140000</v>
      </c>
      <c r="F64" s="96">
        <f t="shared" si="1"/>
        <v>6.0861903122094448E-2</v>
      </c>
      <c r="G64" s="149">
        <v>2140000</v>
      </c>
      <c r="H64" s="96">
        <f t="shared" si="2"/>
        <v>6.0861903122094448E-2</v>
      </c>
      <c r="I64" s="149">
        <f t="shared" si="5"/>
        <v>0</v>
      </c>
      <c r="J64" s="96">
        <f t="shared" si="4"/>
        <v>0</v>
      </c>
    </row>
    <row r="65" spans="2:10" ht="13.5" thickBot="1">
      <c r="B65" s="93" t="s">
        <v>117</v>
      </c>
      <c r="C65" s="149">
        <v>14126844.789999999</v>
      </c>
      <c r="D65" s="96">
        <f t="shared" si="0"/>
        <v>0.42347996386970665</v>
      </c>
      <c r="E65" s="149">
        <v>8854649.7699999996</v>
      </c>
      <c r="F65" s="96">
        <f t="shared" si="1"/>
        <v>0.25182749368309154</v>
      </c>
      <c r="G65" s="149">
        <v>8854649.7699999996</v>
      </c>
      <c r="H65" s="96">
        <f t="shared" si="2"/>
        <v>0.25182749368309154</v>
      </c>
      <c r="I65" s="149">
        <f t="shared" si="5"/>
        <v>0</v>
      </c>
      <c r="J65" s="96">
        <f t="shared" si="4"/>
        <v>0</v>
      </c>
    </row>
    <row r="66" spans="2:10" ht="14.25" thickTop="1" thickBot="1">
      <c r="B66" s="143" t="s">
        <v>112</v>
      </c>
      <c r="C66" s="156">
        <v>107239350.92999999</v>
      </c>
      <c r="D66" s="145">
        <f t="shared" si="0"/>
        <v>3.2147105126683559</v>
      </c>
      <c r="E66" s="156">
        <v>0</v>
      </c>
      <c r="F66" s="145">
        <f t="shared" si="1"/>
        <v>0</v>
      </c>
      <c r="G66" s="156">
        <v>5153201.26</v>
      </c>
      <c r="H66" s="145">
        <f t="shared" si="2"/>
        <v>0.14655777376391357</v>
      </c>
      <c r="I66" s="156">
        <f t="shared" si="5"/>
        <v>5153201.26</v>
      </c>
      <c r="J66" s="145" t="e">
        <f t="shared" si="4"/>
        <v>#DIV/0!</v>
      </c>
    </row>
    <row r="67" spans="2:10" ht="14.25" thickTop="1" thickBot="1">
      <c r="B67" s="176" t="s">
        <v>151</v>
      </c>
      <c r="C67" s="149">
        <v>0</v>
      </c>
      <c r="D67" s="96">
        <f t="shared" si="0"/>
        <v>0</v>
      </c>
      <c r="E67" s="149">
        <v>0</v>
      </c>
      <c r="F67" s="96">
        <f t="shared" si="1"/>
        <v>0</v>
      </c>
      <c r="G67" s="149">
        <v>0</v>
      </c>
      <c r="H67" s="96">
        <f t="shared" si="2"/>
        <v>0</v>
      </c>
      <c r="I67" s="149">
        <f t="shared" si="5"/>
        <v>0</v>
      </c>
      <c r="J67" s="96" t="e">
        <f t="shared" si="4"/>
        <v>#DIV/0!</v>
      </c>
    </row>
    <row r="68" spans="2:10" ht="14.25" thickTop="1" thickBot="1">
      <c r="B68" s="90" t="s">
        <v>131</v>
      </c>
      <c r="C68" s="91">
        <f>+C8-C41</f>
        <v>-128320624.58291769</v>
      </c>
      <c r="D68" s="92">
        <f t="shared" si="0"/>
        <v>-3.8466631629292634</v>
      </c>
      <c r="E68" s="91">
        <f>+E8-E41</f>
        <v>-51045707.052829504</v>
      </c>
      <c r="F68" s="92">
        <f t="shared" si="1"/>
        <v>-1.4517471389944498</v>
      </c>
      <c r="G68" s="91">
        <f>+G8-G41</f>
        <v>-26424601.993229389</v>
      </c>
      <c r="H68" s="92">
        <f t="shared" si="2"/>
        <v>-0.75151942362235102</v>
      </c>
      <c r="I68" s="91">
        <f t="shared" si="5"/>
        <v>24621105.059600115</v>
      </c>
      <c r="J68" s="92">
        <f t="shared" si="4"/>
        <v>-48.23344896392291</v>
      </c>
    </row>
    <row r="69" spans="2:10" ht="14.25" thickTop="1" thickBot="1">
      <c r="B69" s="90" t="s">
        <v>132</v>
      </c>
      <c r="C69" s="91">
        <f>+C68+C49</f>
        <v>-60892893.792917699</v>
      </c>
      <c r="D69" s="92">
        <f t="shared" si="0"/>
        <v>-1.8253842840830612</v>
      </c>
      <c r="E69" s="91">
        <f>+E68+E49</f>
        <v>22270416.067170501</v>
      </c>
      <c r="F69" s="92">
        <f t="shared" si="1"/>
        <v>0.63337378746208728</v>
      </c>
      <c r="G69" s="91">
        <f>+G68+G49</f>
        <v>46891521.126770616</v>
      </c>
      <c r="H69" s="92">
        <f t="shared" si="2"/>
        <v>1.3336015028341861</v>
      </c>
      <c r="I69" s="91">
        <f t="shared" si="5"/>
        <v>24621105.059600115</v>
      </c>
      <c r="J69" s="92">
        <f t="shared" si="4"/>
        <v>110.55520914086037</v>
      </c>
    </row>
    <row r="70" spans="2:10" ht="14.25" thickTop="1" thickBot="1">
      <c r="B70" s="90" t="s">
        <v>0</v>
      </c>
      <c r="C70" s="91">
        <f>+SUM(C71:C73)</f>
        <v>241777428.00999996</v>
      </c>
      <c r="D70" s="92">
        <f t="shared" si="0"/>
        <v>7.2477540455928944</v>
      </c>
      <c r="E70" s="91">
        <f>+SUM(E71:E73)</f>
        <v>171426905.49000001</v>
      </c>
      <c r="F70" s="92">
        <f t="shared" si="1"/>
        <v>4.875405474043375</v>
      </c>
      <c r="G70" s="91">
        <f>+SUM(G71:G73)</f>
        <v>171426905.49000001</v>
      </c>
      <c r="H70" s="92">
        <f t="shared" si="2"/>
        <v>4.875405474043375</v>
      </c>
      <c r="I70" s="91">
        <f t="shared" si="5"/>
        <v>0</v>
      </c>
      <c r="J70" s="92">
        <f t="shared" si="4"/>
        <v>0</v>
      </c>
    </row>
    <row r="71" spans="2:10" ht="13.5" thickTop="1">
      <c r="B71" s="97" t="s">
        <v>134</v>
      </c>
      <c r="C71" s="151">
        <v>112695950.91</v>
      </c>
      <c r="D71" s="98">
        <f t="shared" si="0"/>
        <v>3.3782828316632929</v>
      </c>
      <c r="E71" s="151">
        <v>30008345.27</v>
      </c>
      <c r="F71" s="98">
        <f t="shared" si="1"/>
        <v>0.8534415900360286</v>
      </c>
      <c r="G71" s="151">
        <v>30008345.27</v>
      </c>
      <c r="H71" s="98">
        <f t="shared" si="2"/>
        <v>0.8534415900360286</v>
      </c>
      <c r="I71" s="151">
        <f t="shared" si="5"/>
        <v>0</v>
      </c>
      <c r="J71" s="98">
        <f t="shared" si="4"/>
        <v>0</v>
      </c>
    </row>
    <row r="72" spans="2:10">
      <c r="B72" s="97" t="s">
        <v>136</v>
      </c>
      <c r="C72" s="151">
        <v>68802905.489999995</v>
      </c>
      <c r="D72" s="98">
        <f t="shared" si="0"/>
        <v>2.0625024458158605</v>
      </c>
      <c r="E72" s="151">
        <v>108080400.25</v>
      </c>
      <c r="F72" s="98">
        <f t="shared" si="1"/>
        <v>3.073821892248922</v>
      </c>
      <c r="G72" s="151">
        <v>108080400.25</v>
      </c>
      <c r="H72" s="98">
        <f t="shared" si="2"/>
        <v>3.073821892248922</v>
      </c>
      <c r="I72" s="151">
        <f t="shared" si="5"/>
        <v>0</v>
      </c>
      <c r="J72" s="98">
        <f t="shared" si="4"/>
        <v>0</v>
      </c>
    </row>
    <row r="73" spans="2:10" ht="13.5" thickBot="1">
      <c r="B73" s="97" t="s">
        <v>115</v>
      </c>
      <c r="C73" s="151">
        <v>60278571.609999992</v>
      </c>
      <c r="D73" s="98">
        <f t="shared" ref="D73:D79" si="6">C73/C$3*100</f>
        <v>1.8069687681137414</v>
      </c>
      <c r="E73" s="151">
        <v>33338159.969999999</v>
      </c>
      <c r="F73" s="98">
        <f t="shared" si="1"/>
        <v>0.94814199175842395</v>
      </c>
      <c r="G73" s="151">
        <v>33338159.969999999</v>
      </c>
      <c r="H73" s="98">
        <f t="shared" ref="H73:H79" si="7">G73/E$3*100</f>
        <v>0.94814199175842395</v>
      </c>
      <c r="I73" s="151">
        <f t="shared" si="5"/>
        <v>0</v>
      </c>
      <c r="J73" s="98">
        <f t="shared" si="4"/>
        <v>0</v>
      </c>
    </row>
    <row r="74" spans="2:10" ht="14.25" thickTop="1" thickBot="1">
      <c r="B74" s="90" t="s">
        <v>140</v>
      </c>
      <c r="C74" s="91">
        <f>+C68-C70</f>
        <v>-370098052.59291768</v>
      </c>
      <c r="D74" s="92">
        <f t="shared" si="6"/>
        <v>-11.09441720852216</v>
      </c>
      <c r="E74" s="91">
        <f>+E68-E70</f>
        <v>-222472612.54282951</v>
      </c>
      <c r="F74" s="92">
        <f t="shared" ref="F74:F79" si="8">E74/E$3*100</f>
        <v>-6.3271526130378248</v>
      </c>
      <c r="G74" s="91">
        <v>-205851507.4832294</v>
      </c>
      <c r="H74" s="92">
        <f t="shared" si="7"/>
        <v>-5.8544460308324338</v>
      </c>
      <c r="I74" s="91">
        <f t="shared" ref="I74:I79" si="9">+G74-E74</f>
        <v>16621105.059600115</v>
      </c>
      <c r="J74" s="92">
        <f t="shared" ref="J74:J79" si="10">+G74/E74*100-100</f>
        <v>-7.4710791902083145</v>
      </c>
    </row>
    <row r="75" spans="2:10" ht="14.25" thickTop="1" thickBot="1">
      <c r="B75" s="90" t="s">
        <v>120</v>
      </c>
      <c r="C75" s="91">
        <f>+SUM(C76:C80)</f>
        <v>370098052.59291768</v>
      </c>
      <c r="D75" s="92">
        <f t="shared" si="6"/>
        <v>11.09441720852216</v>
      </c>
      <c r="E75" s="91">
        <f>+SUM(E76:E79)</f>
        <v>222472612.54282951</v>
      </c>
      <c r="F75" s="92">
        <f t="shared" si="8"/>
        <v>6.3271526130378248</v>
      </c>
      <c r="G75" s="91">
        <f>+SUM(G76:G79)</f>
        <v>205851507.4832294</v>
      </c>
      <c r="H75" s="92">
        <f t="shared" si="7"/>
        <v>5.8544460308324338</v>
      </c>
      <c r="I75" s="91">
        <f t="shared" si="9"/>
        <v>-16621105.059600115</v>
      </c>
      <c r="J75" s="92">
        <f t="shared" si="10"/>
        <v>-7.4710791902083145</v>
      </c>
    </row>
    <row r="76" spans="2:10" ht="13.5" thickTop="1">
      <c r="B76" s="97" t="s">
        <v>143</v>
      </c>
      <c r="C76" s="151">
        <v>102834751.84999999</v>
      </c>
      <c r="D76" s="98">
        <f t="shared" si="6"/>
        <v>3.0826739902186082</v>
      </c>
      <c r="E76" s="151">
        <v>0</v>
      </c>
      <c r="F76" s="98">
        <f t="shared" si="8"/>
        <v>0</v>
      </c>
      <c r="G76" s="178">
        <v>0</v>
      </c>
      <c r="H76" s="179">
        <f t="shared" si="7"/>
        <v>0</v>
      </c>
      <c r="I76" s="151">
        <f t="shared" si="9"/>
        <v>0</v>
      </c>
      <c r="J76" s="98" t="e">
        <f t="shared" si="10"/>
        <v>#DIV/0!</v>
      </c>
    </row>
    <row r="77" spans="2:10">
      <c r="B77" s="97" t="s">
        <v>121</v>
      </c>
      <c r="C77" s="151">
        <v>230537476.81999999</v>
      </c>
      <c r="D77" s="98">
        <f t="shared" si="6"/>
        <v>6.910814396676539</v>
      </c>
      <c r="E77" s="151">
        <v>227975575.86282945</v>
      </c>
      <c r="F77" s="98">
        <f t="shared" si="8"/>
        <v>6.4836576693304764</v>
      </c>
      <c r="G77" s="178">
        <v>227975575.86282945</v>
      </c>
      <c r="H77" s="179">
        <f t="shared" si="7"/>
        <v>6.4836576693304764</v>
      </c>
      <c r="I77" s="151">
        <f t="shared" si="9"/>
        <v>0</v>
      </c>
      <c r="J77" s="98">
        <f t="shared" si="10"/>
        <v>0</v>
      </c>
    </row>
    <row r="78" spans="2:10" ht="13.5" thickBot="1">
      <c r="B78" s="103" t="s">
        <v>328</v>
      </c>
      <c r="C78" s="151">
        <v>11948846.35</v>
      </c>
      <c r="D78" s="104">
        <f t="shared" si="6"/>
        <v>0.35819017592410862</v>
      </c>
      <c r="E78" s="151">
        <v>5000000</v>
      </c>
      <c r="F78" s="104">
        <f t="shared" si="8"/>
        <v>0.14220070822919265</v>
      </c>
      <c r="G78" s="178">
        <v>5000000</v>
      </c>
      <c r="H78" s="179">
        <f t="shared" si="7"/>
        <v>0.14220070822919265</v>
      </c>
      <c r="I78" s="151">
        <f t="shared" si="9"/>
        <v>0</v>
      </c>
      <c r="J78" s="104">
        <f t="shared" si="10"/>
        <v>0</v>
      </c>
    </row>
    <row r="79" spans="2:10" ht="14.25" thickTop="1" thickBot="1">
      <c r="B79" s="143" t="s">
        <v>124</v>
      </c>
      <c r="C79" s="144">
        <f>-C74-SUM(C76:C78)</f>
        <v>24776977.5729177</v>
      </c>
      <c r="D79" s="145">
        <f t="shared" si="6"/>
        <v>0.74273864570290371</v>
      </c>
      <c r="E79" s="144">
        <f>-E74-SUM(E76:E78)</f>
        <v>-10502963.319999933</v>
      </c>
      <c r="F79" s="145">
        <f t="shared" si="8"/>
        <v>-0.29870576452184461</v>
      </c>
      <c r="G79" s="180">
        <f>-G74-SUM(G76:G78)</f>
        <v>-27124068.379600048</v>
      </c>
      <c r="H79" s="181">
        <f t="shared" si="7"/>
        <v>-0.77141234672723535</v>
      </c>
      <c r="I79" s="144">
        <f t="shared" si="9"/>
        <v>-16621105.059600115</v>
      </c>
      <c r="J79" s="145">
        <f t="shared" si="10"/>
        <v>158.25157675215246</v>
      </c>
    </row>
    <row r="80" spans="2:10" ht="13.5" thickTop="1"/>
  </sheetData>
  <mergeCells count="6">
    <mergeCell ref="I6:J6"/>
    <mergeCell ref="E3:H3"/>
    <mergeCell ref="C6:D6"/>
    <mergeCell ref="C3:D3"/>
    <mergeCell ref="E6:F6"/>
    <mergeCell ref="G6:H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/>
  <dimension ref="C4:G6"/>
  <sheetViews>
    <sheetView workbookViewId="0">
      <selection activeCell="N16" sqref="N16"/>
    </sheetView>
  </sheetViews>
  <sheetFormatPr defaultRowHeight="12.75"/>
  <cols>
    <col min="3" max="3" width="27.85546875" bestFit="1" customWidth="1"/>
    <col min="4" max="4" width="15.140625" bestFit="1" customWidth="1"/>
    <col min="5" max="7" width="16.140625" bestFit="1" customWidth="1"/>
  </cols>
  <sheetData>
    <row r="4" spans="3:7">
      <c r="D4" t="s">
        <v>442</v>
      </c>
      <c r="E4">
        <v>2015</v>
      </c>
      <c r="F4">
        <v>2016</v>
      </c>
      <c r="G4">
        <v>2017</v>
      </c>
    </row>
    <row r="5" spans="3:7">
      <c r="C5" t="s">
        <v>440</v>
      </c>
      <c r="D5" s="175">
        <v>-26424601.993229389</v>
      </c>
      <c r="E5" s="175">
        <v>-24569497.372829676</v>
      </c>
      <c r="F5" s="175">
        <v>33498994.005818129</v>
      </c>
      <c r="G5" s="175">
        <v>103834080.12588143</v>
      </c>
    </row>
    <row r="6" spans="3:7">
      <c r="C6" t="s">
        <v>441</v>
      </c>
      <c r="D6" s="175">
        <v>-51424601.993229389</v>
      </c>
      <c r="E6" s="175">
        <v>-149569497.37282968</v>
      </c>
      <c r="F6" s="175">
        <v>-191501005.99418187</v>
      </c>
      <c r="G6" s="175">
        <v>-221165919.87411857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Cental Budget</vt:lpstr>
      <vt:lpstr>Local Government</vt:lpstr>
      <vt:lpstr>Public Expenditure</vt:lpstr>
      <vt:lpstr>PRIMICI</vt:lpstr>
      <vt:lpstr>DEFICIT Tabela</vt:lpstr>
      <vt:lpstr>MasterSheet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tamara.poleksic</cp:lastModifiedBy>
  <cp:lastPrinted>2016-06-30T08:34:04Z</cp:lastPrinted>
  <dcterms:created xsi:type="dcterms:W3CDTF">2008-03-17T08:49:23Z</dcterms:created>
  <dcterms:modified xsi:type="dcterms:W3CDTF">2018-09-05T11:37:59Z</dcterms:modified>
</cp:coreProperties>
</file>