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rdana.stanisic\Desktop\GDDS 12 final\"/>
    </mc:Choice>
  </mc:AlternateContent>
  <xr:revisionPtr revIDLastSave="0" documentId="13_ncr:1_{144FF433-568F-4A52-911B-4B2A26F379E3}" xr6:coauthVersionLast="36" xr6:coauthVersionMax="36" xr10:uidLastSave="{00000000-0000-0000-0000-000000000000}"/>
  <workbookProtection workbookAlgorithmName="SHA-512" workbookHashValue="xqSwjFj5tUcIn1yMb7LHa/CZauEk4cpJ4TgTc3wA0xh4kSbGoYC/xU3ry1g5tDJR6StD3riElBeZEaNbgpoMuQ==" workbookSaltValue="LHoVIZkjLVzoC1H5KjrZKw==" workbookSpinCount="100000" lockStructure="1"/>
  <bookViews>
    <workbookView xWindow="0" yWindow="0" windowWidth="24000" windowHeight="9525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3" sheetId="11" r:id="rId3"/>
    <sheet name="2023" sheetId="26" r:id="rId4"/>
    <sheet name="2022" sheetId="25" state="hidden" r:id="rId5"/>
    <sheet name="2021" sheetId="22" state="hidden" r:id="rId6"/>
    <sheet name="2020" sheetId="19" state="hidden" r:id="rId7"/>
    <sheet name="2019" sheetId="20" state="hidden" r:id="rId8"/>
    <sheet name="2018" sheetId="21" state="hidden" r:id="rId9"/>
    <sheet name="DataEx" sheetId="6" state="hidden" r:id="rId10"/>
    <sheet name="Master" sheetId="2" state="hidden" r:id="rId11"/>
  </sheets>
  <externalReferences>
    <externalReference r:id="rId12"/>
  </externalReferences>
  <definedNames>
    <definedName name="_2015plan" localSheetId="8">'2018'!$A$103:$A$162</definedName>
    <definedName name="_2015plan" localSheetId="7">'2019'!$A$100:$A$159</definedName>
    <definedName name="_2015plan" localSheetId="6">'2020'!$A$100:$A$157</definedName>
    <definedName name="_2015plan" localSheetId="5">'2021'!$A$81:$A$138</definedName>
    <definedName name="_2015plan" localSheetId="4">'2022'!$A$83:$A$140</definedName>
    <definedName name="_2015plan" localSheetId="3">'2023'!$A$83:$A$142</definedName>
  </definedNames>
  <calcPr calcId="191029"/>
</workbook>
</file>

<file path=xl/calcChain.xml><?xml version="1.0" encoding="utf-8"?>
<calcChain xmlns="http://schemas.openxmlformats.org/spreadsheetml/2006/main">
  <c r="Q47" i="11" l="1"/>
  <c r="H11" i="11" l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10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29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15" i="11"/>
  <c r="O14" i="11"/>
  <c r="O13" i="11"/>
  <c r="O12" i="11"/>
  <c r="O11" i="11"/>
  <c r="O10" i="11"/>
  <c r="S51" i="26" l="1"/>
  <c r="N18" i="11"/>
  <c r="N17" i="11"/>
  <c r="N16" i="11"/>
  <c r="N15" i="11"/>
  <c r="N14" i="11"/>
  <c r="N31" i="11" l="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59" i="11"/>
  <c r="N62" i="11"/>
  <c r="N63" i="11"/>
  <c r="N64" i="11"/>
  <c r="N65" i="11"/>
  <c r="N27" i="11"/>
  <c r="N28" i="11"/>
  <c r="N12" i="11"/>
  <c r="N13" i="11"/>
  <c r="N20" i="11"/>
  <c r="N21" i="11"/>
  <c r="N22" i="11"/>
  <c r="N23" i="11"/>
  <c r="N24" i="11"/>
  <c r="N25" i="11"/>
  <c r="N26" i="11"/>
  <c r="Q59" i="11" l="1"/>
  <c r="T59" i="11"/>
  <c r="S135" i="26"/>
  <c r="T135" i="26" s="1"/>
  <c r="S59" i="11" l="1"/>
  <c r="P59" i="11"/>
  <c r="S141" i="26" l="1"/>
  <c r="T141" i="26" s="1"/>
  <c r="L131" i="26" l="1"/>
  <c r="L123" i="26"/>
  <c r="L116" i="26"/>
  <c r="L106" i="26"/>
  <c r="L95" i="26"/>
  <c r="L87" i="26"/>
  <c r="L86" i="26" s="1"/>
  <c r="L82" i="26"/>
  <c r="L55" i="26"/>
  <c r="L40" i="26"/>
  <c r="L30" i="26"/>
  <c r="L19" i="26"/>
  <c r="L11" i="26"/>
  <c r="L8" i="26"/>
  <c r="L84" i="26" s="1"/>
  <c r="L5" i="26"/>
  <c r="K131" i="26"/>
  <c r="K123" i="26"/>
  <c r="K116" i="26"/>
  <c r="K106" i="26"/>
  <c r="K95" i="26"/>
  <c r="K87" i="26"/>
  <c r="K82" i="26"/>
  <c r="K55" i="26"/>
  <c r="K40" i="26"/>
  <c r="K30" i="26"/>
  <c r="K19" i="26"/>
  <c r="K11" i="26"/>
  <c r="K8" i="26"/>
  <c r="K84" i="26" s="1"/>
  <c r="K5" i="26"/>
  <c r="J131" i="26"/>
  <c r="J123" i="26"/>
  <c r="J116" i="26"/>
  <c r="J106" i="26"/>
  <c r="J95" i="26"/>
  <c r="J87" i="26"/>
  <c r="J82" i="26"/>
  <c r="J55" i="26"/>
  <c r="J40" i="26"/>
  <c r="J30" i="26"/>
  <c r="J19" i="26"/>
  <c r="J11" i="26"/>
  <c r="J8" i="26"/>
  <c r="J84" i="26" s="1"/>
  <c r="J5" i="26"/>
  <c r="I131" i="26"/>
  <c r="I123" i="26"/>
  <c r="I116" i="26"/>
  <c r="I106" i="26"/>
  <c r="I95" i="26"/>
  <c r="I87" i="26"/>
  <c r="I82" i="26"/>
  <c r="I55" i="26"/>
  <c r="I40" i="26"/>
  <c r="I30" i="26"/>
  <c r="I11" i="26"/>
  <c r="I10" i="26" s="1"/>
  <c r="I8" i="26"/>
  <c r="I84" i="26" s="1"/>
  <c r="I5" i="26"/>
  <c r="H131" i="26"/>
  <c r="H123" i="26"/>
  <c r="H116" i="26"/>
  <c r="H106" i="26"/>
  <c r="H95" i="26"/>
  <c r="H87" i="26"/>
  <c r="H82" i="26"/>
  <c r="H55" i="26"/>
  <c r="H40" i="26"/>
  <c r="H30" i="26"/>
  <c r="H11" i="26"/>
  <c r="H10" i="26" s="1"/>
  <c r="H8" i="26"/>
  <c r="H84" i="26" s="1"/>
  <c r="H5" i="26"/>
  <c r="G131" i="26"/>
  <c r="G123" i="26"/>
  <c r="G116" i="26"/>
  <c r="G106" i="26"/>
  <c r="G95" i="26"/>
  <c r="G87" i="26"/>
  <c r="G82" i="26"/>
  <c r="G55" i="26"/>
  <c r="G40" i="26"/>
  <c r="G30" i="26"/>
  <c r="G29" i="26" s="1"/>
  <c r="G11" i="26"/>
  <c r="G10" i="26" s="1"/>
  <c r="G8" i="26"/>
  <c r="G84" i="26" s="1"/>
  <c r="G5" i="26"/>
  <c r="L29" i="26" l="1"/>
  <c r="H29" i="26"/>
  <c r="H53" i="26" s="1"/>
  <c r="H60" i="26" s="1"/>
  <c r="H66" i="26" s="1"/>
  <c r="H61" i="26" s="1"/>
  <c r="J10" i="26"/>
  <c r="J29" i="26"/>
  <c r="J86" i="26"/>
  <c r="H86" i="26"/>
  <c r="K29" i="26"/>
  <c r="L10" i="26"/>
  <c r="L105" i="26"/>
  <c r="L129" i="26" s="1"/>
  <c r="I29" i="26"/>
  <c r="I53" i="26" s="1"/>
  <c r="I60" i="26" s="1"/>
  <c r="I66" i="26" s="1"/>
  <c r="I61" i="26" s="1"/>
  <c r="I86" i="26"/>
  <c r="G105" i="26"/>
  <c r="H105" i="26"/>
  <c r="K10" i="26"/>
  <c r="I105" i="26"/>
  <c r="K86" i="26"/>
  <c r="G86" i="26"/>
  <c r="J105" i="26"/>
  <c r="K105" i="26"/>
  <c r="G53" i="26"/>
  <c r="G60" i="26" s="1"/>
  <c r="G66" i="26" s="1"/>
  <c r="G61" i="26" s="1"/>
  <c r="I129" i="26"/>
  <c r="H129" i="26" l="1"/>
  <c r="H130" i="26" s="1"/>
  <c r="L53" i="26"/>
  <c r="L54" i="26" s="1"/>
  <c r="J129" i="26"/>
  <c r="J53" i="26"/>
  <c r="J54" i="26" s="1"/>
  <c r="G54" i="26"/>
  <c r="K53" i="26"/>
  <c r="K54" i="26" s="1"/>
  <c r="I54" i="26"/>
  <c r="G129" i="26"/>
  <c r="H54" i="26"/>
  <c r="K129" i="26"/>
  <c r="L130" i="26"/>
  <c r="L136" i="26"/>
  <c r="L142" i="26" s="1"/>
  <c r="L137" i="26" s="1"/>
  <c r="J130" i="26"/>
  <c r="J136" i="26"/>
  <c r="J142" i="26" s="1"/>
  <c r="J137" i="26" s="1"/>
  <c r="I130" i="26"/>
  <c r="I136" i="26"/>
  <c r="I142" i="26" s="1"/>
  <c r="I137" i="26" s="1"/>
  <c r="J60" i="26" l="1"/>
  <c r="J66" i="26" s="1"/>
  <c r="J61" i="26" s="1"/>
  <c r="H136" i="26"/>
  <c r="H142" i="26" s="1"/>
  <c r="H137" i="26" s="1"/>
  <c r="L60" i="26"/>
  <c r="L66" i="26" s="1"/>
  <c r="L61" i="26" s="1"/>
  <c r="K60" i="26"/>
  <c r="K66" i="26" s="1"/>
  <c r="K61" i="26" s="1"/>
  <c r="G136" i="26"/>
  <c r="G130" i="26"/>
  <c r="K136" i="26"/>
  <c r="K142" i="26" s="1"/>
  <c r="K130" i="26"/>
  <c r="T65" i="11"/>
  <c r="S65" i="11"/>
  <c r="G142" i="26" l="1"/>
  <c r="K137" i="26"/>
  <c r="S59" i="26"/>
  <c r="S65" i="26"/>
  <c r="S59" i="25"/>
  <c r="S65" i="25"/>
  <c r="G137" i="26" l="1"/>
  <c r="T59" i="26"/>
  <c r="G59" i="11"/>
  <c r="T65" i="26"/>
  <c r="G65" i="11"/>
  <c r="T65" i="25"/>
  <c r="L59" i="11" l="1"/>
  <c r="J59" i="11"/>
  <c r="M59" i="11"/>
  <c r="I59" i="11"/>
  <c r="M65" i="11"/>
  <c r="L65" i="11"/>
  <c r="D17" i="1"/>
  <c r="D21" i="1" s="1"/>
  <c r="R40" i="25" l="1"/>
  <c r="G245" i="2" l="1"/>
  <c r="R123" i="26" l="1"/>
  <c r="Q123" i="26"/>
  <c r="P123" i="26"/>
  <c r="O123" i="26"/>
  <c r="N123" i="26"/>
  <c r="M123" i="26"/>
  <c r="R125" i="26"/>
  <c r="R122" i="26"/>
  <c r="R113" i="26"/>
  <c r="R115" i="26"/>
  <c r="R110" i="26"/>
  <c r="R109" i="26"/>
  <c r="R107" i="26"/>
  <c r="R40" i="26" l="1"/>
  <c r="N40" i="11" s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N55" i="11" s="1"/>
  <c r="Q55" i="26"/>
  <c r="P55" i="26"/>
  <c r="O55" i="26"/>
  <c r="N55" i="26"/>
  <c r="M55" i="26"/>
  <c r="S52" i="26"/>
  <c r="S50" i="26"/>
  <c r="S49" i="26"/>
  <c r="G49" i="11" s="1"/>
  <c r="I49" i="11" s="1"/>
  <c r="S48" i="26"/>
  <c r="S47" i="26"/>
  <c r="S46" i="26"/>
  <c r="S45" i="26"/>
  <c r="S44" i="26"/>
  <c r="S43" i="26"/>
  <c r="S42" i="26"/>
  <c r="S41" i="26"/>
  <c r="Q40" i="26"/>
  <c r="P40" i="26"/>
  <c r="O40" i="26"/>
  <c r="N40" i="26"/>
  <c r="M40" i="26"/>
  <c r="S39" i="26"/>
  <c r="S38" i="26"/>
  <c r="S37" i="26"/>
  <c r="S36" i="26"/>
  <c r="S35" i="26"/>
  <c r="S34" i="26"/>
  <c r="S33" i="26"/>
  <c r="S32" i="26"/>
  <c r="S31" i="26"/>
  <c r="R30" i="26"/>
  <c r="N30" i="11" s="1"/>
  <c r="Q30" i="26"/>
  <c r="P30" i="26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N19" i="11" s="1"/>
  <c r="Q19" i="26"/>
  <c r="P19" i="26"/>
  <c r="O19" i="26"/>
  <c r="N19" i="26"/>
  <c r="M19" i="26"/>
  <c r="S18" i="26"/>
  <c r="S17" i="26"/>
  <c r="S16" i="26"/>
  <c r="S15" i="26"/>
  <c r="S14" i="26"/>
  <c r="S13" i="26"/>
  <c r="S12" i="26"/>
  <c r="R11" i="26"/>
  <c r="N11" i="11" s="1"/>
  <c r="Q11" i="26"/>
  <c r="P11" i="26"/>
  <c r="O11" i="26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50" i="26"/>
  <c r="G50" i="11"/>
  <c r="T49" i="26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T31" i="26"/>
  <c r="G31" i="11"/>
  <c r="M31" i="11" s="1"/>
  <c r="O29" i="26"/>
  <c r="R105" i="26"/>
  <c r="N10" i="26"/>
  <c r="R10" i="26"/>
  <c r="N10" i="11" s="1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N29" i="11" s="1"/>
  <c r="S55" i="26"/>
  <c r="S40" i="26"/>
  <c r="O10" i="26"/>
  <c r="P10" i="26"/>
  <c r="M10" i="26"/>
  <c r="S11" i="26"/>
  <c r="S30" i="26"/>
  <c r="S87" i="26"/>
  <c r="T87" i="26" s="1"/>
  <c r="N53" i="26" l="1"/>
  <c r="N54" i="26" s="1"/>
  <c r="D12" i="1"/>
  <c r="E12" i="1" s="1"/>
  <c r="Q53" i="26"/>
  <c r="O129" i="26"/>
  <c r="M53" i="26"/>
  <c r="M60" i="26" s="1"/>
  <c r="N129" i="26"/>
  <c r="R53" i="26"/>
  <c r="N53" i="11" s="1"/>
  <c r="R129" i="26"/>
  <c r="R130" i="26" s="1"/>
  <c r="P53" i="26"/>
  <c r="T55" i="26"/>
  <c r="G55" i="11"/>
  <c r="T40" i="26"/>
  <c r="G40" i="11"/>
  <c r="D16" i="1"/>
  <c r="E16" i="1" s="1"/>
  <c r="T19" i="26"/>
  <c r="G19" i="11"/>
  <c r="T11" i="26"/>
  <c r="G11" i="11"/>
  <c r="T30" i="26"/>
  <c r="G30" i="11"/>
  <c r="O53" i="26"/>
  <c r="P129" i="26"/>
  <c r="P130" i="26" s="1"/>
  <c r="S29" i="26"/>
  <c r="G29" i="11" s="1"/>
  <c r="T106" i="26"/>
  <c r="Q129" i="26"/>
  <c r="Q136" i="26" s="1"/>
  <c r="Q142" i="26" s="1"/>
  <c r="Q137" i="26" s="1"/>
  <c r="M129" i="26"/>
  <c r="S105" i="26"/>
  <c r="S86" i="26"/>
  <c r="T86" i="26" s="1"/>
  <c r="S10" i="26"/>
  <c r="Q60" i="26" l="1"/>
  <c r="P60" i="26"/>
  <c r="D20" i="1"/>
  <c r="E20" i="1" s="1"/>
  <c r="O130" i="26"/>
  <c r="O60" i="26"/>
  <c r="N130" i="26"/>
  <c r="Q54" i="26"/>
  <c r="N60" i="26"/>
  <c r="N136" i="26"/>
  <c r="O136" i="26"/>
  <c r="M136" i="26"/>
  <c r="M54" i="26"/>
  <c r="R136" i="26"/>
  <c r="R142" i="26" s="1"/>
  <c r="R137" i="26" s="1"/>
  <c r="R54" i="26"/>
  <c r="N54" i="11" s="1"/>
  <c r="R60" i="26"/>
  <c r="P54" i="26"/>
  <c r="M66" i="26"/>
  <c r="O54" i="26"/>
  <c r="T29" i="26"/>
  <c r="G16" i="1"/>
  <c r="H16" i="1" s="1"/>
  <c r="P136" i="26"/>
  <c r="P142" i="26" s="1"/>
  <c r="P137" i="26" s="1"/>
  <c r="T10" i="26"/>
  <c r="G10" i="11"/>
  <c r="T105" i="26"/>
  <c r="Q130" i="26"/>
  <c r="M130" i="26"/>
  <c r="S129" i="26"/>
  <c r="T129" i="26" s="1"/>
  <c r="S53" i="26"/>
  <c r="S60" i="26" s="1"/>
  <c r="G11" i="2"/>
  <c r="R66" i="26" l="1"/>
  <c r="N60" i="11"/>
  <c r="Q66" i="26"/>
  <c r="P66" i="26"/>
  <c r="P61" i="26" s="1"/>
  <c r="O142" i="26"/>
  <c r="P60" i="11"/>
  <c r="O66" i="26"/>
  <c r="O61" i="26" s="1"/>
  <c r="N142" i="26"/>
  <c r="N66" i="26"/>
  <c r="N61" i="26" s="1"/>
  <c r="M61" i="26"/>
  <c r="M142" i="26"/>
  <c r="G12" i="1"/>
  <c r="H12" i="1" s="1"/>
  <c r="I10" i="11"/>
  <c r="T53" i="26"/>
  <c r="G53" i="11"/>
  <c r="G20" i="1" s="1"/>
  <c r="H20" i="1" s="1"/>
  <c r="S54" i="26"/>
  <c r="S130" i="26"/>
  <c r="T130" i="26" s="1"/>
  <c r="S136" i="26"/>
  <c r="T136" i="26" s="1"/>
  <c r="S66" i="26"/>
  <c r="R61" i="26" l="1"/>
  <c r="N61" i="11" s="1"/>
  <c r="N66" i="11"/>
  <c r="Q61" i="26"/>
  <c r="O137" i="26"/>
  <c r="N137" i="26"/>
  <c r="M137" i="26"/>
  <c r="Q65" i="11"/>
  <c r="J65" i="11"/>
  <c r="I65" i="11"/>
  <c r="P65" i="11"/>
  <c r="T54" i="26"/>
  <c r="G54" i="11"/>
  <c r="T60" i="26"/>
  <c r="G60" i="11"/>
  <c r="S142" i="26"/>
  <c r="T142" i="26" s="1"/>
  <c r="J19" i="25"/>
  <c r="J11" i="25"/>
  <c r="P61" i="11" l="1"/>
  <c r="J10" i="25"/>
  <c r="S137" i="26"/>
  <c r="T137" i="26" s="1"/>
  <c r="T66" i="26"/>
  <c r="G66" i="11"/>
  <c r="S61" i="26"/>
  <c r="T61" i="26" s="1"/>
  <c r="G61" i="11" l="1"/>
  <c r="S86" i="22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L60" i="11" l="1"/>
  <c r="O61" i="25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L61" i="11" l="1"/>
  <c r="S61" i="25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4" i="11"/>
  <c r="Q62" i="11"/>
  <c r="Q57" i="11"/>
  <c r="Q51" i="11"/>
  <c r="Q49" i="11"/>
  <c r="Q45" i="11"/>
  <c r="Q43" i="11"/>
  <c r="Q41" i="11"/>
  <c r="Q39" i="11"/>
  <c r="Q37" i="11"/>
  <c r="Q35" i="11"/>
  <c r="Q33" i="11"/>
  <c r="Q15" i="11"/>
  <c r="Q13" i="11"/>
  <c r="Q63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60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6" i="11" l="1"/>
  <c r="M54" i="11"/>
  <c r="L54" i="11"/>
  <c r="M60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1" i="11" l="1"/>
  <c r="L66" i="11"/>
  <c r="M66" i="11"/>
  <c r="S153" i="19"/>
  <c r="T153" i="19" s="1"/>
  <c r="S60" i="19"/>
  <c r="T60" i="19" s="1"/>
  <c r="G14" i="2"/>
  <c r="M61" i="11" l="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R84" i="26" s="1"/>
  <c r="G242" i="2"/>
  <c r="Q8" i="26" s="1"/>
  <c r="Q84" i="26" s="1"/>
  <c r="G241" i="2"/>
  <c r="G240" i="2"/>
  <c r="O8" i="26" s="1"/>
  <c r="O84" i="26" s="1"/>
  <c r="G239" i="2"/>
  <c r="N8" i="26" s="1"/>
  <c r="N84" i="26" s="1"/>
  <c r="G238" i="2"/>
  <c r="M8" i="26" s="1"/>
  <c r="M84" i="26" s="1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B59" i="11" s="1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B65" i="11" s="1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S350" i="6" s="1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CZ50" i="6"/>
  <c r="CY50" i="6"/>
  <c r="CX50" i="6"/>
  <c r="DI49" i="6"/>
  <c r="DH49" i="6"/>
  <c r="DG49" i="6"/>
  <c r="DF49" i="6"/>
  <c r="DE49" i="6"/>
  <c r="DD49" i="6"/>
  <c r="DC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DE350" i="6"/>
  <c r="DP385" i="6"/>
  <c r="ED217" i="6" l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G11" i="1" s="1"/>
  <c r="CM190" i="6"/>
  <c r="CN190" i="6"/>
  <c r="CP190" i="6"/>
  <c r="CQ190" i="6"/>
  <c r="G276" i="2"/>
  <c r="G19" i="1" s="1"/>
  <c r="G275" i="2"/>
  <c r="G15" i="1" s="1"/>
  <c r="G270" i="2"/>
  <c r="D11" i="1" s="1"/>
  <c r="G272" i="2"/>
  <c r="D19" i="1" s="1"/>
  <c r="G246" i="2"/>
  <c r="R8" i="3"/>
  <c r="R8" i="11"/>
  <c r="G271" i="2"/>
  <c r="D15" i="1" s="1"/>
  <c r="T9" i="26" l="1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60" i="11"/>
  <c r="S64" i="11"/>
  <c r="S63" i="11"/>
  <c r="S58" i="11"/>
  <c r="S48" i="11" s="1"/>
  <c r="S62" i="11"/>
  <c r="CU190" i="6"/>
  <c r="S66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1" i="11" l="1"/>
  <c r="P16" i="11"/>
  <c r="P45" i="11"/>
  <c r="P49" i="11"/>
  <c r="P56" i="11"/>
  <c r="P62" i="11"/>
  <c r="P63" i="11"/>
  <c r="P64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5" i="25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Q46" i="11"/>
  <c r="P129" i="25"/>
  <c r="R130" i="25" l="1"/>
  <c r="R140" i="25"/>
  <c r="R136" i="25" s="1"/>
  <c r="Q136" i="25"/>
  <c r="Q29" i="11"/>
  <c r="P29" i="11"/>
  <c r="J29" i="11"/>
  <c r="I29" i="11"/>
  <c r="P135" i="25"/>
  <c r="P140" i="25" s="1"/>
  <c r="S129" i="25"/>
  <c r="T129" i="25" s="1"/>
  <c r="P130" i="25"/>
  <c r="S140" i="25" l="1"/>
  <c r="S135" i="25"/>
  <c r="T135" i="25" s="1"/>
  <c r="Q53" i="11"/>
  <c r="P53" i="11"/>
  <c r="S130" i="25"/>
  <c r="T130" i="25" s="1"/>
  <c r="I53" i="11"/>
  <c r="J53" i="11"/>
  <c r="P54" i="11" l="1"/>
  <c r="Q54" i="11"/>
  <c r="P136" i="25"/>
  <c r="I54" i="11"/>
  <c r="J54" i="11"/>
  <c r="Q60" i="11"/>
  <c r="J60" i="11"/>
  <c r="I60" i="11"/>
  <c r="T140" i="25" l="1"/>
  <c r="J66" i="11"/>
  <c r="I66" i="11"/>
  <c r="S136" i="25"/>
  <c r="T136" i="25" s="1"/>
  <c r="Q66" i="11"/>
  <c r="P66" i="11"/>
  <c r="Q61" i="11" l="1"/>
  <c r="J61" i="11"/>
  <c r="I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<sst xmlns="http://schemas.openxmlformats.org/spreadsheetml/2006/main" count="1821" uniqueCount="858">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</sst>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1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54851" y="1323976"/>
          <a:ext cx="3173941" cy="2935816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-decembar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2.565,3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41,5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417,9 mil. € ili 19,5%.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veći za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569,9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28,6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endParaRPr lang="en-US">
            <a:effectLst/>
          </a:endParaRPr>
        </a:p>
        <a:p>
          <a:pPr algn="just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r>
            <a:rPr lang="sr-Latn-R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istom periodu iznosili su 2.555,4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41,4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U odnosu na planirane rashodi su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veći 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41,6 mil. € ili 1,7% dok su u odnosu na isti period 2022. godine veći za  309,6  mil. € ili 13,8%.</a:t>
          </a:r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periodu januar-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decembar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2023. godine zabilježen je suficit budžeta u iznosu od 10,0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0,2% procijenjenog BDP-a.</a:t>
          </a:r>
          <a:endParaRPr lang="en-GB">
            <a:solidFill>
              <a:sysClr val="windowText" lastClr="000000"/>
            </a:solidFill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323851</xdr:colOff>
      <xdr:row>6</xdr:row>
      <xdr:rowOff>180976</xdr:rowOff>
    </xdr:from>
    <xdr:to>
      <xdr:col>22</xdr:col>
      <xdr:colOff>518583</xdr:colOff>
      <xdr:row>28</xdr:row>
      <xdr:rowOff>10583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314518" y="1323976"/>
          <a:ext cx="3877732" cy="404177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algn="just"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inicijalnim Zakonom o budžetu Crne Gore za 2023. godinu, koji je donešen u decembru 2022. godine, imajući u vidu da su izmjene Zakona o budžetu donešene i primjenjene tek u decembru 2023, te nisu bile mogle biti implementirane na mjesečnom nivou.</a:t>
          </a:r>
          <a:endParaRPr lang="sr-Latn-ME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806026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291042</xdr:colOff>
      <xdr:row>2</xdr:row>
      <xdr:rowOff>123824</xdr:rowOff>
    </xdr:from>
    <xdr:to>
      <xdr:col>10</xdr:col>
      <xdr:colOff>507577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110067</xdr:colOff>
      <xdr:row>3</xdr:row>
      <xdr:rowOff>28575</xdr:rowOff>
    </xdr:from>
    <xdr:to>
      <xdr:col>12</xdr:col>
      <xdr:colOff>577109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148167</xdr:colOff>
      <xdr:row>3</xdr:row>
      <xdr:rowOff>9525</xdr:rowOff>
    </xdr:from>
    <xdr:to>
      <xdr:col>14</xdr:col>
      <xdr:colOff>719985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4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4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5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5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6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6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7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7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8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8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2023-12</v>
      </c>
      <c r="O6" s="128" t="str">
        <f>+CONCATENATE(N6,"p")</f>
        <v>2023-12p</v>
      </c>
      <c r="P6" s="116"/>
      <c r="Q6" s="116"/>
      <c r="R6" s="128" t="str">
        <f>+IF(Master!B3-10&gt;=0,CONCATENATE(Master!B4-1,"-",Master!B3),CONCATENATE(Master!B4-1,"-0",Master!B3))</f>
        <v>2022-12</v>
      </c>
      <c r="S6" s="116"/>
      <c r="T6" s="116"/>
    </row>
    <row r="7" spans="1:20">
      <c r="A7" s="129"/>
      <c r="B7" s="528" t="s">
        <v>691</v>
      </c>
      <c r="C7" s="529"/>
      <c r="D7" s="529"/>
      <c r="E7" s="529"/>
      <c r="F7" s="529"/>
      <c r="G7" s="537" t="s">
        <v>690</v>
      </c>
      <c r="H7" s="538"/>
      <c r="I7" s="538"/>
      <c r="J7" s="538"/>
      <c r="K7" s="538"/>
      <c r="L7" s="538"/>
      <c r="M7" s="539"/>
      <c r="N7" s="540" t="str">
        <f>+Master!G243</f>
        <v>Decembar</v>
      </c>
      <c r="O7" s="538"/>
      <c r="P7" s="538"/>
      <c r="Q7" s="538"/>
      <c r="R7" s="538"/>
      <c r="S7" s="538"/>
      <c r="T7" s="541"/>
    </row>
    <row r="8" spans="1:20">
      <c r="A8" s="129"/>
      <c r="B8" s="530"/>
      <c r="C8" s="531"/>
      <c r="D8" s="531"/>
      <c r="E8" s="531"/>
      <c r="F8" s="532"/>
      <c r="G8" s="130" t="str">
        <f>+Master!G26</f>
        <v>Ostvarenje</v>
      </c>
      <c r="H8" s="130" t="str">
        <f>+Master!G25</f>
        <v>Plan</v>
      </c>
      <c r="I8" s="526" t="str">
        <f>+Master!G261</f>
        <v>Odstupanje</v>
      </c>
      <c r="J8" s="526"/>
      <c r="K8" s="130" t="str">
        <f>+CONCATENATE(Master!G246," ",Master!B4-1)</f>
        <v>Jan - Dec 2022</v>
      </c>
      <c r="L8" s="526" t="str">
        <f>+I8</f>
        <v>Odstupanje</v>
      </c>
      <c r="M8" s="536"/>
      <c r="N8" s="131" t="str">
        <f>+G8</f>
        <v>Ostvarenje</v>
      </c>
      <c r="O8" s="130" t="str">
        <f>+H8</f>
        <v>Plan</v>
      </c>
      <c r="P8" s="526" t="str">
        <f>+I8</f>
        <v>Odstupanje</v>
      </c>
      <c r="Q8" s="526"/>
      <c r="R8" s="130" t="str">
        <f>+CONCATENATE(Master!G245," ",Master!B4-1)</f>
        <v>Decembar 2022</v>
      </c>
      <c r="S8" s="526" t="str">
        <f>+P8</f>
        <v>Odstupanje</v>
      </c>
      <c r="T8" s="527"/>
    </row>
    <row r="9" spans="1:20" ht="15.75" thickBot="1">
      <c r="A9" s="129"/>
      <c r="B9" s="533"/>
      <c r="C9" s="534"/>
      <c r="D9" s="534"/>
      <c r="E9" s="534"/>
      <c r="F9" s="535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496" t="str">
        <f>+VLOOKUP($A10,Master!$D$30:$G$226,4,FALSE)</f>
        <v>Prihodi budžeta</v>
      </c>
      <c r="C10" s="497"/>
      <c r="D10" s="497"/>
      <c r="E10" s="497"/>
      <c r="F10" s="497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498" t="str">
        <f>+VLOOKUP($A11,Master!$D$30:$G$226,4,FALSE)</f>
        <v>Porezi</v>
      </c>
      <c r="C11" s="499"/>
      <c r="D11" s="499"/>
      <c r="E11" s="499"/>
      <c r="F11" s="499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00" t="str">
        <f>+VLOOKUP($A12,Master!$D$30:$G$226,4,FALSE)</f>
        <v>Porez na dohodak fizičkih lica</v>
      </c>
      <c r="C12" s="501"/>
      <c r="D12" s="501"/>
      <c r="E12" s="501"/>
      <c r="F12" s="501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00" t="str">
        <f>+VLOOKUP($A13,Master!$D$30:$G$226,4,FALSE)</f>
        <v>Porez na dobit pravnih lica</v>
      </c>
      <c r="C13" s="501"/>
      <c r="D13" s="501"/>
      <c r="E13" s="501"/>
      <c r="F13" s="501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00" t="str">
        <f>+VLOOKUP($A14,Master!$D$30:$G$226,4,FALSE)</f>
        <v>Porez na promet nepokretnosti</v>
      </c>
      <c r="C14" s="501"/>
      <c r="D14" s="501"/>
      <c r="E14" s="501"/>
      <c r="F14" s="501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00" t="str">
        <f>+VLOOKUP($A15,Master!$D$30:$G$226,4,FALSE)</f>
        <v>Porez na dodatu vrijednost</v>
      </c>
      <c r="C15" s="501"/>
      <c r="D15" s="501"/>
      <c r="E15" s="501"/>
      <c r="F15" s="501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00" t="str">
        <f>+VLOOKUP($A16,Master!$D$30:$G$226,4,FALSE)</f>
        <v>Akcize</v>
      </c>
      <c r="C16" s="501"/>
      <c r="D16" s="501"/>
      <c r="E16" s="501"/>
      <c r="F16" s="501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00" t="str">
        <f>+VLOOKUP($A17,Master!$D$30:$G$226,4,FALSE)</f>
        <v>Porez na međunarodnu trgovinu i transakcije</v>
      </c>
      <c r="C17" s="501"/>
      <c r="D17" s="501"/>
      <c r="E17" s="501"/>
      <c r="F17" s="501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00" t="e">
        <f>+VLOOKUP($A18,Master!$D$30:$G$226,4,FALSE)</f>
        <v>#N/A</v>
      </c>
      <c r="C18" s="501"/>
      <c r="D18" s="501"/>
      <c r="E18" s="501"/>
      <c r="F18" s="501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00" t="str">
        <f>+VLOOKUP($A19,Master!$D$30:$G$226,4,FALSE)</f>
        <v>Ostali državni porezi</v>
      </c>
      <c r="C19" s="501"/>
      <c r="D19" s="501"/>
      <c r="E19" s="501"/>
      <c r="F19" s="501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04" t="str">
        <f>+VLOOKUP($A20,Master!$D$30:$G$226,4,FALSE)</f>
        <v>Doprinosi</v>
      </c>
      <c r="C20" s="505"/>
      <c r="D20" s="505"/>
      <c r="E20" s="505"/>
      <c r="F20" s="505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00" t="str">
        <f>+VLOOKUP($A21,Master!$D$30:$G$226,4,FALSE)</f>
        <v>Doprinosi za penzijsko i invalidsko osiguranje</v>
      </c>
      <c r="C21" s="501"/>
      <c r="D21" s="501"/>
      <c r="E21" s="501"/>
      <c r="F21" s="501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00" t="str">
        <f>+VLOOKUP($A22,Master!$D$30:$G$226,4,FALSE)</f>
        <v>Doprinosi za zdravstveno osiguranje</v>
      </c>
      <c r="C22" s="501"/>
      <c r="D22" s="501"/>
      <c r="E22" s="501"/>
      <c r="F22" s="501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00" t="str">
        <f>+VLOOKUP($A23,Master!$D$30:$G$226,4,FALSE)</f>
        <v>Doprinosi za osiguranje od nezaposlenosti</v>
      </c>
      <c r="C23" s="501"/>
      <c r="D23" s="501"/>
      <c r="E23" s="501"/>
      <c r="F23" s="501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00" t="str">
        <f>+VLOOKUP($A24,Master!$D$30:$G$226,4,FALSE)</f>
        <v>Ostali doprinosi</v>
      </c>
      <c r="C24" s="501"/>
      <c r="D24" s="501"/>
      <c r="E24" s="501"/>
      <c r="F24" s="501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02" t="str">
        <f>+VLOOKUP($A25,Master!$D$30:$G$226,4,FALSE)</f>
        <v>Takse</v>
      </c>
      <c r="C25" s="503"/>
      <c r="D25" s="503"/>
      <c r="E25" s="503"/>
      <c r="F25" s="503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02" t="str">
        <f>+VLOOKUP($A26,Master!$D$30:$G$226,4,FALSE)</f>
        <v>Naknade</v>
      </c>
      <c r="C26" s="503"/>
      <c r="D26" s="503"/>
      <c r="E26" s="503"/>
      <c r="F26" s="503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02" t="str">
        <f>+VLOOKUP($A27,Master!$D$30:$G$226,4,FALSE)</f>
        <v>Ostali prihodi</v>
      </c>
      <c r="C27" s="503"/>
      <c r="D27" s="503"/>
      <c r="E27" s="503"/>
      <c r="F27" s="503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02" t="str">
        <f>+VLOOKUP($A28,Master!$D$30:$G$226,4,FALSE)</f>
        <v>Primici od otplate kredita i sredstva prenesena iz prethodne godine</v>
      </c>
      <c r="C28" s="503"/>
      <c r="D28" s="503"/>
      <c r="E28" s="503"/>
      <c r="F28" s="503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06" t="str">
        <f>+VLOOKUP($A29,Master!$D$30:$G$226,4,FALSE)</f>
        <v>Donacije i transferi</v>
      </c>
      <c r="C29" s="507"/>
      <c r="D29" s="507"/>
      <c r="E29" s="507"/>
      <c r="F29" s="507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08" t="str">
        <f>+VLOOKUP($A30,Master!$D$30:$G$226,4,FALSE)</f>
        <v>Izdaci budžeta</v>
      </c>
      <c r="C30" s="509"/>
      <c r="D30" s="509"/>
      <c r="E30" s="509"/>
      <c r="F30" s="509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10" t="str">
        <f>+VLOOKUP($A31,Master!$D$30:$G$226,4,FALSE)</f>
        <v>Tekući izdaci</v>
      </c>
      <c r="C31" s="511"/>
      <c r="D31" s="511"/>
      <c r="E31" s="511"/>
      <c r="F31" s="511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12" t="str">
        <f>+VLOOKUP($A32,Master!$D$30:$G$226,4,FALSE)</f>
        <v>Tekuća budžetska potrošnja</v>
      </c>
      <c r="C32" s="513"/>
      <c r="D32" s="513"/>
      <c r="E32" s="513"/>
      <c r="F32" s="513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00" t="str">
        <f>+VLOOKUP($A33,Master!$D$30:$G$226,4,FALSE)</f>
        <v>Bruto zarade i doprinosi na teret poslodavca</v>
      </c>
      <c r="C33" s="501"/>
      <c r="D33" s="501"/>
      <c r="E33" s="501"/>
      <c r="F33" s="501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00" t="str">
        <f>+VLOOKUP($A34,Master!$D$30:$G$226,4,FALSE)</f>
        <v>Ostala lična primanja</v>
      </c>
      <c r="C34" s="501"/>
      <c r="D34" s="501"/>
      <c r="E34" s="501"/>
      <c r="F34" s="501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00" t="str">
        <f>+VLOOKUP($A35,Master!$D$30:$G$226,4,FALSE)</f>
        <v>Rashodi za materijal</v>
      </c>
      <c r="C35" s="501"/>
      <c r="D35" s="501"/>
      <c r="E35" s="501"/>
      <c r="F35" s="501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00" t="str">
        <f>+VLOOKUP($A36,Master!$D$30:$G$226,4,FALSE)</f>
        <v>Rashodi za usluge</v>
      </c>
      <c r="C36" s="501"/>
      <c r="D36" s="501"/>
      <c r="E36" s="501"/>
      <c r="F36" s="501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00" t="str">
        <f>+VLOOKUP($A37,Master!$D$30:$G$226,4,FALSE)</f>
        <v>Rashodi za tekuće održavanje</v>
      </c>
      <c r="C37" s="501"/>
      <c r="D37" s="501"/>
      <c r="E37" s="501"/>
      <c r="F37" s="501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00" t="str">
        <f>+VLOOKUP($A38,Master!$D$30:$G$226,4,FALSE)</f>
        <v>Kamate</v>
      </c>
      <c r="C38" s="501"/>
      <c r="D38" s="501"/>
      <c r="E38" s="501"/>
      <c r="F38" s="501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00" t="str">
        <f>+VLOOKUP($A39,Master!$D$30:$G$226,4,FALSE)</f>
        <v>Renta</v>
      </c>
      <c r="C39" s="501"/>
      <c r="D39" s="501"/>
      <c r="E39" s="501"/>
      <c r="F39" s="501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00" t="str">
        <f>+VLOOKUP($A40,Master!$D$30:$G$226,4,FALSE)</f>
        <v>Subvencije</v>
      </c>
      <c r="C40" s="501"/>
      <c r="D40" s="501"/>
      <c r="E40" s="501"/>
      <c r="F40" s="501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00" t="str">
        <f>+VLOOKUP($A41,Master!$D$30:$G$226,4,FALSE)</f>
        <v>Ostali izdaci</v>
      </c>
      <c r="C41" s="501"/>
      <c r="D41" s="501"/>
      <c r="E41" s="501"/>
      <c r="F41" s="501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00" t="e">
        <f>+VLOOKUP($A42,Master!$D$30:$G$226,4,FALSE)</f>
        <v>#N/A</v>
      </c>
      <c r="C42" s="501"/>
      <c r="D42" s="501"/>
      <c r="E42" s="501"/>
      <c r="F42" s="501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16" t="str">
        <f>+VLOOKUP($A43,Master!$D$30:$G$226,4,FALSE)</f>
        <v>Transferi za socijalnu zaštitu</v>
      </c>
      <c r="C43" s="517"/>
      <c r="D43" s="517"/>
      <c r="E43" s="517"/>
      <c r="F43" s="517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00" t="str">
        <f>+VLOOKUP($A44,Master!$D$30:$G$226,4,FALSE)</f>
        <v>Prava iz oblasti socijalne zaštite</v>
      </c>
      <c r="C44" s="501"/>
      <c r="D44" s="501"/>
      <c r="E44" s="501"/>
      <c r="F44" s="501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00" t="str">
        <f>+VLOOKUP($A45,Master!$D$30:$G$226,4,FALSE)</f>
        <v>Sredstva za tehnološke viškove</v>
      </c>
      <c r="C45" s="501"/>
      <c r="D45" s="501"/>
      <c r="E45" s="501"/>
      <c r="F45" s="501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00" t="str">
        <f>+VLOOKUP($A46,Master!$D$30:$G$226,4,FALSE)</f>
        <v>Prava iz oblasti penzijskog i invalidskog osiguranja</v>
      </c>
      <c r="C46" s="501"/>
      <c r="D46" s="501"/>
      <c r="E46" s="501"/>
      <c r="F46" s="501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00" t="str">
        <f>+VLOOKUP($A47,Master!$D$30:$G$226,4,FALSE)</f>
        <v>Ostala prava iz oblasti zdravstvene zaštite</v>
      </c>
      <c r="C47" s="501"/>
      <c r="D47" s="501"/>
      <c r="E47" s="501"/>
      <c r="F47" s="501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00" t="str">
        <f>+VLOOKUP($A48,Master!$D$30:$G$226,4,FALSE)</f>
        <v>Ostala prava iz zdravstvenog osiguranja</v>
      </c>
      <c r="C48" s="501"/>
      <c r="D48" s="501"/>
      <c r="E48" s="501"/>
      <c r="F48" s="501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14" t="str">
        <f>+VLOOKUP($A49,Master!$D$30:$G$226,4,FALSE)</f>
        <v xml:space="preserve">Transferi institucijama, pojedincima, nevladinom i javnom sektoru </v>
      </c>
      <c r="C49" s="515"/>
      <c r="D49" s="515"/>
      <c r="E49" s="515"/>
      <c r="F49" s="515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14" t="str">
        <f>+VLOOKUP($A50,Master!$D$30:$G$226,4,FALSE)</f>
        <v>Kapitalni izdaci</v>
      </c>
      <c r="C50" s="515"/>
      <c r="D50" s="515"/>
      <c r="E50" s="515"/>
      <c r="F50" s="515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518" t="str">
        <f>+VLOOKUP($A51,Master!$D$30:$G$226,4,FALSE)</f>
        <v>Pozajmice i krediti</v>
      </c>
      <c r="C51" s="519"/>
      <c r="D51" s="519"/>
      <c r="E51" s="519"/>
      <c r="F51" s="519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518" t="str">
        <f>+VLOOKUP($A52,Master!$D$30:$G$226,4,FALSE)</f>
        <v>Rezerve</v>
      </c>
      <c r="C52" s="519"/>
      <c r="D52" s="519"/>
      <c r="E52" s="519"/>
      <c r="F52" s="519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20" t="str">
        <f>+VLOOKUP($A53,Master!$D$30:$G$226,4,FALSE)</f>
        <v>Otplata garancija</v>
      </c>
      <c r="C53" s="521"/>
      <c r="D53" s="521"/>
      <c r="E53" s="521"/>
      <c r="F53" s="521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20" t="str">
        <f>+VLOOKUP($A54,Master!$D$30:$G$226,4,FALSE)</f>
        <v>Otplata obaveza iz prethodnog perioda</v>
      </c>
      <c r="C54" s="521"/>
      <c r="D54" s="521"/>
      <c r="E54" s="521"/>
      <c r="F54" s="521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20" t="str">
        <f>+VLOOKUP($A55,Master!$D$30:$G$228,4,FALSE)</f>
        <v>Neto povećanje obaveza</v>
      </c>
      <c r="C55" s="521"/>
      <c r="D55" s="521"/>
      <c r="E55" s="521"/>
      <c r="F55" s="521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22" t="str">
        <f>+VLOOKUP($A56,Master!$D$30:$G$226,4,FALSE)</f>
        <v>Suficit / deficit</v>
      </c>
      <c r="C56" s="523"/>
      <c r="D56" s="523"/>
      <c r="E56" s="523"/>
      <c r="F56" s="523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24" t="str">
        <f>+VLOOKUP($A57,Master!$D$30:$G$226,4,FALSE)</f>
        <v>Primarni suficit/deficit</v>
      </c>
      <c r="C57" s="525"/>
      <c r="D57" s="525"/>
      <c r="E57" s="525"/>
      <c r="F57" s="525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16" t="str">
        <f>+VLOOKUP($A58,Master!$D$30:$G$226,4,FALSE)</f>
        <v>Otplata dugova</v>
      </c>
      <c r="C58" s="517"/>
      <c r="D58" s="517"/>
      <c r="E58" s="517"/>
      <c r="F58" s="517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542" t="str">
        <f>+VLOOKUP($A59,Master!$D$30:$G$226,4,FALSE)</f>
        <v>Otplata hartija od vrijednosti i kredita rezidentima</v>
      </c>
      <c r="C59" s="543"/>
      <c r="D59" s="543"/>
      <c r="E59" s="543"/>
      <c r="F59" s="543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518" t="str">
        <f>+VLOOKUP($A60,Master!$D$30:$G$226,4,FALSE)</f>
        <v>Otplata hartija od vrijednosti i kredita nerezidentima</v>
      </c>
      <c r="C60" s="519"/>
      <c r="D60" s="519"/>
      <c r="E60" s="519"/>
      <c r="F60" s="519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544" t="str">
        <f>+VLOOKUP($A62,Master!$D$30:$G$226,4,FALSE)</f>
        <v>Nedostajuća sredstva</v>
      </c>
      <c r="C62" s="545"/>
      <c r="D62" s="545"/>
      <c r="E62" s="545"/>
      <c r="F62" s="545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08" t="str">
        <f>+VLOOKUP($A63,Master!$D$30:$G$226,4,FALSE)</f>
        <v>Finansiranje</v>
      </c>
      <c r="C63" s="509"/>
      <c r="D63" s="509"/>
      <c r="E63" s="509"/>
      <c r="F63" s="509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542" t="str">
        <f>+VLOOKUP($A64,Master!$D$30:$G$226,4,FALSE)</f>
        <v>Pozajmice i krediti od domaćih izvora</v>
      </c>
      <c r="C64" s="543"/>
      <c r="D64" s="543"/>
      <c r="E64" s="543"/>
      <c r="F64" s="543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518" t="str">
        <f>+VLOOKUP($A65,Master!$D$30:$G$226,4,FALSE)</f>
        <v>Pozajmice i krediti od inostranih izvora</v>
      </c>
      <c r="C65" s="519"/>
      <c r="D65" s="519"/>
      <c r="E65" s="519"/>
      <c r="F65" s="519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518" t="str">
        <f>+VLOOKUP($A66,Master!$D$30:$G$226,4,FALSE)</f>
        <v>Primici od prodaje imovine</v>
      </c>
      <c r="C66" s="519"/>
      <c r="D66" s="519"/>
      <c r="E66" s="519"/>
      <c r="F66" s="519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zoomScaleNormal="100" workbookViewId="0">
      <pane xSplit="5" ySplit="7" topLeftCell="FR134" activePane="bottomRight" state="frozen"/>
      <selection pane="topRight" activeCell="F1" sqref="F1"/>
      <selection pane="bottomLeft" activeCell="A8" sqref="A8"/>
      <selection pane="bottomRight" activeCell="E167" sqref="E167"/>
    </sheetView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14" t="s">
        <v>554</v>
      </c>
      <c r="F6" s="612">
        <v>2006</v>
      </c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3"/>
      <c r="R6" s="612">
        <v>2007</v>
      </c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3"/>
      <c r="AD6" s="612">
        <v>2008</v>
      </c>
      <c r="AE6" s="611"/>
      <c r="AF6" s="611"/>
      <c r="AG6" s="611"/>
      <c r="AH6" s="611"/>
      <c r="AI6" s="611"/>
      <c r="AJ6" s="611"/>
      <c r="AK6" s="611"/>
      <c r="AL6" s="611"/>
      <c r="AM6" s="611"/>
      <c r="AN6" s="611"/>
      <c r="AO6" s="613"/>
      <c r="AP6" s="612">
        <v>2009</v>
      </c>
      <c r="AQ6" s="611"/>
      <c r="AR6" s="611"/>
      <c r="AS6" s="611"/>
      <c r="AT6" s="611"/>
      <c r="AU6" s="611"/>
      <c r="AV6" s="611"/>
      <c r="AW6" s="611"/>
      <c r="AX6" s="611"/>
      <c r="AY6" s="611"/>
      <c r="AZ6" s="611"/>
      <c r="BA6" s="613"/>
      <c r="BB6" s="612">
        <v>2010</v>
      </c>
      <c r="BC6" s="611"/>
      <c r="BD6" s="611"/>
      <c r="BE6" s="611"/>
      <c r="BF6" s="611"/>
      <c r="BG6" s="611"/>
      <c r="BH6" s="611"/>
      <c r="BI6" s="611"/>
      <c r="BJ6" s="611"/>
      <c r="BK6" s="611"/>
      <c r="BL6" s="611"/>
      <c r="BM6" s="613"/>
      <c r="BN6" s="612">
        <v>2011</v>
      </c>
      <c r="BO6" s="611"/>
      <c r="BP6" s="611"/>
      <c r="BQ6" s="611"/>
      <c r="BR6" s="611"/>
      <c r="BS6" s="611"/>
      <c r="BT6" s="611"/>
      <c r="BU6" s="611"/>
      <c r="BV6" s="611"/>
      <c r="BW6" s="611"/>
      <c r="BX6" s="611"/>
      <c r="BY6" s="613"/>
      <c r="BZ6" s="611">
        <v>2012</v>
      </c>
      <c r="CA6" s="611"/>
      <c r="CB6" s="611"/>
      <c r="CC6" s="611"/>
      <c r="CD6" s="611"/>
      <c r="CE6" s="611"/>
      <c r="CF6" s="611"/>
      <c r="CG6" s="611"/>
      <c r="CH6" s="611"/>
      <c r="CI6" s="611"/>
      <c r="CJ6" s="611"/>
      <c r="CK6" s="611"/>
      <c r="CL6" s="612">
        <v>2013</v>
      </c>
      <c r="CM6" s="611"/>
      <c r="CN6" s="611"/>
      <c r="CO6" s="611"/>
      <c r="CP6" s="611"/>
      <c r="CQ6" s="611"/>
      <c r="CR6" s="611"/>
      <c r="CS6" s="611"/>
      <c r="CT6" s="611"/>
      <c r="CU6" s="611"/>
      <c r="CV6" s="611"/>
      <c r="CW6" s="613"/>
      <c r="CX6" s="612">
        <v>2014</v>
      </c>
      <c r="CY6" s="611"/>
      <c r="CZ6" s="611"/>
      <c r="DA6" s="611"/>
      <c r="DB6" s="611"/>
      <c r="DC6" s="611"/>
      <c r="DD6" s="611"/>
      <c r="DE6" s="611"/>
      <c r="DF6" s="611"/>
      <c r="DG6" s="611"/>
      <c r="DH6" s="611"/>
      <c r="DI6" s="613"/>
      <c r="DJ6" s="612">
        <v>2015</v>
      </c>
      <c r="DK6" s="611"/>
      <c r="DL6" s="611"/>
      <c r="DM6" s="611"/>
      <c r="DN6" s="611"/>
      <c r="DO6" s="611"/>
      <c r="DP6" s="611"/>
      <c r="DQ6" s="611"/>
      <c r="DR6" s="611"/>
      <c r="DS6" s="611"/>
      <c r="DT6" s="611"/>
      <c r="DU6" s="613"/>
    </row>
    <row r="7" spans="1:321">
      <c r="E7" s="614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14" t="s">
        <v>675</v>
      </c>
      <c r="F214" s="612">
        <v>2006</v>
      </c>
      <c r="G214" s="611"/>
      <c r="H214" s="611"/>
      <c r="I214" s="611"/>
      <c r="J214" s="611"/>
      <c r="K214" s="611"/>
      <c r="L214" s="611"/>
      <c r="M214" s="611"/>
      <c r="N214" s="611"/>
      <c r="O214" s="611"/>
      <c r="P214" s="611"/>
      <c r="Q214" s="613"/>
      <c r="R214" s="612">
        <v>2007</v>
      </c>
      <c r="S214" s="611"/>
      <c r="T214" s="611"/>
      <c r="U214" s="611"/>
      <c r="V214" s="611"/>
      <c r="W214" s="611"/>
      <c r="X214" s="611"/>
      <c r="Y214" s="611"/>
      <c r="Z214" s="611"/>
      <c r="AA214" s="611"/>
      <c r="AB214" s="611"/>
      <c r="AC214" s="613"/>
      <c r="AD214" s="612">
        <v>2008</v>
      </c>
      <c r="AE214" s="611"/>
      <c r="AF214" s="611"/>
      <c r="AG214" s="611"/>
      <c r="AH214" s="611"/>
      <c r="AI214" s="611"/>
      <c r="AJ214" s="611"/>
      <c r="AK214" s="611"/>
      <c r="AL214" s="611"/>
      <c r="AM214" s="611"/>
      <c r="AN214" s="611"/>
      <c r="AO214" s="613"/>
      <c r="AP214" s="612">
        <v>2009</v>
      </c>
      <c r="AQ214" s="611"/>
      <c r="AR214" s="611"/>
      <c r="AS214" s="611"/>
      <c r="AT214" s="611"/>
      <c r="AU214" s="611"/>
      <c r="AV214" s="611"/>
      <c r="AW214" s="611"/>
      <c r="AX214" s="611"/>
      <c r="AY214" s="611"/>
      <c r="AZ214" s="611"/>
      <c r="BA214" s="613"/>
      <c r="BB214" s="612">
        <v>2010</v>
      </c>
      <c r="BC214" s="611"/>
      <c r="BD214" s="611"/>
      <c r="BE214" s="611"/>
      <c r="BF214" s="611"/>
      <c r="BG214" s="611"/>
      <c r="BH214" s="611"/>
      <c r="BI214" s="611"/>
      <c r="BJ214" s="611"/>
      <c r="BK214" s="611"/>
      <c r="BL214" s="611"/>
      <c r="BM214" s="613"/>
      <c r="BN214" s="612">
        <v>2011</v>
      </c>
      <c r="BO214" s="611"/>
      <c r="BP214" s="611"/>
      <c r="BQ214" s="611"/>
      <c r="BR214" s="611"/>
      <c r="BS214" s="611"/>
      <c r="BT214" s="611"/>
      <c r="BU214" s="611"/>
      <c r="BV214" s="611"/>
      <c r="BW214" s="611"/>
      <c r="BX214" s="611"/>
      <c r="BY214" s="613"/>
      <c r="BZ214" s="611">
        <v>2012</v>
      </c>
      <c r="CA214" s="611"/>
      <c r="CB214" s="611"/>
      <c r="CC214" s="611"/>
      <c r="CD214" s="611"/>
      <c r="CE214" s="611"/>
      <c r="CF214" s="611"/>
      <c r="CG214" s="611"/>
      <c r="CH214" s="611"/>
      <c r="CI214" s="611"/>
      <c r="CJ214" s="611"/>
      <c r="CK214" s="611"/>
      <c r="CL214" s="612">
        <v>2013</v>
      </c>
      <c r="CM214" s="611"/>
      <c r="CN214" s="611"/>
      <c r="CO214" s="611"/>
      <c r="CP214" s="611"/>
      <c r="CQ214" s="611"/>
      <c r="CR214" s="611"/>
      <c r="CS214" s="611"/>
      <c r="CT214" s="611"/>
      <c r="CU214" s="611"/>
      <c r="CV214" s="611"/>
      <c r="CW214" s="613"/>
      <c r="CX214" s="612">
        <v>2014</v>
      </c>
      <c r="CY214" s="611"/>
      <c r="CZ214" s="611"/>
      <c r="DA214" s="611"/>
      <c r="DB214" s="611"/>
      <c r="DC214" s="611"/>
      <c r="DD214" s="611"/>
      <c r="DE214" s="611"/>
      <c r="DF214" s="611"/>
      <c r="DG214" s="611"/>
      <c r="DH214" s="611"/>
      <c r="DI214" s="613"/>
      <c r="DJ214" s="612">
        <v>2015</v>
      </c>
      <c r="DK214" s="611"/>
      <c r="DL214" s="611"/>
      <c r="DM214" s="611"/>
      <c r="DN214" s="611"/>
      <c r="DO214" s="611"/>
      <c r="DP214" s="611"/>
      <c r="DQ214" s="611"/>
      <c r="DR214" s="611"/>
      <c r="DS214" s="611"/>
      <c r="DT214" s="611"/>
      <c r="DU214" s="613"/>
    </row>
    <row r="215" spans="1:187">
      <c r="E215" s="614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12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2023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Decembar</v>
      </c>
    </row>
    <row r="246" spans="4:7">
      <c r="D246" s="41"/>
      <c r="G246" s="44" t="str">
        <f>+CONCATENATE("Jan - ",LEFT(G245,3))</f>
        <v>Jan - Dec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Dec</v>
      </c>
      <c r="F254" s="6" t="str">
        <f>+CONCATENATE("Analytics for period ",G246)</f>
        <v>Analytics for period Jan - Dec</v>
      </c>
      <c r="G254" s="44" t="str">
        <f>+IF(ISBLANK(IF($B$2=1,E254,F254)),"",IF($B$2=1,E254,F254))</f>
        <v>Analitika za period Jan - Dec</v>
      </c>
    </row>
    <row r="255" spans="4:7">
      <c r="E255" s="5" t="str">
        <f>+CONCATENATE("Analitika za period ",G245)</f>
        <v>Analitika za period Decembar</v>
      </c>
      <c r="F255" s="6" t="str">
        <f>+CONCATENATE("Analytics for period ",G245)</f>
        <v>Analytics for period Decembar</v>
      </c>
      <c r="G255" s="44" t="str">
        <f>+IF(ISBLANK(IF($B$2=1,E255,F255)),"",IF($B$2=1,E255,F255))</f>
        <v>Analitika za period Decembar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Decembar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Decembar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Decembar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Decembar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Decembar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Decembar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L32"/>
  <sheetViews>
    <sheetView showRowColHeaders="0" tabSelected="1" zoomScale="90" zoomScaleNormal="90" workbookViewId="0">
      <pane ySplit="5" topLeftCell="A6" activePane="bottomLeft" state="frozen"/>
      <selection activeCell="DK219" sqref="DK219"/>
      <selection pane="bottomLeft" activeCell="G28" sqref="G27:G28"/>
    </sheetView>
  </sheetViews>
  <sheetFormatPr defaultColWidth="9.140625" defaultRowHeight="15"/>
  <cols>
    <col min="1" max="3" width="9.140625" style="116"/>
    <col min="4" max="4" width="10" style="116" bestFit="1" customWidth="1"/>
    <col min="5" max="7" width="9.140625" style="116"/>
    <col min="8" max="8" width="11" style="116" bestFit="1" customWidth="1"/>
    <col min="9" max="16384" width="9.140625" style="116"/>
  </cols>
  <sheetData>
    <row r="1" spans="3:11" s="113" customFormat="1"/>
    <row r="2" spans="3:11" s="113" customFormat="1">
      <c r="C2" s="114"/>
      <c r="E2" s="484" t="str">
        <f>+Master!G6</f>
        <v>Crna Gora</v>
      </c>
      <c r="F2" s="484"/>
      <c r="G2" s="484"/>
      <c r="I2" s="115"/>
    </row>
    <row r="3" spans="3:11" s="113" customFormat="1">
      <c r="E3" s="485" t="str">
        <f>+Master!G7</f>
        <v>Ministarstvo finansija</v>
      </c>
      <c r="F3" s="484"/>
      <c r="G3" s="484"/>
    </row>
    <row r="4" spans="3:11" s="113" customFormat="1">
      <c r="E4" s="485" t="str">
        <f>+Master!G8</f>
        <v>Direktorat za državni budžet</v>
      </c>
      <c r="F4" s="484"/>
      <c r="G4" s="484"/>
    </row>
    <row r="5" spans="3:11" s="113" customFormat="1"/>
    <row r="7" spans="3:11" ht="15.75" thickBot="1"/>
    <row r="8" spans="3:11">
      <c r="C8" s="117"/>
      <c r="D8" s="118"/>
      <c r="E8" s="118"/>
      <c r="F8" s="118"/>
      <c r="G8" s="118"/>
      <c r="H8" s="118"/>
      <c r="I8" s="118"/>
      <c r="J8" s="118"/>
      <c r="K8" s="119"/>
    </row>
    <row r="9" spans="3:11">
      <c r="C9" s="120"/>
      <c r="K9" s="121"/>
    </row>
    <row r="10" spans="3:11">
      <c r="C10" s="120"/>
      <c r="K10" s="121"/>
    </row>
    <row r="11" spans="3:11">
      <c r="C11" s="120"/>
      <c r="D11" s="122" t="str">
        <f>+Master!G270</f>
        <v>Prihodi za mjesec Decembar</v>
      </c>
      <c r="G11" s="122" t="str">
        <f>+Master!G274</f>
        <v>Prihodi za period Januar - Decembar</v>
      </c>
      <c r="K11" s="121"/>
    </row>
    <row r="12" spans="3:11">
      <c r="C12" s="120"/>
      <c r="D12" s="123">
        <f>+'Analitika 2023'!N10</f>
        <v>253770824.62000003</v>
      </c>
      <c r="E12" s="427">
        <f>+D12/'2023'!T7</f>
        <v>4.1099152110258157E-2</v>
      </c>
      <c r="G12" s="123">
        <f>+'Analitika 2023'!G10</f>
        <v>2565337598.8699994</v>
      </c>
      <c r="H12" s="427">
        <f>+G12/'2023'!T7</f>
        <v>0.41546620005668372</v>
      </c>
      <c r="K12" s="121"/>
    </row>
    <row r="13" spans="3:11">
      <c r="C13" s="120"/>
      <c r="D13" s="124" t="s">
        <v>417</v>
      </c>
      <c r="E13" s="124" t="str">
        <f>+Master!G250</f>
        <v>% BDP</v>
      </c>
      <c r="G13" s="124" t="s">
        <v>417</v>
      </c>
      <c r="H13" s="124" t="s">
        <v>807</v>
      </c>
      <c r="K13" s="121"/>
    </row>
    <row r="14" spans="3:11">
      <c r="C14" s="120"/>
      <c r="K14" s="121"/>
    </row>
    <row r="15" spans="3:11">
      <c r="C15" s="120"/>
      <c r="D15" s="122" t="str">
        <f>+Master!G271</f>
        <v>Rashodi za mjesec Decembar</v>
      </c>
      <c r="G15" s="122" t="str">
        <f>+Master!G275</f>
        <v>Rashodi za period Januar - Decembar</v>
      </c>
      <c r="K15" s="121"/>
    </row>
    <row r="16" spans="3:11">
      <c r="C16" s="120"/>
      <c r="D16" s="123">
        <f>+'Analitika 2023'!N29</f>
        <v>400126545.28999996</v>
      </c>
      <c r="E16" s="427">
        <f>+D16/'2023'!T7</f>
        <v>6.4802018801217887E-2</v>
      </c>
      <c r="G16" s="123">
        <f>+'Analitika 2023'!G29</f>
        <v>2555378831.9999995</v>
      </c>
      <c r="H16" s="427">
        <f>+G16/'2023'!T7</f>
        <v>0.4138533398114857</v>
      </c>
      <c r="K16" s="121"/>
    </row>
    <row r="17" spans="3:12">
      <c r="C17" s="120"/>
      <c r="D17" s="124" t="str">
        <f>+D13</f>
        <v>mil. €</v>
      </c>
      <c r="E17" s="124" t="str">
        <f>+E13</f>
        <v>% BDP</v>
      </c>
      <c r="G17" s="124" t="s">
        <v>417</v>
      </c>
      <c r="H17" s="124" t="s">
        <v>807</v>
      </c>
      <c r="K17" s="121"/>
    </row>
    <row r="18" spans="3:12">
      <c r="C18" s="120"/>
      <c r="K18" s="121"/>
    </row>
    <row r="19" spans="3:12">
      <c r="C19" s="120"/>
      <c r="D19" s="122" t="str">
        <f>+Master!G272</f>
        <v>Suficit/Deficit za mjesec Decembar</v>
      </c>
      <c r="G19" s="122" t="str">
        <f>+Master!G276</f>
        <v>Suficit/Deficit za period Januar - Decembar</v>
      </c>
      <c r="K19" s="121"/>
    </row>
    <row r="20" spans="3:12">
      <c r="C20" s="120"/>
      <c r="D20" s="123">
        <f>+'Analitika 2023'!N53</f>
        <v>-146355720.66999993</v>
      </c>
      <c r="E20" s="427">
        <f>+D20/'2023'!T7</f>
        <v>-2.3702866690959726E-2</v>
      </c>
      <c r="G20" s="123">
        <f>+'Analitika 2023'!G53</f>
        <v>9958766.870000273</v>
      </c>
      <c r="H20" s="427">
        <f>+G20/'2023'!T7</f>
        <v>1.6128602451981138E-3</v>
      </c>
      <c r="K20" s="121"/>
    </row>
    <row r="21" spans="3:12">
      <c r="C21" s="120"/>
      <c r="D21" s="124" t="str">
        <f>+D17</f>
        <v>mil. €</v>
      </c>
      <c r="E21" s="124" t="str">
        <f>+E17</f>
        <v>% BDP</v>
      </c>
      <c r="G21" s="124" t="s">
        <v>417</v>
      </c>
      <c r="H21" s="124" t="s">
        <v>807</v>
      </c>
      <c r="K21" s="121"/>
    </row>
    <row r="22" spans="3:12" ht="15.75" thickBot="1">
      <c r="C22" s="125"/>
      <c r="D22" s="126"/>
      <c r="E22" s="126"/>
      <c r="F22" s="126"/>
      <c r="G22" s="126"/>
      <c r="H22" s="126"/>
      <c r="I22" s="126"/>
      <c r="J22" s="126"/>
      <c r="K22" s="127"/>
    </row>
    <row r="25" spans="3:12">
      <c r="H25" s="218"/>
    </row>
    <row r="32" spans="3:12">
      <c r="L32" s="428"/>
    </row>
  </sheetData>
  <sheetProtection algorithmName="SHA-512" hashValue="Rd8G0Jts15Ub1vIbraqDRIX1PiXOoyCBtYE8EWLlQ1haT/W8R6QSg+J5mzGOM7nc8wTM67Uds0Hq33/xnRN0XQ==" saltValue="s93ZjFXPIbEjHMT5PZT+o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zoomScale="90" zoomScaleNormal="90" workbookViewId="0">
      <pane ySplit="5" topLeftCell="A6" activePane="bottomLeft" state="frozen"/>
      <selection activeCell="DK219" sqref="DK219"/>
      <selection pane="bottomLeft" activeCell="G8" sqref="G8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2" customWidth="1"/>
    <col min="8" max="8" width="12.42578125" style="4" customWidth="1"/>
    <col min="9" max="9" width="12.5703125" style="4" customWidth="1"/>
    <col min="10" max="10" width="12.7109375" style="4" customWidth="1"/>
    <col min="11" max="13" width="12.42578125" style="4" customWidth="1"/>
    <col min="14" max="14" width="12.7109375" style="4" customWidth="1"/>
    <col min="15" max="15" width="11.42578125" style="4" customWidth="1"/>
    <col min="16" max="17" width="12.140625" style="4" customWidth="1"/>
    <col min="18" max="18" width="13.42578125" style="4" customWidth="1"/>
    <col min="19" max="19" width="9.140625" style="4" customWidth="1"/>
    <col min="20" max="20" width="9.85546875" style="4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2023-12</v>
      </c>
      <c r="O6" s="128" t="str">
        <f>+CONCATENATE(N6,"p")</f>
        <v>2023-12p</v>
      </c>
      <c r="P6" s="116"/>
      <c r="Q6" s="116"/>
      <c r="R6" s="128" t="str">
        <f>+IF(Master!B3-10&gt;=0,CONCATENATE(Master!B4-1,"-",Master!B3),CONCATENATE(Master!B4-1,"-0",Master!B3))</f>
        <v>2022-12</v>
      </c>
      <c r="S6" s="116"/>
      <c r="T6" s="116"/>
    </row>
    <row r="7" spans="1:25" ht="14.25" customHeight="1">
      <c r="A7" s="129"/>
      <c r="B7" s="528" t="str">
        <f>+Master!G254</f>
        <v>Analitika za period Jan - Dec</v>
      </c>
      <c r="C7" s="529"/>
      <c r="D7" s="529"/>
      <c r="E7" s="529"/>
      <c r="F7" s="529"/>
      <c r="G7" s="537" t="str">
        <f>+Master!G246</f>
        <v>Jan - Dec</v>
      </c>
      <c r="H7" s="538"/>
      <c r="I7" s="538"/>
      <c r="J7" s="538"/>
      <c r="K7" s="538"/>
      <c r="L7" s="538"/>
      <c r="M7" s="541"/>
      <c r="N7" s="538" t="str">
        <f>+Master!G245</f>
        <v>Decembar</v>
      </c>
      <c r="O7" s="538"/>
      <c r="P7" s="538"/>
      <c r="Q7" s="538"/>
      <c r="R7" s="538"/>
      <c r="S7" s="538"/>
      <c r="T7" s="541"/>
    </row>
    <row r="8" spans="1:25" ht="29.25" customHeight="1">
      <c r="A8" s="129"/>
      <c r="B8" s="530"/>
      <c r="C8" s="531"/>
      <c r="D8" s="531"/>
      <c r="E8" s="531"/>
      <c r="F8" s="532"/>
      <c r="G8" s="487" t="str">
        <f>+Master!G26</f>
        <v>Ostvarenje</v>
      </c>
      <c r="H8" s="330" t="str">
        <f>+Master!G25</f>
        <v>Plan</v>
      </c>
      <c r="I8" s="526" t="str">
        <f>+Master!G261</f>
        <v>Odstupanje</v>
      </c>
      <c r="J8" s="526"/>
      <c r="K8" s="130" t="str">
        <f>+CONCATENATE(Master!G246," ",Master!B4-1)</f>
        <v>Jan - Dec 2022</v>
      </c>
      <c r="L8" s="526" t="str">
        <f>+I8</f>
        <v>Odstupanje</v>
      </c>
      <c r="M8" s="527"/>
      <c r="N8" s="487" t="str">
        <f>+G8</f>
        <v>Ostvarenje</v>
      </c>
      <c r="O8" s="130" t="str">
        <f>+H8</f>
        <v>Plan</v>
      </c>
      <c r="P8" s="526" t="str">
        <f>+I8</f>
        <v>Odstupanje</v>
      </c>
      <c r="Q8" s="526"/>
      <c r="R8" s="130" t="str">
        <f>+CONCATENATE(Master!G245," ",Master!B4-1)</f>
        <v>Decembar 2022</v>
      </c>
      <c r="S8" s="526" t="str">
        <f>+P8</f>
        <v>Odstupanje</v>
      </c>
      <c r="T8" s="527"/>
    </row>
    <row r="9" spans="1:25" ht="15.75" thickBot="1">
      <c r="A9" s="129"/>
      <c r="B9" s="533"/>
      <c r="C9" s="534"/>
      <c r="D9" s="534"/>
      <c r="E9" s="534"/>
      <c r="F9" s="535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08" t="str">
        <f>+VLOOKUP($A10,Master!$D$30:$G$226,4,FALSE)</f>
        <v>Prihodi budžeta</v>
      </c>
      <c r="C10" s="509"/>
      <c r="D10" s="509"/>
      <c r="E10" s="509"/>
      <c r="F10" s="509"/>
      <c r="G10" s="136">
        <f>'2023'!S10</f>
        <v>2565337598.8699994</v>
      </c>
      <c r="H10" s="136">
        <f>SUM('2023'!G86:R86)</f>
        <v>2147466214.5738959</v>
      </c>
      <c r="I10" s="137">
        <f>+G10-H10</f>
        <v>417871384.29610348</v>
      </c>
      <c r="J10" s="139">
        <f>IF(+IF(ISERROR(G10/H10),"…",G10/H10-1)&gt;200%,"...",IF(ISERROR(G10/H10),"…",G10/H10-1))</f>
        <v>0.19458810642057922</v>
      </c>
      <c r="K10" s="136">
        <f>SUM('2022'!G10:R10)</f>
        <v>1995407538.2499998</v>
      </c>
      <c r="L10" s="137">
        <f>+G10-K10</f>
        <v>569930060.61999965</v>
      </c>
      <c r="M10" s="141">
        <f>IF(+IF(ISERROR(G10/K10),"…",G10/K10-1)&gt;200%,"...",IF(ISERROR(G10/K10),"…",G10/K10-1))</f>
        <v>0.28562088179732759</v>
      </c>
      <c r="N10" s="136">
        <f>'2023'!R10</f>
        <v>253770824.62000003</v>
      </c>
      <c r="O10" s="136">
        <f>'2023'!R86</f>
        <v>226593742.01140162</v>
      </c>
      <c r="P10" s="137">
        <f>+N10-O10</f>
        <v>27177082.608598411</v>
      </c>
      <c r="Q10" s="139">
        <f>IF(+IF(ISERROR(N10/O10),"…",N10/O10-1)&gt;200%,"...",IF(ISERROR(N10/O10),"…",N10/O10-1))</f>
        <v>0.1199374809178575</v>
      </c>
      <c r="R10" s="136">
        <f>'2022'!R10</f>
        <v>218371031.25000003</v>
      </c>
      <c r="S10" s="137">
        <f>+N10-R10</f>
        <v>35399793.370000005</v>
      </c>
      <c r="T10" s="141">
        <f>IF(+IF(ISERROR(N10/R10),"…",N10/R10-1)&gt;200%,"...",IF(ISERROR(N10/R10),"…",N10/R10-1))</f>
        <v>0.16210846817622482</v>
      </c>
      <c r="W10" s="470"/>
      <c r="Y10" s="470"/>
    </row>
    <row r="11" spans="1:25">
      <c r="A11" s="135">
        <v>711</v>
      </c>
      <c r="B11" s="498" t="str">
        <f>+VLOOKUP($A11,Master!$D$30:$G$226,4,FALSE)</f>
        <v>Porezi</v>
      </c>
      <c r="C11" s="499"/>
      <c r="D11" s="499"/>
      <c r="E11" s="499"/>
      <c r="F11" s="499"/>
      <c r="G11" s="262">
        <f>'2023'!S11</f>
        <v>1664875352.5099998</v>
      </c>
      <c r="H11" s="262">
        <f>SUM('2023'!G87:R87)</f>
        <v>1465464013.5544562</v>
      </c>
      <c r="I11" s="143">
        <f t="shared" ref="I11:I57" si="0">+G11-H11</f>
        <v>199411338.95554352</v>
      </c>
      <c r="J11" s="145">
        <f t="shared" ref="J11:J66" si="1">IF(+IF(ISERROR(G11/H11-1),"…",G11/H11-1)&gt;200%,"...",IF(ISERROR(G11/H11-1),"…",G11/H11-1))</f>
        <v>0.13607385586485665</v>
      </c>
      <c r="K11" s="262">
        <f>SUM('2022'!G11:R11)</f>
        <v>1381133155.4100001</v>
      </c>
      <c r="L11" s="143">
        <f>+G11-K11</f>
        <v>283742197.09999967</v>
      </c>
      <c r="M11" s="147">
        <f t="shared" ref="M11:M66" si="2">IF(+IF(ISERROR(G11/K11),"…",G11/K11-1)&gt;200%,"...",IF(ISERROR(G11/K11),"…",G11/K11-1))</f>
        <v>0.20544159409146068</v>
      </c>
      <c r="N11" s="262">
        <f>'2023'!R11</f>
        <v>137012115.60000002</v>
      </c>
      <c r="O11" s="262">
        <f>'2023'!R87</f>
        <v>130556572.94447696</v>
      </c>
      <c r="P11" s="143">
        <f>+N11-O11</f>
        <v>6455542.6555230618</v>
      </c>
      <c r="Q11" s="145">
        <f t="shared" ref="Q11:Q66" si="3">IF(+IF(ISERROR(N11/O11),"…",N11/O11-1)&gt;200%,"...",IF(ISERROR(N11/O11),"…",N11/O11-1))</f>
        <v>4.9446324378233042E-2</v>
      </c>
      <c r="R11" s="262">
        <f>'2022'!R11</f>
        <v>119096364.02</v>
      </c>
      <c r="S11" s="143">
        <f t="shared" ref="S11:S57" si="4">+N11-R11</f>
        <v>17915751.580000028</v>
      </c>
      <c r="T11" s="147">
        <f t="shared" ref="T11:T66" si="5">IF(+IF(ISERROR(N11/R11),"…",N11/R11-1)&gt;200%,"...",IF(ISERROR(N11/R11),"…",N11/R11-1))</f>
        <v>0.15043071824586862</v>
      </c>
      <c r="W11" s="470"/>
      <c r="Y11" s="470"/>
    </row>
    <row r="12" spans="1:25">
      <c r="A12" s="135">
        <v>7111</v>
      </c>
      <c r="B12" s="500" t="str">
        <f>+VLOOKUP($A12,Master!$D$30:$G$226,4,FALSE)</f>
        <v>Porez na dohodak fizičkih lica</v>
      </c>
      <c r="C12" s="501"/>
      <c r="D12" s="501"/>
      <c r="E12" s="501"/>
      <c r="F12" s="501"/>
      <c r="G12" s="148">
        <f>'2023'!S12</f>
        <v>66411591</v>
      </c>
      <c r="H12" s="148">
        <f>SUM('2023'!G88:R88)</f>
        <v>61039853.663200006</v>
      </c>
      <c r="I12" s="149">
        <f t="shared" si="0"/>
        <v>5371737.3367999941</v>
      </c>
      <c r="J12" s="151">
        <f t="shared" si="1"/>
        <v>8.8003771543091469E-2</v>
      </c>
      <c r="K12" s="148">
        <f>SUM('2022'!G12:R12)</f>
        <v>83041010.100000009</v>
      </c>
      <c r="L12" s="149">
        <f>+G12-K12</f>
        <v>-16629419.100000009</v>
      </c>
      <c r="M12" s="153">
        <f t="shared" si="2"/>
        <v>-0.20025550122733882</v>
      </c>
      <c r="N12" s="148">
        <f>'2023'!R12</f>
        <v>10598117.26</v>
      </c>
      <c r="O12" s="148">
        <f>'2023'!R88</f>
        <v>9102707.6780775897</v>
      </c>
      <c r="P12" s="149">
        <f t="shared" ref="P12:P57" si="6">+N12-O12</f>
        <v>1495409.5819224101</v>
      </c>
      <c r="Q12" s="151">
        <f t="shared" si="3"/>
        <v>0.16428184171220428</v>
      </c>
      <c r="R12" s="148">
        <f>'2022'!R12</f>
        <v>8051099.2599999998</v>
      </c>
      <c r="S12" s="149">
        <f t="shared" si="4"/>
        <v>2547018</v>
      </c>
      <c r="T12" s="153">
        <f t="shared" si="5"/>
        <v>0.31635655178843236</v>
      </c>
      <c r="W12" s="470"/>
      <c r="Y12" s="470"/>
    </row>
    <row r="13" spans="1:25">
      <c r="A13" s="135">
        <v>7112</v>
      </c>
      <c r="B13" s="500" t="str">
        <f>+VLOOKUP($A13,Master!$D$30:$G$226,4,FALSE)</f>
        <v>Porez na dobit pravnih lica</v>
      </c>
      <c r="C13" s="501"/>
      <c r="D13" s="501"/>
      <c r="E13" s="501"/>
      <c r="F13" s="501"/>
      <c r="G13" s="148">
        <f>'2023'!S13</f>
        <v>151284476.47</v>
      </c>
      <c r="H13" s="148">
        <f>SUM('2023'!G89:R89)</f>
        <v>121648421.1653218</v>
      </c>
      <c r="I13" s="149">
        <f t="shared" si="0"/>
        <v>29636055.304678202</v>
      </c>
      <c r="J13" s="151">
        <f t="shared" si="1"/>
        <v>0.243620550277446</v>
      </c>
      <c r="K13" s="148">
        <f>SUM('2022'!G13:R13)</f>
        <v>90169159.159999996</v>
      </c>
      <c r="L13" s="149">
        <f t="shared" ref="L13:L57" si="7">+G13-K13</f>
        <v>61115317.310000002</v>
      </c>
      <c r="M13" s="153">
        <f t="shared" si="2"/>
        <v>0.67778515269898865</v>
      </c>
      <c r="N13" s="148">
        <f>'2023'!R13</f>
        <v>4457656.51</v>
      </c>
      <c r="O13" s="148">
        <f>'2023'!R89</f>
        <v>6416604.0733927749</v>
      </c>
      <c r="P13" s="149">
        <f t="shared" si="6"/>
        <v>-1958947.5633927751</v>
      </c>
      <c r="Q13" s="151">
        <f t="shared" si="3"/>
        <v>-0.30529350743577721</v>
      </c>
      <c r="R13" s="148">
        <f>'2022'!R13</f>
        <v>4756163.6100000003</v>
      </c>
      <c r="S13" s="149">
        <f t="shared" si="4"/>
        <v>-298507.10000000056</v>
      </c>
      <c r="T13" s="153">
        <f t="shared" si="5"/>
        <v>-6.2762159689456198E-2</v>
      </c>
      <c r="W13" s="470"/>
      <c r="Y13" s="470"/>
    </row>
    <row r="14" spans="1:25">
      <c r="A14" s="135">
        <v>7113</v>
      </c>
      <c r="B14" s="500" t="str">
        <f>+VLOOKUP($A14,Master!$D$30:$G$226,4,FALSE)</f>
        <v>Porez na promet nepokretnosti</v>
      </c>
      <c r="C14" s="501"/>
      <c r="D14" s="501"/>
      <c r="E14" s="501"/>
      <c r="F14" s="501"/>
      <c r="G14" s="148">
        <f>'2023'!S14</f>
        <v>0</v>
      </c>
      <c r="H14" s="148">
        <f>SUM('2023'!G90:R90)</f>
        <v>0</v>
      </c>
      <c r="I14" s="149">
        <f t="shared" si="0"/>
        <v>0</v>
      </c>
      <c r="J14" s="151" t="str">
        <f t="shared" si="1"/>
        <v>...</v>
      </c>
      <c r="K14" s="148">
        <f>SUM('2022'!G14:R14)</f>
        <v>1481541.77</v>
      </c>
      <c r="L14" s="149">
        <f t="shared" si="7"/>
        <v>-1481541.77</v>
      </c>
      <c r="M14" s="153">
        <f t="shared" si="2"/>
        <v>-1</v>
      </c>
      <c r="N14" s="148">
        <f>'2023'!R14</f>
        <v>0</v>
      </c>
      <c r="O14" s="148">
        <f>'2023'!R90</f>
        <v>0</v>
      </c>
      <c r="P14" s="149">
        <f t="shared" si="6"/>
        <v>0</v>
      </c>
      <c r="Q14" s="151" t="str">
        <f t="shared" si="3"/>
        <v>...</v>
      </c>
      <c r="R14" s="148">
        <f>'2022'!R14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00" t="str">
        <f>+VLOOKUP($A15,Master!$D$30:$G$226,4,FALSE)</f>
        <v>Porez na dodatu vrijednost</v>
      </c>
      <c r="C15" s="501"/>
      <c r="D15" s="501"/>
      <c r="E15" s="501"/>
      <c r="F15" s="501"/>
      <c r="G15" s="148">
        <f>'2023'!S15</f>
        <v>1059267077.4700001</v>
      </c>
      <c r="H15" s="148">
        <f>SUM('2023'!G91:R91)</f>
        <v>958981810.21551323</v>
      </c>
      <c r="I15" s="149">
        <f t="shared" si="0"/>
        <v>100285267.25448692</v>
      </c>
      <c r="J15" s="151">
        <f t="shared" si="1"/>
        <v>0.10457473352070124</v>
      </c>
      <c r="K15" s="148">
        <f>SUM('2022'!G15:R15)</f>
        <v>908047104.25999999</v>
      </c>
      <c r="L15" s="149">
        <f t="shared" si="7"/>
        <v>151219973.21000016</v>
      </c>
      <c r="M15" s="153">
        <f t="shared" si="2"/>
        <v>0.1665331814842741</v>
      </c>
      <c r="N15" s="148">
        <f>'2023'!R15</f>
        <v>87929424.079999998</v>
      </c>
      <c r="O15" s="148">
        <f>'2023'!R91</f>
        <v>83726072.568305194</v>
      </c>
      <c r="P15" s="149">
        <f t="shared" si="6"/>
        <v>4203351.5116948038</v>
      </c>
      <c r="Q15" s="151">
        <f t="shared" si="3"/>
        <v>5.0203614988218126E-2</v>
      </c>
      <c r="R15" s="148">
        <f>'2022'!R15</f>
        <v>79279103.049999997</v>
      </c>
      <c r="S15" s="149">
        <f t="shared" si="4"/>
        <v>8650321.0300000012</v>
      </c>
      <c r="T15" s="153">
        <f t="shared" si="5"/>
        <v>0.10911224644588113</v>
      </c>
      <c r="W15" s="470"/>
      <c r="Y15" s="470"/>
    </row>
    <row r="16" spans="1:25">
      <c r="A16" s="135">
        <v>7115</v>
      </c>
      <c r="B16" s="500" t="str">
        <f>+VLOOKUP($A16,Master!$D$30:$G$226,4,FALSE)</f>
        <v>Akcize</v>
      </c>
      <c r="C16" s="501"/>
      <c r="D16" s="501"/>
      <c r="E16" s="501"/>
      <c r="F16" s="501"/>
      <c r="G16" s="148">
        <f>'2023'!S16</f>
        <v>323121644.95999998</v>
      </c>
      <c r="H16" s="148">
        <f>SUM('2023'!G92:R92)</f>
        <v>271452175.03867495</v>
      </c>
      <c r="I16" s="149">
        <f t="shared" si="0"/>
        <v>51669469.921325028</v>
      </c>
      <c r="J16" s="151">
        <f t="shared" si="1"/>
        <v>0.19034465247502053</v>
      </c>
      <c r="K16" s="148">
        <f>SUM('2022'!G16:R16)</f>
        <v>245872611.77000004</v>
      </c>
      <c r="L16" s="149">
        <f t="shared" si="7"/>
        <v>77249033.189999938</v>
      </c>
      <c r="M16" s="153">
        <f t="shared" si="2"/>
        <v>0.31418315620392101</v>
      </c>
      <c r="N16" s="148">
        <f>'2023'!R16</f>
        <v>28494203.899999999</v>
      </c>
      <c r="O16" s="148">
        <f>'2023'!R92</f>
        <v>26404567.592340976</v>
      </c>
      <c r="P16" s="149">
        <f t="shared" si="6"/>
        <v>2089636.3076590225</v>
      </c>
      <c r="Q16" s="151">
        <f t="shared" si="3"/>
        <v>7.9139198184224435E-2</v>
      </c>
      <c r="R16" s="148">
        <f>'2022'!R16</f>
        <v>22088360.559999999</v>
      </c>
      <c r="S16" s="149">
        <f t="shared" si="4"/>
        <v>6405843.3399999999</v>
      </c>
      <c r="T16" s="153">
        <f t="shared" si="5"/>
        <v>0.29000990465541365</v>
      </c>
      <c r="W16" s="470"/>
      <c r="Y16" s="470"/>
    </row>
    <row r="17" spans="1:25">
      <c r="A17" s="135">
        <v>7116</v>
      </c>
      <c r="B17" s="500" t="str">
        <f>+VLOOKUP($A17,Master!$D$30:$G$226,4,FALSE)</f>
        <v>Porez na međunarodnu trgovinu i transakcije</v>
      </c>
      <c r="C17" s="501"/>
      <c r="D17" s="501"/>
      <c r="E17" s="501"/>
      <c r="F17" s="501"/>
      <c r="G17" s="148">
        <f>'2023'!S17</f>
        <v>52191310.710000001</v>
      </c>
      <c r="H17" s="148">
        <f>SUM('2023'!G93:R93)</f>
        <v>40252350.156719081</v>
      </c>
      <c r="I17" s="149">
        <f t="shared" si="0"/>
        <v>11938960.55328092</v>
      </c>
      <c r="J17" s="151">
        <f t="shared" si="1"/>
        <v>0.29660281963158908</v>
      </c>
      <c r="K17" s="148">
        <f>SUM('2022'!G17:R17)</f>
        <v>40239493.630000003</v>
      </c>
      <c r="L17" s="149">
        <f t="shared" si="7"/>
        <v>11951817.079999998</v>
      </c>
      <c r="M17" s="153">
        <f t="shared" si="2"/>
        <v>0.29701708450648812</v>
      </c>
      <c r="N17" s="148">
        <f>'2023'!R17</f>
        <v>4403080.1100000003</v>
      </c>
      <c r="O17" s="148">
        <f>'2023'!R93</f>
        <v>3887332.176758409</v>
      </c>
      <c r="P17" s="149">
        <f t="shared" si="6"/>
        <v>515747.93324159132</v>
      </c>
      <c r="Q17" s="151">
        <f>IF(+IF(ISERROR(N17/O17),"…",N17/O17-1)&gt;200%,"...",IF(ISERROR(N17/O17),"…",N17/O17-1))</f>
        <v>0.13267400617964853</v>
      </c>
      <c r="R17" s="148">
        <f>'2022'!R17</f>
        <v>3886090.57</v>
      </c>
      <c r="S17" s="149">
        <f t="shared" si="4"/>
        <v>516989.5400000005</v>
      </c>
      <c r="T17" s="153">
        <f t="shared" si="5"/>
        <v>0.13303589576400432</v>
      </c>
      <c r="W17" s="470"/>
      <c r="Y17" s="470"/>
    </row>
    <row r="18" spans="1:25">
      <c r="A18" s="135">
        <v>7118</v>
      </c>
      <c r="B18" s="500" t="str">
        <f>+VLOOKUP($A18,Master!$D$30:$G$226,4,FALSE)</f>
        <v>Ostali državni porezi</v>
      </c>
      <c r="C18" s="501"/>
      <c r="D18" s="501"/>
      <c r="E18" s="501"/>
      <c r="F18" s="501"/>
      <c r="G18" s="148">
        <f>'2023'!S18</f>
        <v>12599251.9</v>
      </c>
      <c r="H18" s="148">
        <f>SUM('2023'!G94:R94)</f>
        <v>12089403.315027073</v>
      </c>
      <c r="I18" s="149">
        <f t="shared" si="0"/>
        <v>509848.58497292735</v>
      </c>
      <c r="J18" s="151">
        <f t="shared" si="1"/>
        <v>4.2173180237868868E-2</v>
      </c>
      <c r="K18" s="148">
        <f>SUM('2022'!G18:R18)</f>
        <v>12282234.720000001</v>
      </c>
      <c r="L18" s="149">
        <f t="shared" si="7"/>
        <v>317017.1799999997</v>
      </c>
      <c r="M18" s="153">
        <f t="shared" si="2"/>
        <v>2.581103416659003E-2</v>
      </c>
      <c r="N18" s="148">
        <f>'2023'!R18</f>
        <v>1129633.74</v>
      </c>
      <c r="O18" s="148">
        <f>'2023'!R94</f>
        <v>1019288.8556020237</v>
      </c>
      <c r="P18" s="149">
        <f t="shared" si="6"/>
        <v>110344.88439797633</v>
      </c>
      <c r="Q18" s="151">
        <f t="shared" si="3"/>
        <v>0.10825673585217732</v>
      </c>
      <c r="R18" s="148">
        <f>'2022'!R18</f>
        <v>1035546.97</v>
      </c>
      <c r="S18" s="149">
        <f t="shared" si="4"/>
        <v>94086.770000000019</v>
      </c>
      <c r="T18" s="153">
        <f t="shared" si="5"/>
        <v>9.0857076236725343E-2</v>
      </c>
      <c r="W18" s="470"/>
      <c r="Y18" s="470"/>
    </row>
    <row r="19" spans="1:25">
      <c r="A19" s="135">
        <v>712</v>
      </c>
      <c r="B19" s="502" t="str">
        <f>+VLOOKUP($A19,Master!$D$30:$G$226,4,FALSE)</f>
        <v>Doprinosi</v>
      </c>
      <c r="C19" s="503"/>
      <c r="D19" s="503"/>
      <c r="E19" s="503"/>
      <c r="F19" s="503"/>
      <c r="G19" s="154">
        <f>'2023'!S19</f>
        <v>575730590.25</v>
      </c>
      <c r="H19" s="154">
        <f>SUM('2023'!G95:R95)</f>
        <v>474756305.36776417</v>
      </c>
      <c r="I19" s="155">
        <f t="shared" si="0"/>
        <v>100974284.88223583</v>
      </c>
      <c r="J19" s="157">
        <f t="shared" si="1"/>
        <v>0.21268655885258303</v>
      </c>
      <c r="K19" s="154">
        <f>SUM('2022'!G19:R19)</f>
        <v>462797044.28999996</v>
      </c>
      <c r="L19" s="155">
        <f t="shared" si="7"/>
        <v>112933545.96000004</v>
      </c>
      <c r="M19" s="159">
        <f t="shared" si="2"/>
        <v>0.24402391362126563</v>
      </c>
      <c r="N19" s="154">
        <f>'2023'!R19</f>
        <v>89085844.590000004</v>
      </c>
      <c r="O19" s="154">
        <f>'2023'!R95</f>
        <v>76561513.993556961</v>
      </c>
      <c r="P19" s="155">
        <f t="shared" si="6"/>
        <v>12524330.596443042</v>
      </c>
      <c r="Q19" s="157">
        <f t="shared" si="3"/>
        <v>0.16358520022862955</v>
      </c>
      <c r="R19" s="154">
        <f>'2022'!R19</f>
        <v>76106447.830000013</v>
      </c>
      <c r="S19" s="155">
        <f t="shared" si="4"/>
        <v>12979396.75999999</v>
      </c>
      <c r="T19" s="159">
        <f t="shared" si="5"/>
        <v>0.17054266924915806</v>
      </c>
      <c r="W19" s="470"/>
      <c r="Y19" s="470"/>
    </row>
    <row r="20" spans="1:25">
      <c r="A20" s="135">
        <v>7121</v>
      </c>
      <c r="B20" s="500" t="str">
        <f>+VLOOKUP($A20,Master!$D$30:$G$226,4,FALSE)</f>
        <v>Doprinosi za penzijsko i invalidsko osiguranje</v>
      </c>
      <c r="C20" s="501"/>
      <c r="D20" s="501"/>
      <c r="E20" s="501"/>
      <c r="F20" s="501"/>
      <c r="G20" s="148">
        <f>'2023'!S20</f>
        <v>526512246.37</v>
      </c>
      <c r="H20" s="148">
        <f>SUM('2023'!G96:R96)</f>
        <v>438725546.84560192</v>
      </c>
      <c r="I20" s="149">
        <f t="shared" si="0"/>
        <v>87786699.524398088</v>
      </c>
      <c r="J20" s="151">
        <f t="shared" si="1"/>
        <v>0.20009479766012417</v>
      </c>
      <c r="K20" s="148">
        <f>SUM('2022'!G20:R20)</f>
        <v>405895277.21000004</v>
      </c>
      <c r="L20" s="149">
        <f t="shared" si="7"/>
        <v>120616969.15999997</v>
      </c>
      <c r="M20" s="153">
        <f t="shared" si="2"/>
        <v>0.29716278048141898</v>
      </c>
      <c r="N20" s="148">
        <f>'2023'!R20</f>
        <v>81523024.159999996</v>
      </c>
      <c r="O20" s="148">
        <f>'2023'!R96</f>
        <v>70883550.649357751</v>
      </c>
      <c r="P20" s="149">
        <f t="shared" si="6"/>
        <v>10639473.510642245</v>
      </c>
      <c r="Q20" s="151">
        <f t="shared" si="3"/>
        <v>0.15009791994299104</v>
      </c>
      <c r="R20" s="148">
        <f>'2022'!R20</f>
        <v>69645040.040000007</v>
      </c>
      <c r="S20" s="149">
        <f t="shared" si="4"/>
        <v>11877984.11999999</v>
      </c>
      <c r="T20" s="153">
        <f t="shared" si="5"/>
        <v>0.17055032365805189</v>
      </c>
      <c r="W20" s="470"/>
      <c r="Y20" s="470"/>
    </row>
    <row r="21" spans="1:25">
      <c r="A21" s="135">
        <v>7122</v>
      </c>
      <c r="B21" s="500" t="str">
        <f>+VLOOKUP($A21,Master!$D$30:$G$226,4,FALSE)</f>
        <v>Doprinosi za zdravstveno osiguranje</v>
      </c>
      <c r="C21" s="501"/>
      <c r="D21" s="501"/>
      <c r="E21" s="501"/>
      <c r="F21" s="501"/>
      <c r="G21" s="148">
        <f>'2023'!S21</f>
        <v>7030542.8399999989</v>
      </c>
      <c r="H21" s="148">
        <f>SUM('2023'!G97:R97)</f>
        <v>1200286.4243292995</v>
      </c>
      <c r="I21" s="149">
        <f t="shared" si="0"/>
        <v>5830256.4156706994</v>
      </c>
      <c r="J21" s="151" t="str">
        <f t="shared" si="1"/>
        <v>...</v>
      </c>
      <c r="K21" s="148">
        <f>SUM('2022'!G21:R21)</f>
        <v>25055179.93</v>
      </c>
      <c r="L21" s="149">
        <f t="shared" si="7"/>
        <v>-18024637.09</v>
      </c>
      <c r="M21" s="153">
        <f t="shared" si="2"/>
        <v>-0.71939763116281086</v>
      </c>
      <c r="N21" s="148">
        <f>'2023'!R21</f>
        <v>965969</v>
      </c>
      <c r="O21" s="148">
        <f>'2023'!R97</f>
        <v>100023.86869410829</v>
      </c>
      <c r="P21" s="149">
        <f t="shared" si="6"/>
        <v>865945.13130589167</v>
      </c>
      <c r="Q21" s="151" t="str">
        <f t="shared" si="3"/>
        <v>...</v>
      </c>
      <c r="R21" s="148">
        <f>'2022'!R21</f>
        <v>1011542.87</v>
      </c>
      <c r="S21" s="149">
        <f t="shared" si="4"/>
        <v>-45573.869999999995</v>
      </c>
      <c r="T21" s="153">
        <f t="shared" si="5"/>
        <v>-4.505381961715571E-2</v>
      </c>
      <c r="W21" s="470"/>
      <c r="Y21" s="470"/>
    </row>
    <row r="22" spans="1:25">
      <c r="A22" s="135">
        <v>7123</v>
      </c>
      <c r="B22" s="500" t="str">
        <f>+VLOOKUP($A22,Master!$D$30:$G$226,4,FALSE)</f>
        <v>Doprinosi za osiguranje od nezaposlenosti</v>
      </c>
      <c r="C22" s="501"/>
      <c r="D22" s="501"/>
      <c r="E22" s="501"/>
      <c r="F22" s="501"/>
      <c r="G22" s="148">
        <f>'2023'!S22</f>
        <v>24220167.09</v>
      </c>
      <c r="H22" s="148">
        <f>SUM('2023'!G98:R98)</f>
        <v>20360913.711489163</v>
      </c>
      <c r="I22" s="149">
        <f t="shared" si="0"/>
        <v>3859253.3785108365</v>
      </c>
      <c r="J22" s="151">
        <f t="shared" si="1"/>
        <v>0.18954224909529249</v>
      </c>
      <c r="K22" s="148">
        <f>SUM('2022'!G22:R22)</f>
        <v>18395128.240000002</v>
      </c>
      <c r="L22" s="149">
        <f t="shared" si="7"/>
        <v>5825038.8499999978</v>
      </c>
      <c r="M22" s="153">
        <f t="shared" si="2"/>
        <v>0.31666204084043925</v>
      </c>
      <c r="N22" s="148">
        <f>'2023'!R22</f>
        <v>3765884.68</v>
      </c>
      <c r="O22" s="148">
        <f>'2023'!R98</f>
        <v>3206078.6416049507</v>
      </c>
      <c r="P22" s="149">
        <f t="shared" si="6"/>
        <v>559806.03839504952</v>
      </c>
      <c r="Q22" s="151">
        <f t="shared" si="3"/>
        <v>0.17460770647684831</v>
      </c>
      <c r="R22" s="148">
        <f>'2022'!R22</f>
        <v>3184426.45</v>
      </c>
      <c r="S22" s="149">
        <f t="shared" si="4"/>
        <v>581458.23</v>
      </c>
      <c r="T22" s="153">
        <f t="shared" si="5"/>
        <v>0.18259433500183375</v>
      </c>
      <c r="W22" s="470"/>
      <c r="Y22" s="470"/>
    </row>
    <row r="23" spans="1:25">
      <c r="A23" s="135">
        <v>7124</v>
      </c>
      <c r="B23" s="500" t="str">
        <f>+VLOOKUP($A23,Master!$D$30:$G$226,4,FALSE)</f>
        <v>Ostali doprinosi</v>
      </c>
      <c r="C23" s="501"/>
      <c r="D23" s="501"/>
      <c r="E23" s="501"/>
      <c r="F23" s="501"/>
      <c r="G23" s="148">
        <f>'2023'!S23</f>
        <v>17967633.949999999</v>
      </c>
      <c r="H23" s="148">
        <f>SUM('2023'!G99:R99)</f>
        <v>14469558.386343762</v>
      </c>
      <c r="I23" s="149">
        <f t="shared" si="0"/>
        <v>3498075.563656237</v>
      </c>
      <c r="J23" s="151">
        <f t="shared" si="1"/>
        <v>0.24175413445635563</v>
      </c>
      <c r="K23" s="148">
        <f>SUM('2022'!G23:R23)</f>
        <v>13451458.910000002</v>
      </c>
      <c r="L23" s="149">
        <f t="shared" si="7"/>
        <v>4516175.0399999972</v>
      </c>
      <c r="M23" s="153">
        <f t="shared" si="2"/>
        <v>0.33573867862337292</v>
      </c>
      <c r="N23" s="148">
        <f>'2023'!R23</f>
        <v>2830966.75</v>
      </c>
      <c r="O23" s="148">
        <f>'2023'!R99</f>
        <v>2371860.8339001467</v>
      </c>
      <c r="P23" s="149">
        <f t="shared" si="6"/>
        <v>459105.91609985335</v>
      </c>
      <c r="Q23" s="151">
        <f t="shared" si="3"/>
        <v>0.19356359763524855</v>
      </c>
      <c r="R23" s="148">
        <f>'2022'!R23</f>
        <v>2265438.4700000002</v>
      </c>
      <c r="S23" s="149">
        <f t="shared" si="4"/>
        <v>565528.2799999998</v>
      </c>
      <c r="T23" s="153">
        <f t="shared" si="5"/>
        <v>0.24963303461514874</v>
      </c>
      <c r="W23" s="470"/>
      <c r="Y23" s="470"/>
    </row>
    <row r="24" spans="1:25">
      <c r="A24" s="135">
        <v>713</v>
      </c>
      <c r="B24" s="502" t="str">
        <f>+VLOOKUP($A24,Master!$D$30:$G$226,4,FALSE)</f>
        <v>Takse</v>
      </c>
      <c r="C24" s="503"/>
      <c r="D24" s="503"/>
      <c r="E24" s="503"/>
      <c r="F24" s="503"/>
      <c r="G24" s="160">
        <f>'2023'!S24</f>
        <v>15958058.43</v>
      </c>
      <c r="H24" s="160">
        <f>SUM('2023'!G100:R100)</f>
        <v>14250938.223525003</v>
      </c>
      <c r="I24" s="161">
        <f t="shared" si="0"/>
        <v>1707120.2064749971</v>
      </c>
      <c r="J24" s="163">
        <f t="shared" si="1"/>
        <v>0.11979002222162016</v>
      </c>
      <c r="K24" s="160">
        <f>SUM('2022'!G24:R24)</f>
        <v>14770367.420000002</v>
      </c>
      <c r="L24" s="161">
        <f t="shared" si="7"/>
        <v>1187691.0099999979</v>
      </c>
      <c r="M24" s="165">
        <f t="shared" si="2"/>
        <v>8.041039035980857E-2</v>
      </c>
      <c r="N24" s="160">
        <f>'2023'!R24</f>
        <v>1642174.26</v>
      </c>
      <c r="O24" s="160">
        <f>'2023'!R100</f>
        <v>1389128.8981358397</v>
      </c>
      <c r="P24" s="161">
        <f t="shared" si="6"/>
        <v>253045.36186416028</v>
      </c>
      <c r="Q24" s="163">
        <f t="shared" si="3"/>
        <v>0.18216118187717356</v>
      </c>
      <c r="R24" s="160">
        <f>'2022'!R24</f>
        <v>1600139.91</v>
      </c>
      <c r="S24" s="161">
        <f t="shared" si="4"/>
        <v>42034.350000000093</v>
      </c>
      <c r="T24" s="165">
        <f t="shared" si="5"/>
        <v>2.6269171675119329E-2</v>
      </c>
      <c r="W24" s="470"/>
      <c r="Y24" s="470"/>
    </row>
    <row r="25" spans="1:25">
      <c r="A25" s="135">
        <v>714</v>
      </c>
      <c r="B25" s="502" t="str">
        <f>+VLOOKUP($A25,Master!$D$30:$G$226,4,FALSE)</f>
        <v>Naknade</v>
      </c>
      <c r="C25" s="503"/>
      <c r="D25" s="503"/>
      <c r="E25" s="503"/>
      <c r="F25" s="503"/>
      <c r="G25" s="160">
        <f>'2023'!S25</f>
        <v>55717585.719999999</v>
      </c>
      <c r="H25" s="160">
        <f>SUM('2023'!G101:R101)</f>
        <v>41688257.276150532</v>
      </c>
      <c r="I25" s="161">
        <f t="shared" si="0"/>
        <v>14029328.443849467</v>
      </c>
      <c r="J25" s="163">
        <f t="shared" si="1"/>
        <v>0.33652950160321327</v>
      </c>
      <c r="K25" s="160">
        <f>SUM('2022'!G25:R25)</f>
        <v>72750276.989999995</v>
      </c>
      <c r="L25" s="161">
        <f t="shared" si="7"/>
        <v>-17032691.269999996</v>
      </c>
      <c r="M25" s="165">
        <f t="shared" si="2"/>
        <v>-0.23412544906655475</v>
      </c>
      <c r="N25" s="160">
        <f>'2023'!R25</f>
        <v>3779355.23</v>
      </c>
      <c r="O25" s="160">
        <f>'2023'!R101</f>
        <v>4104318.4117466188</v>
      </c>
      <c r="P25" s="161">
        <f t="shared" si="6"/>
        <v>-324963.18174661882</v>
      </c>
      <c r="Q25" s="163">
        <f t="shared" si="3"/>
        <v>-7.9175918909353937E-2</v>
      </c>
      <c r="R25" s="160">
        <f>'2022'!R25</f>
        <v>12753782.83</v>
      </c>
      <c r="S25" s="161">
        <f t="shared" si="4"/>
        <v>-8974427.5999999996</v>
      </c>
      <c r="T25" s="165">
        <f t="shared" si="5"/>
        <v>-0.70366790148644864</v>
      </c>
      <c r="W25" s="470"/>
      <c r="Y25" s="470"/>
    </row>
    <row r="26" spans="1:25">
      <c r="A26" s="135">
        <v>715</v>
      </c>
      <c r="B26" s="502" t="str">
        <f>+VLOOKUP($A26,Master!$D$30:$G$226,4,FALSE)</f>
        <v>Ostali prihodi</v>
      </c>
      <c r="C26" s="503"/>
      <c r="D26" s="503"/>
      <c r="E26" s="503"/>
      <c r="F26" s="503"/>
      <c r="G26" s="160">
        <f>'2023'!S26</f>
        <v>181791143.25999999</v>
      </c>
      <c r="H26" s="160">
        <f>SUM('2023'!G102:R102)</f>
        <v>100175411.57200001</v>
      </c>
      <c r="I26" s="161">
        <f t="shared" si="0"/>
        <v>81615731.687999979</v>
      </c>
      <c r="J26" s="163">
        <f t="shared" si="1"/>
        <v>0.81472818935552405</v>
      </c>
      <c r="K26" s="160">
        <f>SUM('2022'!G26:R26)</f>
        <v>29565488.299999997</v>
      </c>
      <c r="L26" s="161">
        <f t="shared" si="7"/>
        <v>152225654.95999998</v>
      </c>
      <c r="M26" s="165" t="str">
        <f t="shared" si="2"/>
        <v>...</v>
      </c>
      <c r="N26" s="160">
        <f>'2023'!R26</f>
        <v>8717230.5299999993</v>
      </c>
      <c r="O26" s="160">
        <f>'2023'!R102</f>
        <v>8676446.8240033779</v>
      </c>
      <c r="P26" s="161">
        <f t="shared" si="6"/>
        <v>40783.7059966214</v>
      </c>
      <c r="Q26" s="163">
        <f t="shared" si="3"/>
        <v>4.7005078027786418E-3</v>
      </c>
      <c r="R26" s="160">
        <f>'2022'!R26</f>
        <v>3199096.44</v>
      </c>
      <c r="S26" s="161">
        <f t="shared" si="4"/>
        <v>5518134.0899999999</v>
      </c>
      <c r="T26" s="165">
        <f t="shared" si="5"/>
        <v>1.7249039513169535</v>
      </c>
      <c r="W26" s="470"/>
      <c r="Y26" s="470"/>
    </row>
    <row r="27" spans="1:25">
      <c r="A27" s="135">
        <v>73</v>
      </c>
      <c r="B27" s="502" t="str">
        <f>+VLOOKUP($A27,Master!$D$30:$G$226,4,FALSE)</f>
        <v>Primici od otplate kredita i sredstva prenesena iz prethodne godine</v>
      </c>
      <c r="C27" s="503"/>
      <c r="D27" s="503"/>
      <c r="E27" s="503"/>
      <c r="F27" s="503"/>
      <c r="G27" s="160">
        <f>'2023'!S27</f>
        <v>0</v>
      </c>
      <c r="H27" s="160">
        <f>SUM('2023'!G103:R103)</f>
        <v>9747904</v>
      </c>
      <c r="I27" s="161">
        <f t="shared" si="0"/>
        <v>-9747904</v>
      </c>
      <c r="J27" s="163">
        <f t="shared" si="1"/>
        <v>-1</v>
      </c>
      <c r="K27" s="160">
        <f>SUM('2022'!G27:R27)</f>
        <v>0</v>
      </c>
      <c r="L27" s="161">
        <f t="shared" si="7"/>
        <v>0</v>
      </c>
      <c r="M27" s="165" t="str">
        <f t="shared" si="2"/>
        <v>...</v>
      </c>
      <c r="N27" s="160">
        <f>'2023'!R27</f>
        <v>0</v>
      </c>
      <c r="O27" s="160">
        <f>'2023'!R103</f>
        <v>2152051.5417040759</v>
      </c>
      <c r="P27" s="161">
        <f t="shared" si="6"/>
        <v>-2152051.5417040759</v>
      </c>
      <c r="Q27" s="163">
        <f t="shared" si="3"/>
        <v>-1</v>
      </c>
      <c r="R27" s="160">
        <f>'2022'!R27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.75" thickBot="1">
      <c r="A28" s="135">
        <v>74</v>
      </c>
      <c r="B28" s="506" t="str">
        <f>+VLOOKUP($A28,Master!$D$30:$G$226,4,FALSE)</f>
        <v>Donacije i transferi</v>
      </c>
      <c r="C28" s="507"/>
      <c r="D28" s="507"/>
      <c r="E28" s="507"/>
      <c r="F28" s="507"/>
      <c r="G28" s="160">
        <f>'2023'!S28</f>
        <v>71264868.700000018</v>
      </c>
      <c r="H28" s="160">
        <f>SUM('2023'!G104:R104)</f>
        <v>41383384.580000006</v>
      </c>
      <c r="I28" s="161">
        <f t="shared" si="0"/>
        <v>29881484.120000012</v>
      </c>
      <c r="J28" s="163">
        <f t="shared" si="1"/>
        <v>0.72206477124254609</v>
      </c>
      <c r="K28" s="160">
        <f>SUM('2022'!G28:R28)</f>
        <v>34391205.840000004</v>
      </c>
      <c r="L28" s="161">
        <f t="shared" si="7"/>
        <v>36873662.860000014</v>
      </c>
      <c r="M28" s="165">
        <f t="shared" si="2"/>
        <v>1.0721829013948878</v>
      </c>
      <c r="N28" s="160">
        <f>'2023'!R28</f>
        <v>13534104.41</v>
      </c>
      <c r="O28" s="160">
        <f>'2023'!R104</f>
        <v>3153709.3977777776</v>
      </c>
      <c r="P28" s="161">
        <f t="shared" si="6"/>
        <v>10380395.012222223</v>
      </c>
      <c r="Q28" s="163" t="str">
        <f t="shared" si="3"/>
        <v>...</v>
      </c>
      <c r="R28" s="160">
        <f>'2022'!R28</f>
        <v>5615200.2199999997</v>
      </c>
      <c r="S28" s="161">
        <f t="shared" si="4"/>
        <v>7918904.1900000004</v>
      </c>
      <c r="T28" s="165">
        <f t="shared" si="5"/>
        <v>1.4102621241883342</v>
      </c>
      <c r="W28" s="470"/>
      <c r="Y28" s="470"/>
    </row>
    <row r="29" spans="1:25" ht="15.75" thickBot="1">
      <c r="A29" s="135">
        <v>4</v>
      </c>
      <c r="B29" s="508" t="str">
        <f>+VLOOKUP($A29,Master!$D$30:$G$226,4,FALSE)</f>
        <v>Izdaci budžeta</v>
      </c>
      <c r="C29" s="509"/>
      <c r="D29" s="509"/>
      <c r="E29" s="509"/>
      <c r="F29" s="509"/>
      <c r="G29" s="136">
        <f>'2023'!S29</f>
        <v>2555378831.9999995</v>
      </c>
      <c r="H29" s="136">
        <f>SUM('2023'!G105:R105)</f>
        <v>2513783148.5799999</v>
      </c>
      <c r="I29" s="137">
        <f t="shared" si="0"/>
        <v>41595683.419999599</v>
      </c>
      <c r="J29" s="139">
        <f t="shared" si="1"/>
        <v>1.6547045214897027E-2</v>
      </c>
      <c r="K29" s="136">
        <f>SUM('2022'!G29:R29)</f>
        <v>2245767940.8999996</v>
      </c>
      <c r="L29" s="137">
        <f t="shared" si="7"/>
        <v>309610891.0999999</v>
      </c>
      <c r="M29" s="141">
        <f t="shared" si="2"/>
        <v>0.13786415126040241</v>
      </c>
      <c r="N29" s="136">
        <f>'2023'!R29</f>
        <v>400126545.28999996</v>
      </c>
      <c r="O29" s="136">
        <f>'2023'!R105</f>
        <v>236910680.68000001</v>
      </c>
      <c r="P29" s="137">
        <f t="shared" si="6"/>
        <v>163215864.60999995</v>
      </c>
      <c r="Q29" s="139">
        <f t="shared" si="3"/>
        <v>0.68893417612715768</v>
      </c>
      <c r="R29" s="136">
        <f>'2022'!R29</f>
        <v>369326518.45000005</v>
      </c>
      <c r="S29" s="137">
        <f t="shared" si="4"/>
        <v>30800026.839999914</v>
      </c>
      <c r="T29" s="141">
        <f t="shared" si="5"/>
        <v>8.3395113270669841E-2</v>
      </c>
      <c r="W29" s="470"/>
      <c r="Y29" s="470"/>
    </row>
    <row r="30" spans="1:25">
      <c r="A30" s="135">
        <v>41</v>
      </c>
      <c r="B30" s="512" t="str">
        <f>+VLOOKUP($A30,Master!$D$30:$G$226,4,FALSE)</f>
        <v>Tekući izdaci</v>
      </c>
      <c r="C30" s="513"/>
      <c r="D30" s="513"/>
      <c r="E30" s="513"/>
      <c r="F30" s="513"/>
      <c r="G30" s="294">
        <f>'2023'!S30</f>
        <v>1072283965.9199998</v>
      </c>
      <c r="H30" s="294">
        <f>SUM('2023'!G106:R106)</f>
        <v>1054288587.1899999</v>
      </c>
      <c r="I30" s="173">
        <f t="shared" si="0"/>
        <v>17995378.7299999</v>
      </c>
      <c r="J30" s="175">
        <f t="shared" si="1"/>
        <v>1.7068740901353241E-2</v>
      </c>
      <c r="K30" s="294">
        <f>SUM('2022'!G30:R30)</f>
        <v>923673941.22000003</v>
      </c>
      <c r="L30" s="173">
        <f t="shared" si="7"/>
        <v>148610024.69999981</v>
      </c>
      <c r="M30" s="177">
        <f t="shared" si="2"/>
        <v>0.16089013456817214</v>
      </c>
      <c r="N30" s="294">
        <f>'2023'!R30</f>
        <v>163458578.78999999</v>
      </c>
      <c r="O30" s="294">
        <f>'2023'!R106</f>
        <v>112771922.60000001</v>
      </c>
      <c r="P30" s="173">
        <f t="shared" si="6"/>
        <v>50686656.189999983</v>
      </c>
      <c r="Q30" s="175">
        <f t="shared" si="3"/>
        <v>0.44946166582425517</v>
      </c>
      <c r="R30" s="294">
        <f>'2022'!R30</f>
        <v>160323574.99000001</v>
      </c>
      <c r="S30" s="173">
        <f t="shared" si="4"/>
        <v>3135003.7999999821</v>
      </c>
      <c r="T30" s="177">
        <f t="shared" si="5"/>
        <v>1.9554228379672356E-2</v>
      </c>
      <c r="W30" s="470"/>
      <c r="Y30" s="470"/>
    </row>
    <row r="31" spans="1:25">
      <c r="A31" s="135">
        <v>411</v>
      </c>
      <c r="B31" s="500" t="str">
        <f>+VLOOKUP($A31,Master!$D$30:$G$226,4,FALSE)</f>
        <v>Bruto zarade i doprinosi na teret poslodavca</v>
      </c>
      <c r="C31" s="501"/>
      <c r="D31" s="501"/>
      <c r="E31" s="501"/>
      <c r="F31" s="501"/>
      <c r="G31" s="148">
        <f>'2023'!S31</f>
        <v>642971390.56000006</v>
      </c>
      <c r="H31" s="148">
        <f>SUM('2023'!G107:R107)</f>
        <v>627306329.07000005</v>
      </c>
      <c r="I31" s="149">
        <f t="shared" si="0"/>
        <v>15665061.49000001</v>
      </c>
      <c r="J31" s="151">
        <f t="shared" si="1"/>
        <v>2.4971948733920613E-2</v>
      </c>
      <c r="K31" s="148">
        <f>SUM('2022'!G31:R31)</f>
        <v>542475528.12</v>
      </c>
      <c r="L31" s="149">
        <f t="shared" si="7"/>
        <v>100495862.44000006</v>
      </c>
      <c r="M31" s="153">
        <f t="shared" si="2"/>
        <v>0.18525418609808608</v>
      </c>
      <c r="N31" s="148">
        <f>'2023'!R31</f>
        <v>63771763.909999996</v>
      </c>
      <c r="O31" s="148">
        <f>'2023'!R107</f>
        <v>63971274.119999997</v>
      </c>
      <c r="P31" s="149">
        <f>+N31-O31</f>
        <v>-199510.21000000089</v>
      </c>
      <c r="Q31" s="151">
        <f>IF(+IF(ISERROR(N31/O31),"…",N31/O31-1)&gt;200%,"...",IF(ISERROR(N31/O31),"…",N31/O31-1))</f>
        <v>-3.1187468554362274E-3</v>
      </c>
      <c r="R31" s="148">
        <f>'2022'!R31</f>
        <v>54096780.950000003</v>
      </c>
      <c r="S31" s="149">
        <f t="shared" si="4"/>
        <v>9674982.9599999934</v>
      </c>
      <c r="T31" s="153">
        <f t="shared" si="5"/>
        <v>0.17884581651803422</v>
      </c>
      <c r="W31" s="470"/>
      <c r="Y31" s="470"/>
    </row>
    <row r="32" spans="1:25">
      <c r="A32" s="135">
        <v>412</v>
      </c>
      <c r="B32" s="500" t="str">
        <f>+VLOOKUP($A32,Master!$D$30:$G$226,4,FALSE)</f>
        <v>Ostala lična primanja</v>
      </c>
      <c r="C32" s="501"/>
      <c r="D32" s="501"/>
      <c r="E32" s="501"/>
      <c r="F32" s="501"/>
      <c r="G32" s="148">
        <f>'2023'!S32</f>
        <v>18419755.229999997</v>
      </c>
      <c r="H32" s="148">
        <f>SUM('2023'!G108:R108)</f>
        <v>19652018.739999998</v>
      </c>
      <c r="I32" s="149">
        <f t="shared" si="0"/>
        <v>-1232263.5100000016</v>
      </c>
      <c r="J32" s="151">
        <f t="shared" si="1"/>
        <v>-6.2704169291872058E-2</v>
      </c>
      <c r="K32" s="148">
        <f>SUM('2022'!G32:R32)</f>
        <v>18769988.849999998</v>
      </c>
      <c r="L32" s="149">
        <f t="shared" si="7"/>
        <v>-350233.62000000104</v>
      </c>
      <c r="M32" s="153">
        <f t="shared" si="2"/>
        <v>-1.8659234312757733E-2</v>
      </c>
      <c r="N32" s="148">
        <f>'2023'!R32</f>
        <v>2898398.44</v>
      </c>
      <c r="O32" s="148">
        <f>'2023'!R108</f>
        <v>2068659.9999999998</v>
      </c>
      <c r="P32" s="149">
        <f t="shared" si="6"/>
        <v>829738.44000000018</v>
      </c>
      <c r="Q32" s="151">
        <f t="shared" si="3"/>
        <v>0.40109947502247856</v>
      </c>
      <c r="R32" s="148">
        <f>'2022'!R32</f>
        <v>4199614.4400000004</v>
      </c>
      <c r="S32" s="149">
        <f t="shared" si="4"/>
        <v>-1301216.0000000005</v>
      </c>
      <c r="T32" s="153">
        <f t="shared" si="5"/>
        <v>-0.30984177680844438</v>
      </c>
      <c r="W32" s="470"/>
      <c r="Y32" s="470"/>
    </row>
    <row r="33" spans="1:25">
      <c r="A33" s="135">
        <v>413</v>
      </c>
      <c r="B33" s="500" t="str">
        <f>+VLOOKUP($A33,Master!$D$30:$G$226,4,FALSE)</f>
        <v>Rashodi za materijal</v>
      </c>
      <c r="C33" s="501"/>
      <c r="D33" s="501"/>
      <c r="E33" s="501"/>
      <c r="F33" s="501"/>
      <c r="G33" s="148">
        <f>'2023'!S33</f>
        <v>45738707.160000004</v>
      </c>
      <c r="H33" s="148">
        <f>SUM('2023'!G109:R109)</f>
        <v>53726729.589999996</v>
      </c>
      <c r="I33" s="149">
        <f t="shared" si="0"/>
        <v>-7988022.4299999923</v>
      </c>
      <c r="J33" s="151">
        <f t="shared" si="1"/>
        <v>-0.14867873944604992</v>
      </c>
      <c r="K33" s="148">
        <f>SUM('2022'!G33:R33)</f>
        <v>37040834.979999997</v>
      </c>
      <c r="L33" s="149">
        <f t="shared" si="7"/>
        <v>8697872.1800000072</v>
      </c>
      <c r="M33" s="153">
        <f t="shared" si="2"/>
        <v>0.23481846952684449</v>
      </c>
      <c r="N33" s="148">
        <f>'2023'!R33</f>
        <v>11505508.789999999</v>
      </c>
      <c r="O33" s="148">
        <f>'2023'!R109</f>
        <v>3805934.29</v>
      </c>
      <c r="P33" s="149">
        <f t="shared" si="6"/>
        <v>7699574.4999999991</v>
      </c>
      <c r="Q33" s="151" t="str">
        <f t="shared" si="3"/>
        <v>...</v>
      </c>
      <c r="R33" s="148">
        <f>'2022'!R33</f>
        <v>7777378.4400000004</v>
      </c>
      <c r="S33" s="149">
        <f t="shared" si="4"/>
        <v>3728130.3499999987</v>
      </c>
      <c r="T33" s="153">
        <f t="shared" si="5"/>
        <v>0.47935565676292313</v>
      </c>
      <c r="W33" s="470"/>
      <c r="Y33" s="470"/>
    </row>
    <row r="34" spans="1:25">
      <c r="A34" s="135">
        <v>414</v>
      </c>
      <c r="B34" s="500" t="str">
        <f>+VLOOKUP($A34,Master!$D$30:$G$226,4,FALSE)</f>
        <v>Rashodi za usluge</v>
      </c>
      <c r="C34" s="501"/>
      <c r="D34" s="501"/>
      <c r="E34" s="501"/>
      <c r="F34" s="501"/>
      <c r="G34" s="148">
        <f>'2023'!S34</f>
        <v>72361501.770000011</v>
      </c>
      <c r="H34" s="148">
        <f>SUM('2023'!G110:R110)</f>
        <v>66414663.019999959</v>
      </c>
      <c r="I34" s="149">
        <f t="shared" si="0"/>
        <v>5946838.7500000522</v>
      </c>
      <c r="J34" s="151">
        <f t="shared" si="1"/>
        <v>8.954105132189305E-2</v>
      </c>
      <c r="K34" s="148">
        <f>SUM('2022'!G34:R34)</f>
        <v>63498276.480000004</v>
      </c>
      <c r="L34" s="149">
        <f t="shared" si="7"/>
        <v>8863225.2900000066</v>
      </c>
      <c r="M34" s="153">
        <f t="shared" si="2"/>
        <v>0.13958213956864873</v>
      </c>
      <c r="N34" s="148">
        <f>'2023'!R34</f>
        <v>16479604.890000001</v>
      </c>
      <c r="O34" s="148">
        <f>'2023'!R110</f>
        <v>5829762.3700000001</v>
      </c>
      <c r="P34" s="149">
        <f t="shared" si="6"/>
        <v>10649842.52</v>
      </c>
      <c r="Q34" s="151">
        <f t="shared" si="3"/>
        <v>1.8268055958514138</v>
      </c>
      <c r="R34" s="148">
        <f>'2022'!R34</f>
        <v>14663182.699999999</v>
      </c>
      <c r="S34" s="149">
        <f t="shared" si="4"/>
        <v>1816422.1900000013</v>
      </c>
      <c r="T34" s="153">
        <f t="shared" si="5"/>
        <v>0.12387639349266255</v>
      </c>
      <c r="W34" s="470"/>
      <c r="Y34" s="470"/>
    </row>
    <row r="35" spans="1:25">
      <c r="A35" s="135">
        <v>415</v>
      </c>
      <c r="B35" s="500" t="str">
        <f>+VLOOKUP($A35,Master!$D$30:$G$226,4,FALSE)</f>
        <v>Rashodi za tekuće održavanje</v>
      </c>
      <c r="C35" s="501"/>
      <c r="D35" s="501"/>
      <c r="E35" s="501"/>
      <c r="F35" s="501"/>
      <c r="G35" s="148">
        <f>'2023'!S35</f>
        <v>30173825.100000001</v>
      </c>
      <c r="H35" s="148">
        <f>SUM('2023'!G111:R111)</f>
        <v>35579121.740000002</v>
      </c>
      <c r="I35" s="149">
        <f t="shared" si="0"/>
        <v>-5405296.6400000006</v>
      </c>
      <c r="J35" s="151">
        <f t="shared" si="1"/>
        <v>-0.15192327341579848</v>
      </c>
      <c r="K35" s="148">
        <f>SUM('2022'!G35:R35)</f>
        <v>27310215.390000001</v>
      </c>
      <c r="L35" s="149">
        <f t="shared" si="7"/>
        <v>2863609.7100000009</v>
      </c>
      <c r="M35" s="153">
        <f t="shared" si="2"/>
        <v>0.10485489290752903</v>
      </c>
      <c r="N35" s="148">
        <f>'2023'!R35</f>
        <v>8369875.8300000001</v>
      </c>
      <c r="O35" s="148">
        <f>'2023'!R111</f>
        <v>3208370.3400000008</v>
      </c>
      <c r="P35" s="149">
        <f t="shared" si="6"/>
        <v>5161505.4899999993</v>
      </c>
      <c r="Q35" s="151">
        <f t="shared" si="3"/>
        <v>1.6087623756053042</v>
      </c>
      <c r="R35" s="148">
        <f>'2022'!R35</f>
        <v>8346466.1799999997</v>
      </c>
      <c r="S35" s="149">
        <f t="shared" si="4"/>
        <v>23409.650000000373</v>
      </c>
      <c r="T35" s="153">
        <f t="shared" si="5"/>
        <v>2.80473789687119E-3</v>
      </c>
      <c r="W35" s="470"/>
      <c r="Y35" s="470"/>
    </row>
    <row r="36" spans="1:25">
      <c r="A36" s="135">
        <v>416</v>
      </c>
      <c r="B36" s="500" t="str">
        <f>+VLOOKUP($A36,Master!$D$30:$G$226,4,FALSE)</f>
        <v>Kamate</v>
      </c>
      <c r="C36" s="501"/>
      <c r="D36" s="501"/>
      <c r="E36" s="501"/>
      <c r="F36" s="501"/>
      <c r="G36" s="148">
        <f>'2023'!S36</f>
        <v>123850909.06</v>
      </c>
      <c r="H36" s="148">
        <f>SUM('2023'!G112:R112)</f>
        <v>109927809.38000001</v>
      </c>
      <c r="I36" s="149">
        <f t="shared" si="0"/>
        <v>13923099.679999992</v>
      </c>
      <c r="J36" s="151">
        <f t="shared" si="1"/>
        <v>0.12665675554281641</v>
      </c>
      <c r="K36" s="148">
        <f>SUM('2022'!G36:R36)</f>
        <v>91955959.900000006</v>
      </c>
      <c r="L36" s="149">
        <f t="shared" si="7"/>
        <v>31894949.159999996</v>
      </c>
      <c r="M36" s="153">
        <f t="shared" si="2"/>
        <v>0.34685026609134439</v>
      </c>
      <c r="N36" s="148">
        <f>'2023'!R36</f>
        <v>25730168.120000001</v>
      </c>
      <c r="O36" s="148">
        <f>'2023'!R112</f>
        <v>23741109.09</v>
      </c>
      <c r="P36" s="149">
        <f t="shared" si="6"/>
        <v>1989059.0300000012</v>
      </c>
      <c r="Q36" s="151">
        <f t="shared" si="3"/>
        <v>8.3781217737540992E-2</v>
      </c>
      <c r="R36" s="148">
        <f>'2022'!R36</f>
        <v>23105608.969999999</v>
      </c>
      <c r="S36" s="149">
        <f t="shared" si="4"/>
        <v>2624559.1500000022</v>
      </c>
      <c r="T36" s="153">
        <f t="shared" si="5"/>
        <v>0.11358969821603471</v>
      </c>
      <c r="W36" s="470"/>
      <c r="Y36" s="470"/>
    </row>
    <row r="37" spans="1:25">
      <c r="A37" s="135">
        <v>417</v>
      </c>
      <c r="B37" s="500" t="str">
        <f>+VLOOKUP($A37,Master!$D$30:$G$226,4,FALSE)</f>
        <v>Renta</v>
      </c>
      <c r="C37" s="501"/>
      <c r="D37" s="501"/>
      <c r="E37" s="501"/>
      <c r="F37" s="501"/>
      <c r="G37" s="148">
        <f>'2023'!S37</f>
        <v>11698322.590000004</v>
      </c>
      <c r="H37" s="148">
        <f>SUM('2023'!G113:R113)</f>
        <v>12254306.269999998</v>
      </c>
      <c r="I37" s="149">
        <f t="shared" si="0"/>
        <v>-555983.67999999411</v>
      </c>
      <c r="J37" s="151">
        <f t="shared" si="1"/>
        <v>-4.5370473672680101E-2</v>
      </c>
      <c r="K37" s="148">
        <f>SUM('2022'!G37:R37)</f>
        <v>12031200.050000001</v>
      </c>
      <c r="L37" s="149">
        <f t="shared" si="7"/>
        <v>-332877.45999999717</v>
      </c>
      <c r="M37" s="153">
        <f t="shared" si="2"/>
        <v>-2.7667851803361621E-2</v>
      </c>
      <c r="N37" s="148">
        <f>'2023'!R37</f>
        <v>2362235.2200000002</v>
      </c>
      <c r="O37" s="148">
        <f>'2023'!R113</f>
        <v>1167634.72</v>
      </c>
      <c r="P37" s="149">
        <f t="shared" si="6"/>
        <v>1194600.5000000002</v>
      </c>
      <c r="Q37" s="151">
        <f t="shared" si="3"/>
        <v>1.0230943629356966</v>
      </c>
      <c r="R37" s="148">
        <f>'2022'!R37</f>
        <v>2885818.54</v>
      </c>
      <c r="S37" s="149">
        <f t="shared" si="4"/>
        <v>-523583.31999999983</v>
      </c>
      <c r="T37" s="153">
        <f t="shared" si="5"/>
        <v>-0.1814332095877379</v>
      </c>
      <c r="W37" s="470"/>
      <c r="Y37" s="470"/>
    </row>
    <row r="38" spans="1:25">
      <c r="A38" s="135">
        <v>418</v>
      </c>
      <c r="B38" s="500" t="str">
        <f>+VLOOKUP($A38,Master!$D$30:$G$226,4,FALSE)</f>
        <v>Subvencije</v>
      </c>
      <c r="C38" s="501"/>
      <c r="D38" s="501"/>
      <c r="E38" s="501"/>
      <c r="F38" s="501"/>
      <c r="G38" s="148">
        <f>'2023'!S38</f>
        <v>74379966.019999996</v>
      </c>
      <c r="H38" s="148">
        <f>SUM('2023'!G114:R114)</f>
        <v>60973265.960000008</v>
      </c>
      <c r="I38" s="149">
        <f t="shared" si="0"/>
        <v>13406700.059999987</v>
      </c>
      <c r="J38" s="151">
        <f t="shared" si="1"/>
        <v>0.21987833272364177</v>
      </c>
      <c r="K38" s="148">
        <f>SUM('2022'!G38:R38)</f>
        <v>68429827.040000007</v>
      </c>
      <c r="L38" s="149">
        <f t="shared" si="7"/>
        <v>5950138.9799999893</v>
      </c>
      <c r="M38" s="153">
        <f t="shared" si="2"/>
        <v>8.6952418811783616E-2</v>
      </c>
      <c r="N38" s="148">
        <f>'2023'!R38</f>
        <v>21736324.34</v>
      </c>
      <c r="O38" s="148">
        <f>'2023'!R114</f>
        <v>4792392.9800000004</v>
      </c>
      <c r="P38" s="149">
        <f t="shared" si="6"/>
        <v>16943931.359999999</v>
      </c>
      <c r="Q38" s="151" t="str">
        <f t="shared" si="3"/>
        <v>...</v>
      </c>
      <c r="R38" s="148">
        <f>'2022'!R38</f>
        <v>19401589.34</v>
      </c>
      <c r="S38" s="149">
        <f t="shared" si="4"/>
        <v>2334735</v>
      </c>
      <c r="T38" s="153">
        <f t="shared" si="5"/>
        <v>0.1203373063456461</v>
      </c>
      <c r="W38" s="470"/>
      <c r="Y38" s="470"/>
    </row>
    <row r="39" spans="1:25">
      <c r="A39" s="135">
        <v>419</v>
      </c>
      <c r="B39" s="500" t="str">
        <f>+VLOOKUP($A39,Master!$D$30:$G$226,4,FALSE)</f>
        <v>Ostali izdaci</v>
      </c>
      <c r="C39" s="501"/>
      <c r="D39" s="501"/>
      <c r="E39" s="501"/>
      <c r="F39" s="501"/>
      <c r="G39" s="148">
        <f>'2023'!S39</f>
        <v>52689588.43</v>
      </c>
      <c r="H39" s="148">
        <f>SUM('2023'!G115:R115)</f>
        <v>68454343.420000017</v>
      </c>
      <c r="I39" s="149">
        <f t="shared" si="0"/>
        <v>-15764754.990000017</v>
      </c>
      <c r="J39" s="151">
        <f t="shared" si="1"/>
        <v>-0.23029590530546373</v>
      </c>
      <c r="K39" s="148">
        <f>SUM('2022'!G39:R39)</f>
        <v>62162110.410000004</v>
      </c>
      <c r="L39" s="149">
        <f t="shared" si="7"/>
        <v>-9472521.9800000042</v>
      </c>
      <c r="M39" s="153">
        <f t="shared" si="2"/>
        <v>-0.15238417610860522</v>
      </c>
      <c r="N39" s="148">
        <f>'2023'!R39</f>
        <v>10604699.25</v>
      </c>
      <c r="O39" s="148">
        <f>'2023'!R115</f>
        <v>4186784.6899999995</v>
      </c>
      <c r="P39" s="149">
        <f t="shared" si="6"/>
        <v>6417914.5600000005</v>
      </c>
      <c r="Q39" s="151">
        <f t="shared" si="3"/>
        <v>1.5328981629575993</v>
      </c>
      <c r="R39" s="148">
        <f>'2022'!R39</f>
        <v>25847135.43</v>
      </c>
      <c r="S39" s="149">
        <f t="shared" si="4"/>
        <v>-15242436.18</v>
      </c>
      <c r="T39" s="153">
        <f t="shared" si="5"/>
        <v>-0.58971471795317632</v>
      </c>
      <c r="W39" s="470"/>
      <c r="Y39" s="470"/>
    </row>
    <row r="40" spans="1:25">
      <c r="A40" s="135">
        <v>42</v>
      </c>
      <c r="B40" s="516" t="str">
        <f>+VLOOKUP($A40,Master!$D$30:$G$226,4,FALSE)</f>
        <v>Transferi za socijalnu zaštitu</v>
      </c>
      <c r="C40" s="517"/>
      <c r="D40" s="517"/>
      <c r="E40" s="517"/>
      <c r="F40" s="517"/>
      <c r="G40" s="178">
        <f>'2023'!S40</f>
        <v>825103858.23999977</v>
      </c>
      <c r="H40" s="178">
        <f>SUM('2023'!G116:R116)</f>
        <v>785182289.74000001</v>
      </c>
      <c r="I40" s="179">
        <f t="shared" si="0"/>
        <v>39921568.499999762</v>
      </c>
      <c r="J40" s="181">
        <f t="shared" si="1"/>
        <v>5.0843694542854756E-2</v>
      </c>
      <c r="K40" s="178">
        <f>SUM('2022'!G40:R40)</f>
        <v>667285836.71000004</v>
      </c>
      <c r="L40" s="179">
        <f t="shared" si="7"/>
        <v>157818021.52999973</v>
      </c>
      <c r="M40" s="183">
        <f t="shared" si="2"/>
        <v>0.2365073748726767</v>
      </c>
      <c r="N40" s="178">
        <f>'2023'!R40</f>
        <v>78822706.049999982</v>
      </c>
      <c r="O40" s="178">
        <f>'2023'!R116</f>
        <v>66197971.939999998</v>
      </c>
      <c r="P40" s="179">
        <f t="shared" si="6"/>
        <v>12624734.109999985</v>
      </c>
      <c r="Q40" s="181">
        <f t="shared" si="3"/>
        <v>0.19071179584538767</v>
      </c>
      <c r="R40" s="178">
        <f>'2022'!R40</f>
        <v>70551133.099999994</v>
      </c>
      <c r="S40" s="179">
        <f t="shared" si="4"/>
        <v>8271572.9499999881</v>
      </c>
      <c r="T40" s="183">
        <f t="shared" si="5"/>
        <v>0.11724224100378033</v>
      </c>
      <c r="W40" s="470"/>
      <c r="Y40" s="470"/>
    </row>
    <row r="41" spans="1:25">
      <c r="A41" s="135">
        <v>421</v>
      </c>
      <c r="B41" s="500" t="str">
        <f>+VLOOKUP($A41,Master!$D$30:$G$226,4,FALSE)</f>
        <v>Prava iz oblasti socijalne zaštite</v>
      </c>
      <c r="C41" s="501"/>
      <c r="D41" s="501"/>
      <c r="E41" s="501"/>
      <c r="F41" s="501"/>
      <c r="G41" s="148">
        <f>'2023'!S41</f>
        <v>209887201.35000002</v>
      </c>
      <c r="H41" s="148">
        <f>SUM('2023'!G117:R117)</f>
        <v>190160811.71000004</v>
      </c>
      <c r="I41" s="149">
        <f t="shared" si="0"/>
        <v>19726389.639999986</v>
      </c>
      <c r="J41" s="151">
        <f t="shared" si="1"/>
        <v>0.10373530414922305</v>
      </c>
      <c r="K41" s="148">
        <f>SUM('2022'!G41:R41)</f>
        <v>135296564.06</v>
      </c>
      <c r="L41" s="149">
        <f t="shared" si="7"/>
        <v>74590637.290000021</v>
      </c>
      <c r="M41" s="153">
        <f t="shared" si="2"/>
        <v>0.5513121327820365</v>
      </c>
      <c r="N41" s="148">
        <f>'2023'!R41</f>
        <v>18568343.829999998</v>
      </c>
      <c r="O41" s="148">
        <f>'2023'!R117</f>
        <v>15849234.41</v>
      </c>
      <c r="P41" s="149">
        <f t="shared" si="6"/>
        <v>2719109.4199999981</v>
      </c>
      <c r="Q41" s="151">
        <f t="shared" si="3"/>
        <v>0.17156093156678831</v>
      </c>
      <c r="R41" s="148">
        <f>'2022'!R41</f>
        <v>14201703.15</v>
      </c>
      <c r="S41" s="149">
        <f t="shared" si="4"/>
        <v>4366640.6799999978</v>
      </c>
      <c r="T41" s="153">
        <f t="shared" si="5"/>
        <v>0.30747302868388693</v>
      </c>
      <c r="W41" s="470"/>
      <c r="Y41" s="470"/>
    </row>
    <row r="42" spans="1:25">
      <c r="A42" s="135">
        <v>422</v>
      </c>
      <c r="B42" s="500" t="str">
        <f>+VLOOKUP($A42,Master!$D$30:$G$226,4,FALSE)</f>
        <v>Sredstva za tehnološke viškove</v>
      </c>
      <c r="C42" s="501"/>
      <c r="D42" s="501"/>
      <c r="E42" s="501"/>
      <c r="F42" s="501"/>
      <c r="G42" s="148">
        <f>'2023'!S42</f>
        <v>24251935.379999999</v>
      </c>
      <c r="H42" s="148">
        <f>SUM('2023'!G118:R118)</f>
        <v>28611075.999999996</v>
      </c>
      <c r="I42" s="149">
        <f t="shared" si="0"/>
        <v>-4359140.6199999973</v>
      </c>
      <c r="J42" s="151">
        <f t="shared" si="1"/>
        <v>-0.15235849990402306</v>
      </c>
      <c r="K42" s="148">
        <f>SUM('2022'!G42:R42)</f>
        <v>27720826.509999998</v>
      </c>
      <c r="L42" s="149">
        <f t="shared" si="7"/>
        <v>-3468891.129999999</v>
      </c>
      <c r="M42" s="153">
        <f t="shared" si="2"/>
        <v>-0.12513664153370874</v>
      </c>
      <c r="N42" s="148">
        <f>'2023'!R42</f>
        <v>3910936.66</v>
      </c>
      <c r="O42" s="148">
        <f>'2023'!R118</f>
        <v>2859361.37</v>
      </c>
      <c r="P42" s="149">
        <f t="shared" si="6"/>
        <v>1051575.29</v>
      </c>
      <c r="Q42" s="151">
        <f t="shared" si="3"/>
        <v>0.3677657889041146</v>
      </c>
      <c r="R42" s="148">
        <f>'2022'!R42</f>
        <v>4540579.0999999996</v>
      </c>
      <c r="S42" s="149">
        <f t="shared" si="4"/>
        <v>-629642.43999999948</v>
      </c>
      <c r="T42" s="153">
        <f t="shared" si="5"/>
        <v>-0.13867007404407938</v>
      </c>
      <c r="W42" s="470"/>
      <c r="Y42" s="470"/>
    </row>
    <row r="43" spans="1:25">
      <c r="A43" s="135">
        <v>423</v>
      </c>
      <c r="B43" s="500" t="str">
        <f>+VLOOKUP($A43,Master!$D$30:$G$226,4,FALSE)</f>
        <v>Prava iz oblasti penzijskog i invalidskog osiguranja</v>
      </c>
      <c r="C43" s="501"/>
      <c r="D43" s="501"/>
      <c r="E43" s="501"/>
      <c r="F43" s="501"/>
      <c r="G43" s="148">
        <f>'2023'!S43</f>
        <v>553808878.5999999</v>
      </c>
      <c r="H43" s="148">
        <f>SUM('2023'!G119:R119)</f>
        <v>529750402.03000009</v>
      </c>
      <c r="I43" s="149">
        <f t="shared" si="0"/>
        <v>24058476.569999814</v>
      </c>
      <c r="J43" s="151">
        <f t="shared" si="1"/>
        <v>4.5414739616634447E-2</v>
      </c>
      <c r="K43" s="148">
        <f>SUM('2022'!G43:R43)</f>
        <v>470084623.37999994</v>
      </c>
      <c r="L43" s="149">
        <f t="shared" si="7"/>
        <v>83724255.219999969</v>
      </c>
      <c r="M43" s="153">
        <f t="shared" si="2"/>
        <v>0.1781046455380868</v>
      </c>
      <c r="N43" s="148">
        <f>'2023'!R43</f>
        <v>49983172.299999997</v>
      </c>
      <c r="O43" s="148">
        <f>'2023'!R119</f>
        <v>44134376.159999996</v>
      </c>
      <c r="P43" s="149">
        <f t="shared" si="6"/>
        <v>5848796.1400000006</v>
      </c>
      <c r="Q43" s="151">
        <f t="shared" si="3"/>
        <v>0.13252246092244313</v>
      </c>
      <c r="R43" s="148">
        <f>'2022'!R43</f>
        <v>42725535.82</v>
      </c>
      <c r="S43" s="149">
        <f t="shared" si="4"/>
        <v>7257636.4799999967</v>
      </c>
      <c r="T43" s="153">
        <f t="shared" si="5"/>
        <v>0.16986648243748093</v>
      </c>
      <c r="W43" s="470"/>
      <c r="Y43" s="470"/>
    </row>
    <row r="44" spans="1:25">
      <c r="A44" s="135">
        <v>424</v>
      </c>
      <c r="B44" s="500" t="str">
        <f>+VLOOKUP($A44,Master!$D$30:$G$226,4,FALSE)</f>
        <v>Ostala prava iz oblasti zdravstvene zaštite</v>
      </c>
      <c r="C44" s="501"/>
      <c r="D44" s="501"/>
      <c r="E44" s="501"/>
      <c r="F44" s="501"/>
      <c r="G44" s="148">
        <f>'2023'!S44</f>
        <v>20559593.510000002</v>
      </c>
      <c r="H44" s="148">
        <f>SUM('2023'!G120:R120)</f>
        <v>21060000</v>
      </c>
      <c r="I44" s="149">
        <f t="shared" si="0"/>
        <v>-500406.48999999836</v>
      </c>
      <c r="J44" s="151">
        <f t="shared" si="1"/>
        <v>-2.3760991927825215E-2</v>
      </c>
      <c r="K44" s="148">
        <f>SUM('2022'!G44:R44)</f>
        <v>16743251.67</v>
      </c>
      <c r="L44" s="149">
        <f t="shared" si="7"/>
        <v>3816341.8400000017</v>
      </c>
      <c r="M44" s="153">
        <f t="shared" si="2"/>
        <v>0.22793313480666333</v>
      </c>
      <c r="N44" s="148">
        <f>'2023'!R44</f>
        <v>3362791.1</v>
      </c>
      <c r="O44" s="148">
        <f>'2023'!R120</f>
        <v>1755000</v>
      </c>
      <c r="P44" s="149">
        <f t="shared" si="6"/>
        <v>1607791.1</v>
      </c>
      <c r="Q44" s="151">
        <f t="shared" si="3"/>
        <v>0.91612028490028496</v>
      </c>
      <c r="R44" s="148">
        <f>'2022'!R44</f>
        <v>3263110.76</v>
      </c>
      <c r="S44" s="149">
        <f t="shared" si="4"/>
        <v>99680.340000000317</v>
      </c>
      <c r="T44" s="153">
        <f t="shared" si="5"/>
        <v>3.0547642213652804E-2</v>
      </c>
      <c r="W44" s="470"/>
      <c r="Y44" s="470"/>
    </row>
    <row r="45" spans="1:25">
      <c r="A45" s="135">
        <v>425</v>
      </c>
      <c r="B45" s="500" t="str">
        <f>+VLOOKUP($A45,Master!$D$30:$G$226,4,FALSE)</f>
        <v>Ostala prava iz zdravstvenog osiguranja</v>
      </c>
      <c r="C45" s="501"/>
      <c r="D45" s="501"/>
      <c r="E45" s="501"/>
      <c r="F45" s="501"/>
      <c r="G45" s="148">
        <f>'2023'!S45</f>
        <v>16596249.4</v>
      </c>
      <c r="H45" s="148">
        <f>SUM('2023'!G121:R121)</f>
        <v>15600000</v>
      </c>
      <c r="I45" s="149">
        <f t="shared" si="0"/>
        <v>996249.40000000037</v>
      </c>
      <c r="J45" s="151">
        <f t="shared" si="1"/>
        <v>6.3862141025641028E-2</v>
      </c>
      <c r="K45" s="148">
        <f>SUM('2022'!G45:R45)</f>
        <v>17440571.089999996</v>
      </c>
      <c r="L45" s="149">
        <f t="shared" si="7"/>
        <v>-844321.68999999575</v>
      </c>
      <c r="M45" s="153">
        <f t="shared" si="2"/>
        <v>-4.8411355662780431E-2</v>
      </c>
      <c r="N45" s="148">
        <f>'2023'!R45</f>
        <v>2997462.16</v>
      </c>
      <c r="O45" s="148">
        <f>'2023'!R121</f>
        <v>1600000</v>
      </c>
      <c r="P45" s="149">
        <f t="shared" si="6"/>
        <v>1397462.1600000001</v>
      </c>
      <c r="Q45" s="151">
        <f t="shared" si="3"/>
        <v>0.87341385000000016</v>
      </c>
      <c r="R45" s="148">
        <f>'2022'!R45</f>
        <v>5820204.2699999996</v>
      </c>
      <c r="S45" s="149">
        <f t="shared" si="4"/>
        <v>-2822742.1099999994</v>
      </c>
      <c r="T45" s="153">
        <f t="shared" si="5"/>
        <v>-0.48499021323868408</v>
      </c>
      <c r="W45" s="470"/>
      <c r="Y45" s="470"/>
    </row>
    <row r="46" spans="1:25">
      <c r="A46" s="135">
        <v>43</v>
      </c>
      <c r="B46" s="514" t="str">
        <f>+VLOOKUP($A46,Master!$D$30:$G$226,4,FALSE)</f>
        <v xml:space="preserve">Transferi institucijama, pojedincima, nevladinom i javnom sektoru </v>
      </c>
      <c r="C46" s="515"/>
      <c r="D46" s="515"/>
      <c r="E46" s="515"/>
      <c r="F46" s="515"/>
      <c r="G46" s="160">
        <f>'2023'!S46</f>
        <v>380730194.92000002</v>
      </c>
      <c r="H46" s="160">
        <f>SUM('2023'!G122:R122)</f>
        <v>352429586.06000006</v>
      </c>
      <c r="I46" s="161">
        <f t="shared" si="0"/>
        <v>28300608.859999955</v>
      </c>
      <c r="J46" s="163">
        <f t="shared" si="1"/>
        <v>8.0301455891906404E-2</v>
      </c>
      <c r="K46" s="160">
        <f>SUM('2022'!G46:R46)</f>
        <v>353517907.92999995</v>
      </c>
      <c r="L46" s="161">
        <f t="shared" si="7"/>
        <v>27212286.990000069</v>
      </c>
      <c r="M46" s="165">
        <f t="shared" si="2"/>
        <v>7.6975695939534683E-2</v>
      </c>
      <c r="N46" s="160">
        <f>'2023'!R46</f>
        <v>71009194.980000004</v>
      </c>
      <c r="O46" s="160">
        <f>'2023'!R122</f>
        <v>30699834.289999999</v>
      </c>
      <c r="P46" s="161">
        <f t="shared" si="6"/>
        <v>40309360.690000005</v>
      </c>
      <c r="Q46" s="163">
        <f t="shared" si="3"/>
        <v>1.3130155788212239</v>
      </c>
      <c r="R46" s="160">
        <f>'2022'!R46</f>
        <v>74410165.640000001</v>
      </c>
      <c r="S46" s="161">
        <f t="shared" si="4"/>
        <v>-3400970.6599999964</v>
      </c>
      <c r="T46" s="165">
        <f t="shared" si="5"/>
        <v>-4.5705726237111999E-2</v>
      </c>
      <c r="W46" s="470"/>
      <c r="Y46" s="470"/>
    </row>
    <row r="47" spans="1:25">
      <c r="A47" s="135">
        <v>44</v>
      </c>
      <c r="B47" s="514" t="str">
        <f>+VLOOKUP($A47,Master!$D$30:$G$226,4,FALSE)</f>
        <v>Kapitalni izdaci</v>
      </c>
      <c r="C47" s="515"/>
      <c r="D47" s="515"/>
      <c r="E47" s="515"/>
      <c r="F47" s="515"/>
      <c r="G47" s="160">
        <f>'2023'!S47</f>
        <v>238821591.17999998</v>
      </c>
      <c r="H47" s="160">
        <f>SUM('2023'!G123:R123)</f>
        <v>251078526.93000001</v>
      </c>
      <c r="I47" s="161">
        <f t="shared" si="0"/>
        <v>-12256935.75000003</v>
      </c>
      <c r="J47" s="163">
        <f t="shared" si="1"/>
        <v>-4.8817140596882802E-2</v>
      </c>
      <c r="K47" s="160">
        <f>SUM('2022'!G47:R47)</f>
        <v>240457880.17999998</v>
      </c>
      <c r="L47" s="161">
        <f t="shared" si="7"/>
        <v>-1636289</v>
      </c>
      <c r="M47" s="165">
        <f t="shared" si="2"/>
        <v>-6.8048882356240847E-3</v>
      </c>
      <c r="N47" s="160">
        <f>'2023'!R47</f>
        <v>78975209.599999994</v>
      </c>
      <c r="O47" s="160">
        <f>'2023'!R123</f>
        <v>20698124.890000001</v>
      </c>
      <c r="P47" s="161">
        <f t="shared" si="6"/>
        <v>58277084.709999993</v>
      </c>
      <c r="Q47" s="163" t="str">
        <f t="shared" si="3"/>
        <v>...</v>
      </c>
      <c r="R47" s="160">
        <f>'2022'!R47</f>
        <v>56610814.030000001</v>
      </c>
      <c r="S47" s="161">
        <f t="shared" si="4"/>
        <v>22364395.569999993</v>
      </c>
      <c r="T47" s="165">
        <f t="shared" si="5"/>
        <v>0.39505518430009401</v>
      </c>
      <c r="W47" s="470"/>
      <c r="Y47" s="470"/>
    </row>
    <row r="48" spans="1:25">
      <c r="A48" s="135">
        <v>451</v>
      </c>
      <c r="B48" s="518" t="str">
        <f>+VLOOKUP($A48,Master!$D$30:$G$226,4,FALSE)</f>
        <v>Pozajmice i krediti</v>
      </c>
      <c r="C48" s="519"/>
      <c r="D48" s="519"/>
      <c r="E48" s="519"/>
      <c r="F48" s="519"/>
      <c r="G48" s="148">
        <f>'2023'!S48</f>
        <v>0</v>
      </c>
      <c r="H48" s="148">
        <f>SUM('2023'!G124:R124)</f>
        <v>4524007</v>
      </c>
      <c r="I48" s="149">
        <f>G48-H48</f>
        <v>-4524007</v>
      </c>
      <c r="J48" s="266">
        <f t="shared" si="1"/>
        <v>-1</v>
      </c>
      <c r="K48" s="148">
        <f>SUM('2022'!G48:R48)</f>
        <v>0</v>
      </c>
      <c r="L48" s="263">
        <f t="shared" si="7"/>
        <v>0</v>
      </c>
      <c r="M48" s="475" t="str">
        <f t="shared" si="2"/>
        <v>...</v>
      </c>
      <c r="N48" s="148">
        <f>'2023'!R48</f>
        <v>0</v>
      </c>
      <c r="O48" s="148">
        <f>'2023'!R124</f>
        <v>262400</v>
      </c>
      <c r="P48" s="149">
        <f t="shared" si="6"/>
        <v>-262400</v>
      </c>
      <c r="Q48" s="266">
        <f t="shared" si="3"/>
        <v>-1</v>
      </c>
      <c r="R48" s="148">
        <f>'2022'!R48</f>
        <v>0</v>
      </c>
      <c r="S48" s="263">
        <f>+N48-R48-S58</f>
        <v>11982261.57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518" t="str">
        <f>+VLOOKUP($A49,Master!$D$30:$G$226,4,FALSE)</f>
        <v>Rezerve</v>
      </c>
      <c r="C49" s="519"/>
      <c r="D49" s="519"/>
      <c r="E49" s="519"/>
      <c r="F49" s="519"/>
      <c r="G49" s="148">
        <f>'2023'!S49</f>
        <v>18267919.309999999</v>
      </c>
      <c r="H49" s="148">
        <f>SUM('2023'!G125:R125)</f>
        <v>38847999</v>
      </c>
      <c r="I49" s="149">
        <f t="shared" ref="I49:I50" si="8">G49-H49</f>
        <v>-20580079.690000001</v>
      </c>
      <c r="J49" s="267">
        <f t="shared" si="1"/>
        <v>-0.52975906661241423</v>
      </c>
      <c r="K49" s="148">
        <f>SUM('2022'!G49:R49)</f>
        <v>24955729.25</v>
      </c>
      <c r="L49" s="264">
        <f t="shared" si="7"/>
        <v>-6687809.9400000013</v>
      </c>
      <c r="M49" s="476">
        <f t="shared" si="2"/>
        <v>-0.26798695694296337</v>
      </c>
      <c r="N49" s="148">
        <f>'2023'!R49</f>
        <v>5408961.6500000004</v>
      </c>
      <c r="O49" s="148">
        <f>'2023'!R125</f>
        <v>3920057.41</v>
      </c>
      <c r="P49" s="149">
        <f t="shared" si="6"/>
        <v>1488904.2400000002</v>
      </c>
      <c r="Q49" s="267">
        <f t="shared" si="3"/>
        <v>0.37981694762985629</v>
      </c>
      <c r="R49" s="148">
        <f>'2022'!R49</f>
        <v>5259111.3499999996</v>
      </c>
      <c r="S49" s="264">
        <f t="shared" si="4"/>
        <v>149850.30000000075</v>
      </c>
      <c r="T49" s="476">
        <f t="shared" si="5"/>
        <v>2.8493464014600178E-2</v>
      </c>
      <c r="W49" s="470"/>
      <c r="Y49" s="470"/>
    </row>
    <row r="50" spans="1:25" ht="15.75" thickBot="1">
      <c r="A50" s="135">
        <v>462</v>
      </c>
      <c r="B50" s="520" t="str">
        <f>+VLOOKUP($A50,Master!$D$30:$G$226,4,FALSE)</f>
        <v>Otplata garancija</v>
      </c>
      <c r="C50" s="521"/>
      <c r="D50" s="521"/>
      <c r="E50" s="521"/>
      <c r="F50" s="521"/>
      <c r="G50" s="148">
        <f>'2023'!S50</f>
        <v>2813572.16</v>
      </c>
      <c r="H50" s="148">
        <f>SUM('2023'!G126:R126)</f>
        <v>1.9999999999999998</v>
      </c>
      <c r="I50" s="149">
        <f t="shared" si="8"/>
        <v>2813570.16</v>
      </c>
      <c r="J50" s="268" t="str">
        <f t="shared" si="1"/>
        <v>...</v>
      </c>
      <c r="K50" s="148">
        <f>SUM('2022'!G50:R50)</f>
        <v>500000</v>
      </c>
      <c r="L50" s="264">
        <f t="shared" si="7"/>
        <v>2313572.16</v>
      </c>
      <c r="M50" s="477" t="str">
        <f t="shared" si="2"/>
        <v>...</v>
      </c>
      <c r="N50" s="148">
        <f>'2023'!R50</f>
        <v>0</v>
      </c>
      <c r="O50" s="148">
        <f>'2023'!R126</f>
        <v>0.24</v>
      </c>
      <c r="P50" s="149">
        <f t="shared" si="6"/>
        <v>-0.24</v>
      </c>
      <c r="Q50" s="268">
        <f t="shared" si="3"/>
        <v>-1</v>
      </c>
      <c r="R50" s="148">
        <f>'2022'!R50</f>
        <v>0</v>
      </c>
      <c r="S50" s="264">
        <f t="shared" si="4"/>
        <v>0</v>
      </c>
      <c r="T50" s="477" t="str">
        <f t="shared" si="5"/>
        <v>...</v>
      </c>
      <c r="W50" s="470"/>
      <c r="Y50" s="470"/>
    </row>
    <row r="51" spans="1:25" ht="15" customHeight="1" thickBot="1">
      <c r="A51" s="129">
        <v>4630</v>
      </c>
      <c r="B51" s="520" t="str">
        <f>+VLOOKUP($A51,Master!$D$30:$G$226,4,FALSE)</f>
        <v>Otplata obaveza iz prethodnog perioda</v>
      </c>
      <c r="C51" s="521"/>
      <c r="D51" s="521"/>
      <c r="E51" s="521"/>
      <c r="F51" s="521"/>
      <c r="G51" s="295">
        <f>'2023'!S51</f>
        <v>17357730.27</v>
      </c>
      <c r="H51" s="295">
        <f>SUM('2023'!G127:R127)</f>
        <v>27432150.66000006</v>
      </c>
      <c r="I51" s="265">
        <f>G51-H51</f>
        <v>-10074420.39000006</v>
      </c>
      <c r="J51" s="269">
        <f t="shared" si="1"/>
        <v>-0.36724865340908119</v>
      </c>
      <c r="K51" s="295">
        <f>SUM('2022'!G51:R51)</f>
        <v>35376645.609999999</v>
      </c>
      <c r="L51" s="271">
        <f t="shared" si="7"/>
        <v>-18018915.34</v>
      </c>
      <c r="M51" s="478">
        <f t="shared" si="2"/>
        <v>-0.50934493729689712</v>
      </c>
      <c r="N51" s="295">
        <f>'2023'!R51</f>
        <v>2451894.2200000002</v>
      </c>
      <c r="O51" s="295">
        <f>'2023'!R127</f>
        <v>2360369.3100000061</v>
      </c>
      <c r="P51" s="265">
        <f>N51-O51</f>
        <v>91524.909999994095</v>
      </c>
      <c r="Q51" s="269">
        <f t="shared" si="3"/>
        <v>3.8775673625409901E-2</v>
      </c>
      <c r="R51" s="295">
        <f>'2022'!R51</f>
        <v>2171719.34</v>
      </c>
      <c r="S51" s="271">
        <f>+N51-R51</f>
        <v>280174.88000000035</v>
      </c>
      <c r="T51" s="478">
        <f t="shared" si="5"/>
        <v>0.1290106298910616</v>
      </c>
      <c r="W51" s="470"/>
      <c r="Y51" s="470"/>
    </row>
    <row r="52" spans="1:25" ht="15.75" thickBot="1">
      <c r="A52" s="129">
        <v>1005</v>
      </c>
      <c r="B52" s="520" t="str">
        <f>+VLOOKUP($A52,Master!$D$30:$G$228,4,FALSE)</f>
        <v>Neto povećanje obaveza</v>
      </c>
      <c r="C52" s="521"/>
      <c r="D52" s="521"/>
      <c r="E52" s="521"/>
      <c r="F52" s="521"/>
      <c r="G52" s="148">
        <f>'2023'!S52</f>
        <v>0</v>
      </c>
      <c r="H52" s="148">
        <f>SUM('2023'!G128:R128)</f>
        <v>0</v>
      </c>
      <c r="I52" s="265">
        <f>G52-H52</f>
        <v>0</v>
      </c>
      <c r="J52" s="269" t="str">
        <f t="shared" si="1"/>
        <v>...</v>
      </c>
      <c r="K52" s="148">
        <f>SUM('2022'!G52:R52)</f>
        <v>0</v>
      </c>
      <c r="L52" s="271">
        <f t="shared" si="7"/>
        <v>0</v>
      </c>
      <c r="M52" s="478" t="str">
        <f t="shared" si="2"/>
        <v>...</v>
      </c>
      <c r="N52" s="148">
        <f>'2023'!R52</f>
        <v>0</v>
      </c>
      <c r="O52" s="148">
        <f>'2023'!R128</f>
        <v>0</v>
      </c>
      <c r="P52" s="265">
        <f>N52-O52</f>
        <v>0</v>
      </c>
      <c r="Q52" s="269" t="str">
        <f t="shared" si="3"/>
        <v>...</v>
      </c>
      <c r="R52" s="148">
        <f>'2022'!R52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.7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>'2023'!S53</f>
        <v>9958766.870000273</v>
      </c>
      <c r="H53" s="136">
        <f>SUM('2023'!G129:R129)</f>
        <v>-366316934.00610411</v>
      </c>
      <c r="I53" s="299">
        <f>+G53-H53</f>
        <v>376275700.87610435</v>
      </c>
      <c r="J53" s="270">
        <f t="shared" si="1"/>
        <v>-1.0271862039275377</v>
      </c>
      <c r="K53" s="136">
        <f>SUM('2022'!G53:R53)</f>
        <v>-250360402.64999998</v>
      </c>
      <c r="L53" s="272">
        <f t="shared" si="7"/>
        <v>260319169.52000025</v>
      </c>
      <c r="M53" s="479">
        <f t="shared" si="2"/>
        <v>-1.039777723492171</v>
      </c>
      <c r="N53" s="136">
        <f>'2023'!R53</f>
        <v>-146355720.66999993</v>
      </c>
      <c r="O53" s="136">
        <f>'2023'!R129</f>
        <v>-10316938.668598384</v>
      </c>
      <c r="P53" s="299">
        <f>N53-O53</f>
        <v>-136038782.00140154</v>
      </c>
      <c r="Q53" s="270" t="str">
        <f t="shared" si="3"/>
        <v>...</v>
      </c>
      <c r="R53" s="136">
        <f>'2022'!R53</f>
        <v>-150955487.20000002</v>
      </c>
      <c r="S53" s="272">
        <f t="shared" si="4"/>
        <v>4599766.5300000906</v>
      </c>
      <c r="T53" s="479">
        <f t="shared" si="5"/>
        <v>-3.0471012450881574E-2</v>
      </c>
      <c r="W53" s="470"/>
      <c r="Y53" s="470"/>
    </row>
    <row r="54" spans="1:25" ht="15.7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36">
        <f>'2023'!S54</f>
        <v>133809675.93000025</v>
      </c>
      <c r="H54" s="136">
        <f>SUM('2023'!G130:R130)</f>
        <v>-256389124.626104</v>
      </c>
      <c r="I54" s="191">
        <f t="shared" si="0"/>
        <v>390198800.55610424</v>
      </c>
      <c r="J54" s="193">
        <f t="shared" si="1"/>
        <v>-1.521900748033431</v>
      </c>
      <c r="K54" s="136">
        <f>SUM('2022'!G54:R54)</f>
        <v>-158404442.75</v>
      </c>
      <c r="L54" s="191">
        <f t="shared" si="7"/>
        <v>292214118.68000025</v>
      </c>
      <c r="M54" s="195">
        <f t="shared" si="2"/>
        <v>-1.8447343622879557</v>
      </c>
      <c r="N54" s="136">
        <f>'2023'!R54</f>
        <v>-120625552.54999992</v>
      </c>
      <c r="O54" s="136">
        <f>'2023'!R130</f>
        <v>13424170.421401616</v>
      </c>
      <c r="P54" s="191">
        <f t="shared" si="6"/>
        <v>-134049722.97140154</v>
      </c>
      <c r="Q54" s="193">
        <f t="shared" si="3"/>
        <v>-9.9856988375007099</v>
      </c>
      <c r="R54" s="136">
        <f>'2022'!R54</f>
        <v>-127849878.23000002</v>
      </c>
      <c r="S54" s="191">
        <f t="shared" si="4"/>
        <v>7224325.6800000966</v>
      </c>
      <c r="T54" s="195">
        <f t="shared" si="5"/>
        <v>-5.6506316470662954E-2</v>
      </c>
      <c r="W54" s="470"/>
      <c r="Y54" s="470"/>
    </row>
    <row r="55" spans="1:25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460">
        <f>'2023'!S55</f>
        <v>301206013.87</v>
      </c>
      <c r="H55" s="460">
        <f>SUM('2023'!G131:R131)</f>
        <v>338085896.69000006</v>
      </c>
      <c r="I55" s="461">
        <f t="shared" si="0"/>
        <v>-36879882.820000052</v>
      </c>
      <c r="J55" s="462">
        <f t="shared" si="1"/>
        <v>-0.10908435749929013</v>
      </c>
      <c r="K55" s="460">
        <f>SUM('2022'!G55:R55)</f>
        <v>291576693.18000001</v>
      </c>
      <c r="L55" s="461">
        <f t="shared" si="7"/>
        <v>9629320.6899999976</v>
      </c>
      <c r="M55" s="480">
        <f t="shared" si="2"/>
        <v>3.3025001364068274E-2</v>
      </c>
      <c r="N55" s="460">
        <f>'2023'!R55</f>
        <v>24921546.210000001</v>
      </c>
      <c r="O55" s="460">
        <f>'2023'!R131</f>
        <v>22194542.870000001</v>
      </c>
      <c r="P55" s="461">
        <f t="shared" si="6"/>
        <v>2727003.34</v>
      </c>
      <c r="Q55" s="462">
        <f t="shared" si="3"/>
        <v>0.12286819133752225</v>
      </c>
      <c r="R55" s="460">
        <f>'2022'!R55</f>
        <v>11425725.890000001</v>
      </c>
      <c r="S55" s="461">
        <f t="shared" si="4"/>
        <v>13495820.32</v>
      </c>
      <c r="T55" s="480">
        <f t="shared" si="5"/>
        <v>1.1811783732543226</v>
      </c>
      <c r="W55" s="470"/>
      <c r="Y55" s="470"/>
    </row>
    <row r="56" spans="1:25">
      <c r="A56" s="129">
        <v>4611</v>
      </c>
      <c r="B56" s="518" t="str">
        <f>+VLOOKUP($A56,Master!$D$30:$G$226,4,FALSE)</f>
        <v>Otplata hartija od vrijednosti i kredita rezidentima</v>
      </c>
      <c r="C56" s="519"/>
      <c r="D56" s="519"/>
      <c r="E56" s="519"/>
      <c r="F56" s="519"/>
      <c r="G56" s="148">
        <f>'2023'!S56</f>
        <v>74535564.899999991</v>
      </c>
      <c r="H56" s="148">
        <f>SUM('2023'!G132:R132)</f>
        <v>96555896.690000013</v>
      </c>
      <c r="I56" s="197">
        <f t="shared" si="0"/>
        <v>-22020331.790000021</v>
      </c>
      <c r="J56" s="199">
        <f t="shared" si="1"/>
        <v>-0.22805786642630388</v>
      </c>
      <c r="K56" s="148">
        <f>SUM('2022'!G56:R56)</f>
        <v>40523363.729999997</v>
      </c>
      <c r="L56" s="197">
        <f t="shared" si="7"/>
        <v>34012201.169999994</v>
      </c>
      <c r="M56" s="201">
        <f t="shared" si="2"/>
        <v>0.83932324563719019</v>
      </c>
      <c r="N56" s="148">
        <f>'2023'!R56</f>
        <v>750761.52</v>
      </c>
      <c r="O56" s="148">
        <f>'2023'!R132</f>
        <v>753598.01</v>
      </c>
      <c r="P56" s="197">
        <f t="shared" si="6"/>
        <v>-2836.4899999999907</v>
      </c>
      <c r="Q56" s="199">
        <f t="shared" si="3"/>
        <v>-3.7639297906320035E-3</v>
      </c>
      <c r="R56" s="148">
        <f>'2022'!R56</f>
        <v>1337203.54</v>
      </c>
      <c r="S56" s="197">
        <f t="shared" si="4"/>
        <v>-586442.02</v>
      </c>
      <c r="T56" s="201">
        <f t="shared" si="5"/>
        <v>-0.43855853088752672</v>
      </c>
      <c r="W56" s="470"/>
      <c r="Y56" s="470"/>
    </row>
    <row r="57" spans="1:25">
      <c r="A57" s="129">
        <v>4612</v>
      </c>
      <c r="B57" s="518" t="str">
        <f>+VLOOKUP($A57,Master!$D$30:$G$226,4,FALSE)</f>
        <v>Otplata hartija od vrijednosti i kredita nerezidentima</v>
      </c>
      <c r="C57" s="519"/>
      <c r="D57" s="519"/>
      <c r="E57" s="519"/>
      <c r="F57" s="519"/>
      <c r="G57" s="148">
        <f>'2023'!S57</f>
        <v>226670448.96999997</v>
      </c>
      <c r="H57" s="148">
        <f>SUM('2023'!G133:R133)</f>
        <v>241530000</v>
      </c>
      <c r="I57" s="197">
        <f t="shared" si="0"/>
        <v>-14859551.030000031</v>
      </c>
      <c r="J57" s="199">
        <f t="shared" si="1"/>
        <v>-6.1522589450585974E-2</v>
      </c>
      <c r="K57" s="148">
        <f>SUM('2022'!G57:R57)</f>
        <v>251053329.44999999</v>
      </c>
      <c r="L57" s="197">
        <f t="shared" si="7"/>
        <v>-24382880.480000019</v>
      </c>
      <c r="M57" s="201">
        <f t="shared" si="2"/>
        <v>-9.7122314742518201E-2</v>
      </c>
      <c r="N57" s="148">
        <f>'2023'!R57</f>
        <v>24170784.690000001</v>
      </c>
      <c r="O57" s="148">
        <f>'2023'!R133</f>
        <v>21440944.859999999</v>
      </c>
      <c r="P57" s="197">
        <f t="shared" si="6"/>
        <v>2729839.8300000019</v>
      </c>
      <c r="Q57" s="199">
        <f t="shared" si="3"/>
        <v>0.12731900799263562</v>
      </c>
      <c r="R57" s="148">
        <f>'2022'!R57</f>
        <v>10088522.35</v>
      </c>
      <c r="S57" s="197">
        <f t="shared" si="4"/>
        <v>14082262.340000002</v>
      </c>
      <c r="T57" s="201">
        <f t="shared" si="5"/>
        <v>1.3958696676723923</v>
      </c>
      <c r="W57" s="470"/>
      <c r="Y57" s="470"/>
    </row>
    <row r="58" spans="1:25" ht="15.75" thickBot="1">
      <c r="A58" s="129">
        <v>4418</v>
      </c>
      <c r="B58" s="516" t="str">
        <f>+VLOOKUP($A58,Master!$D$30:$G$226,4,FALSE)</f>
        <v>Izdaci za kupovinu hartija od vrijednosti</v>
      </c>
      <c r="C58" s="517"/>
      <c r="D58" s="517"/>
      <c r="E58" s="517"/>
      <c r="F58" s="517"/>
      <c r="G58" s="313">
        <f>'2023'!S58</f>
        <v>859046.62</v>
      </c>
      <c r="H58" s="313">
        <f>SUM('2023'!G134:R134)</f>
        <v>779000</v>
      </c>
      <c r="I58" s="314">
        <f t="shared" ref="I58:I66" si="9">+G58-H58</f>
        <v>80046.62</v>
      </c>
      <c r="J58" s="315">
        <f t="shared" si="1"/>
        <v>0.10275560975609754</v>
      </c>
      <c r="K58" s="313">
        <f>SUM('2022'!G58:R58)</f>
        <v>27692761.82</v>
      </c>
      <c r="L58" s="314">
        <f t="shared" ref="L58:L66" si="10">+G58-K58</f>
        <v>-26833715.199999999</v>
      </c>
      <c r="M58" s="481">
        <f t="shared" si="2"/>
        <v>-0.96897938076441381</v>
      </c>
      <c r="N58" s="313">
        <f>'2023'!R58</f>
        <v>138179.85999999999</v>
      </c>
      <c r="O58" s="313">
        <f>'2023'!R134</f>
        <v>10000</v>
      </c>
      <c r="P58" s="314">
        <f t="shared" ref="P58:P66" si="11">+N58-O58</f>
        <v>128179.85999999999</v>
      </c>
      <c r="Q58" s="315" t="str">
        <f t="shared" si="3"/>
        <v>...</v>
      </c>
      <c r="R58" s="313">
        <f>'2022'!R58</f>
        <v>12120441.43</v>
      </c>
      <c r="S58" s="314">
        <f t="shared" ref="S58:S66" si="12">+N58-R58</f>
        <v>-11982261.57</v>
      </c>
      <c r="T58" s="481">
        <f t="shared" si="5"/>
        <v>-0.98859943667909789</v>
      </c>
      <c r="W58" s="470"/>
      <c r="Y58" s="470"/>
    </row>
    <row r="59" spans="1:25" ht="15.75" thickBot="1">
      <c r="A59" s="129">
        <v>451</v>
      </c>
      <c r="B59" s="510" t="str">
        <f>+VLOOKUP($A59,Master!$D$30:$G$226,4,FALSE)</f>
        <v>Pozajmice i krediti</v>
      </c>
      <c r="C59" s="511"/>
      <c r="D59" s="511"/>
      <c r="E59" s="511"/>
      <c r="F59" s="511"/>
      <c r="G59" s="313">
        <f>'2023'!S59</f>
        <v>10111595.669999998</v>
      </c>
      <c r="H59" s="313">
        <f>SUM('2023'!G135:R135)</f>
        <v>0</v>
      </c>
      <c r="I59" s="314">
        <f t="shared" si="9"/>
        <v>10111595.669999998</v>
      </c>
      <c r="J59" s="315" t="str">
        <f t="shared" si="1"/>
        <v>...</v>
      </c>
      <c r="K59" s="313">
        <f>SUM('2022'!G59:R59)</f>
        <v>23121894.740000002</v>
      </c>
      <c r="L59" s="314">
        <f t="shared" si="10"/>
        <v>-13010299.070000004</v>
      </c>
      <c r="M59" s="481">
        <f t="shared" si="2"/>
        <v>-0.5626830852876723</v>
      </c>
      <c r="N59" s="313">
        <f>'2023'!R59</f>
        <v>822000.46</v>
      </c>
      <c r="O59" s="313">
        <f>'2023'!R135</f>
        <v>0</v>
      </c>
      <c r="P59" s="314">
        <f t="shared" si="11"/>
        <v>822000.46</v>
      </c>
      <c r="Q59" s="315" t="str">
        <f t="shared" si="3"/>
        <v>...</v>
      </c>
      <c r="R59" s="313">
        <f>'2022'!R59</f>
        <v>516876.49</v>
      </c>
      <c r="S59" s="314">
        <f t="shared" si="12"/>
        <v>305123.96999999997</v>
      </c>
      <c r="T59" s="481">
        <f t="shared" si="5"/>
        <v>0.59032278678413097</v>
      </c>
      <c r="W59" s="470"/>
      <c r="Y59" s="470"/>
    </row>
    <row r="60" spans="1:25" ht="15.75" thickBot="1">
      <c r="A60" s="129">
        <v>1002</v>
      </c>
      <c r="B60" s="544" t="str">
        <f>+VLOOKUP($A60,Master!$D$30:$G$226,4,FALSE)</f>
        <v>Nedostajuća sredstva</v>
      </c>
      <c r="C60" s="545"/>
      <c r="D60" s="545"/>
      <c r="E60" s="545"/>
      <c r="F60" s="545"/>
      <c r="G60" s="298">
        <f>'2023'!S60</f>
        <v>-302217889.28999978</v>
      </c>
      <c r="H60" s="298">
        <f>SUM('2023'!G136:R136)</f>
        <v>-705181830.69610417</v>
      </c>
      <c r="I60" s="300">
        <f t="shared" si="9"/>
        <v>402963941.40610439</v>
      </c>
      <c r="J60" s="301">
        <f t="shared" si="1"/>
        <v>-0.57143267716969914</v>
      </c>
      <c r="K60" s="298">
        <f>SUM('2022'!G60:R60)</f>
        <v>-592751752.3900001</v>
      </c>
      <c r="L60" s="300">
        <f>+G60-K60</f>
        <v>290533863.10000032</v>
      </c>
      <c r="M60" s="482">
        <f t="shared" si="2"/>
        <v>-0.49014424998079809</v>
      </c>
      <c r="N60" s="298">
        <f>'2023'!R60</f>
        <v>-172237447.19999996</v>
      </c>
      <c r="O60" s="298">
        <f>'2023'!R136</f>
        <v>-32521481.538598385</v>
      </c>
      <c r="P60" s="300">
        <f t="shared" si="11"/>
        <v>-139715965.66140157</v>
      </c>
      <c r="Q60" s="301" t="str">
        <f t="shared" si="3"/>
        <v>...</v>
      </c>
      <c r="R60" s="298">
        <f>'2022'!R60</f>
        <v>-175018531.01000005</v>
      </c>
      <c r="S60" s="300">
        <f t="shared" si="12"/>
        <v>2781083.8100000918</v>
      </c>
      <c r="T60" s="482">
        <f t="shared" si="5"/>
        <v>-1.5890224846197509E-2</v>
      </c>
      <c r="W60" s="470"/>
      <c r="Y60" s="470"/>
    </row>
    <row r="61" spans="1:25" ht="15.75" thickBot="1">
      <c r="A61" s="129">
        <v>1003</v>
      </c>
      <c r="B61" s="508" t="str">
        <f>+VLOOKUP($A61,Master!$D$30:$G$226,4,FALSE)</f>
        <v>Finansiranje</v>
      </c>
      <c r="C61" s="509"/>
      <c r="D61" s="509"/>
      <c r="E61" s="509"/>
      <c r="F61" s="509"/>
      <c r="G61" s="136">
        <f>'2023'!S61</f>
        <v>302217889.28999972</v>
      </c>
      <c r="H61" s="136">
        <f>SUM('2023'!G137:R137)</f>
        <v>705181830.69610417</v>
      </c>
      <c r="I61" s="299">
        <f t="shared" si="9"/>
        <v>-402963941.40610445</v>
      </c>
      <c r="J61" s="302">
        <f t="shared" si="1"/>
        <v>-0.57143267716969937</v>
      </c>
      <c r="K61" s="136">
        <f>SUM('2022'!G61:R61)</f>
        <v>592751752.38999987</v>
      </c>
      <c r="L61" s="299">
        <f t="shared" si="10"/>
        <v>-290533863.10000014</v>
      </c>
      <c r="M61" s="483">
        <f t="shared" si="2"/>
        <v>-0.49014424998079797</v>
      </c>
      <c r="N61" s="136">
        <f>'2023'!R61</f>
        <v>172237447.19999996</v>
      </c>
      <c r="O61" s="136">
        <f>'2023'!R137</f>
        <v>32521481.538598385</v>
      </c>
      <c r="P61" s="300">
        <f t="shared" si="11"/>
        <v>139715965.66140157</v>
      </c>
      <c r="Q61" s="302" t="str">
        <f t="shared" si="3"/>
        <v>...</v>
      </c>
      <c r="R61" s="136">
        <f>'2022'!R61</f>
        <v>175018531.01000005</v>
      </c>
      <c r="S61" s="299">
        <f t="shared" si="12"/>
        <v>-2781083.8100000918</v>
      </c>
      <c r="T61" s="483">
        <f t="shared" si="5"/>
        <v>-1.5890224846197509E-2</v>
      </c>
      <c r="W61" s="470"/>
      <c r="Y61" s="470"/>
    </row>
    <row r="62" spans="1:25">
      <c r="A62" s="129">
        <v>7511</v>
      </c>
      <c r="B62" s="542" t="str">
        <f>+VLOOKUP($A62,Master!$D$30:$G$226,4,FALSE)</f>
        <v>Pozajmice i krediti od domaćih izvora</v>
      </c>
      <c r="C62" s="543"/>
      <c r="D62" s="543"/>
      <c r="E62" s="543"/>
      <c r="F62" s="543"/>
      <c r="G62" s="148">
        <f>'2023'!S62</f>
        <v>159000000</v>
      </c>
      <c r="H62" s="148">
        <f>SUM('2023'!G138:R138)</f>
        <v>100000000</v>
      </c>
      <c r="I62" s="197">
        <f t="shared" si="9"/>
        <v>59000000</v>
      </c>
      <c r="J62" s="199">
        <f t="shared" si="1"/>
        <v>0.59000000000000008</v>
      </c>
      <c r="K62" s="148">
        <f>SUM('2022'!G62:R62)</f>
        <v>105000000</v>
      </c>
      <c r="L62" s="197">
        <f t="shared" si="10"/>
        <v>54000000</v>
      </c>
      <c r="M62" s="201">
        <f t="shared" si="2"/>
        <v>0.51428571428571423</v>
      </c>
      <c r="N62" s="148">
        <f>'2023'!R62</f>
        <v>159000000</v>
      </c>
      <c r="O62" s="148">
        <f>'2023'!R138</f>
        <v>0</v>
      </c>
      <c r="P62" s="197">
        <f t="shared" si="11"/>
        <v>159000000</v>
      </c>
      <c r="Q62" s="199" t="str">
        <f t="shared" si="3"/>
        <v>...</v>
      </c>
      <c r="R62" s="148">
        <f>'2022'!R62</f>
        <v>53000000</v>
      </c>
      <c r="S62" s="197">
        <f t="shared" si="12"/>
        <v>106000000</v>
      </c>
      <c r="T62" s="201">
        <f t="shared" si="5"/>
        <v>2</v>
      </c>
      <c r="W62" s="470"/>
      <c r="Y62" s="470"/>
    </row>
    <row r="63" spans="1:25">
      <c r="A63" s="129">
        <v>7512</v>
      </c>
      <c r="B63" s="518" t="str">
        <f>+VLOOKUP($A63,Master!$D$30:$G$226,4,FALSE)</f>
        <v>Pozajmice i krediti od inostranih izvora</v>
      </c>
      <c r="C63" s="519"/>
      <c r="D63" s="519"/>
      <c r="E63" s="519"/>
      <c r="F63" s="519"/>
      <c r="G63" s="148">
        <f>'2023'!S63</f>
        <v>156474242.11999997</v>
      </c>
      <c r="H63" s="148">
        <f>SUM('2023'!G139:R139)</f>
        <v>499181830.68901968</v>
      </c>
      <c r="I63" s="197">
        <f t="shared" si="9"/>
        <v>-342707588.56901968</v>
      </c>
      <c r="J63" s="199">
        <f t="shared" si="1"/>
        <v>-0.68653858674299317</v>
      </c>
      <c r="K63" s="148">
        <f>SUM('2022'!G63:R63)</f>
        <v>111187337.61000001</v>
      </c>
      <c r="L63" s="197">
        <f t="shared" si="10"/>
        <v>45286904.509999961</v>
      </c>
      <c r="M63" s="201">
        <f t="shared" si="2"/>
        <v>0.40730271525025641</v>
      </c>
      <c r="N63" s="148">
        <f>'2023'!R63</f>
        <v>28672539.25</v>
      </c>
      <c r="O63" s="148">
        <f>'2023'!R139</f>
        <v>0</v>
      </c>
      <c r="P63" s="197">
        <f t="shared" si="11"/>
        <v>28672539.25</v>
      </c>
      <c r="Q63" s="199" t="str">
        <f t="shared" si="3"/>
        <v>...</v>
      </c>
      <c r="R63" s="148">
        <f>'2022'!R63</f>
        <v>7590650.9500000002</v>
      </c>
      <c r="S63" s="197">
        <f t="shared" si="12"/>
        <v>21081888.300000001</v>
      </c>
      <c r="T63" s="201" t="str">
        <f t="shared" si="5"/>
        <v>...</v>
      </c>
      <c r="W63" s="470"/>
      <c r="Y63" s="470"/>
    </row>
    <row r="64" spans="1:25">
      <c r="A64" s="129">
        <v>72</v>
      </c>
      <c r="B64" s="518" t="str">
        <f>+VLOOKUP($A64,Master!$D$30:$G$226,4,FALSE)</f>
        <v>Primici od prodaje imovine</v>
      </c>
      <c r="C64" s="519"/>
      <c r="D64" s="519"/>
      <c r="E64" s="519"/>
      <c r="F64" s="519"/>
      <c r="G64" s="148">
        <f>'2023'!S64</f>
        <v>2717869.5300000007</v>
      </c>
      <c r="H64" s="148">
        <f>SUM('2023'!G140:R140)</f>
        <v>6000000</v>
      </c>
      <c r="I64" s="197">
        <f t="shared" si="9"/>
        <v>-3282130.4699999993</v>
      </c>
      <c r="J64" s="199">
        <f t="shared" si="1"/>
        <v>-0.54702174499999989</v>
      </c>
      <c r="K64" s="148">
        <f>SUM('2022'!G64:R64)</f>
        <v>4515414.7</v>
      </c>
      <c r="L64" s="197">
        <f t="shared" si="10"/>
        <v>-1797545.1699999995</v>
      </c>
      <c r="M64" s="201">
        <f t="shared" si="2"/>
        <v>-0.3980908265192119</v>
      </c>
      <c r="N64" s="148">
        <f>'2023'!R64</f>
        <v>209358.1</v>
      </c>
      <c r="O64" s="148">
        <f>'2023'!R140</f>
        <v>500000</v>
      </c>
      <c r="P64" s="197">
        <f t="shared" si="11"/>
        <v>-290641.90000000002</v>
      </c>
      <c r="Q64" s="199">
        <f t="shared" si="3"/>
        <v>-0.58128380000000002</v>
      </c>
      <c r="R64" s="148">
        <f>'2022'!R64</f>
        <v>148667.54</v>
      </c>
      <c r="S64" s="197">
        <f t="shared" si="12"/>
        <v>60690.559999999998</v>
      </c>
      <c r="T64" s="201">
        <f t="shared" si="5"/>
        <v>0.4082300682448905</v>
      </c>
      <c r="W64" s="470"/>
      <c r="Y64" s="470"/>
    </row>
    <row r="65" spans="1:25">
      <c r="A65" s="129">
        <v>73</v>
      </c>
      <c r="B65" s="518" t="str">
        <f>+VLOOKUP($A65,Master!$D$30:$G$226,4,FALSE)</f>
        <v>Primici od otplate kredita i sredstva prenesena iz prethodne godine</v>
      </c>
      <c r="C65" s="519"/>
      <c r="D65" s="519"/>
      <c r="E65" s="519"/>
      <c r="F65" s="519"/>
      <c r="G65" s="148">
        <f>'2023'!S65</f>
        <v>13797839.82</v>
      </c>
      <c r="H65" s="148">
        <f>SUM('2023'!G141:R141)</f>
        <v>0</v>
      </c>
      <c r="I65" s="197">
        <f t="shared" si="9"/>
        <v>13797839.82</v>
      </c>
      <c r="J65" s="199" t="str">
        <f t="shared" si="1"/>
        <v>...</v>
      </c>
      <c r="K65" s="148">
        <f>SUM('2022'!G65:R65)</f>
        <v>15044565.630000003</v>
      </c>
      <c r="L65" s="197">
        <f t="shared" si="10"/>
        <v>-1246725.8100000024</v>
      </c>
      <c r="M65" s="201">
        <f t="shared" si="2"/>
        <v>-8.2868847174553006E-2</v>
      </c>
      <c r="N65" s="148">
        <f>'2023'!R65</f>
        <v>2208210.4</v>
      </c>
      <c r="O65" s="148">
        <f>'2023'!R141</f>
        <v>0</v>
      </c>
      <c r="P65" s="197">
        <f t="shared" si="11"/>
        <v>2208210.4</v>
      </c>
      <c r="Q65" s="199" t="str">
        <f t="shared" si="3"/>
        <v>...</v>
      </c>
      <c r="R65" s="148">
        <f>'2022'!R65</f>
        <v>1811357.71</v>
      </c>
      <c r="S65" s="197">
        <f t="shared" si="12"/>
        <v>396852.68999999994</v>
      </c>
      <c r="T65" s="201">
        <f t="shared" si="5"/>
        <v>0.21909128595036043</v>
      </c>
      <c r="W65" s="470"/>
      <c r="Y65" s="470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'2023'!S66</f>
        <v>-29772062.180000186</v>
      </c>
      <c r="H66" s="296">
        <f>SUM('2023'!G142:R142)</f>
        <v>100000000.00708437</v>
      </c>
      <c r="I66" s="211">
        <f t="shared" si="9"/>
        <v>-129772062.18708456</v>
      </c>
      <c r="J66" s="213">
        <f t="shared" si="1"/>
        <v>-1.2977206217789101</v>
      </c>
      <c r="K66" s="296">
        <f>SUM('2022'!G66:R66)</f>
        <v>357004434.45000005</v>
      </c>
      <c r="L66" s="211">
        <f t="shared" si="10"/>
        <v>-386776496.63000023</v>
      </c>
      <c r="M66" s="215">
        <f t="shared" si="2"/>
        <v>-1.0833940962830531</v>
      </c>
      <c r="N66" s="296">
        <f>'2023'!R66</f>
        <v>-17852660.550000042</v>
      </c>
      <c r="O66" s="296">
        <f>'2023'!R142</f>
        <v>32021481.538598385</v>
      </c>
      <c r="P66" s="211">
        <f t="shared" si="11"/>
        <v>-49874142.08859843</v>
      </c>
      <c r="Q66" s="213">
        <f t="shared" si="3"/>
        <v>-1.5575213791554465</v>
      </c>
      <c r="R66" s="296">
        <f>'2022'!R66</f>
        <v>112467854.81000005</v>
      </c>
      <c r="S66" s="211">
        <f t="shared" si="12"/>
        <v>-130320515.36000009</v>
      </c>
      <c r="T66" s="215">
        <f t="shared" si="5"/>
        <v>-1.1587356723408642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n1no8+C0sm7dIB/mevClRTxlLjtiILVlXPYBCTITzXx3VeK2FDKVnPZdCXVmChs30/7cF+0PkPNb1SMpeNz2+g==" saltValue="gketm2GUnRbwd2mjCmbW2A==" spinCount="100000" sheet="1" objects="1" scenarios="1"/>
  <mergeCells count="63"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</mergeCells>
  <pageMargins left="0.11811023622047245" right="0.11811023622047245" top="0.19685039370078741" bottom="0.19685039370078741" header="0.31496062992125984" footer="0.31496062992125984"/>
  <pageSetup paperSize="9" scale="52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zoomScale="90" zoomScaleNormal="90" workbookViewId="0">
      <pane ySplit="1" topLeftCell="A2" activePane="bottomLeft" state="frozen"/>
      <selection pane="bottomLeft" activeCell="J104" sqref="J104"/>
    </sheetView>
  </sheetViews>
  <sheetFormatPr defaultColWidth="9.140625" defaultRowHeight="12.75"/>
  <cols>
    <col min="1" max="1" width="5.42578125" style="61" customWidth="1"/>
    <col min="2" max="4" width="9.140625" style="243"/>
    <col min="5" max="5" width="27.855468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28" t="str">
        <f>+Master!G252</f>
        <v>Ostvarenje budžeta</v>
      </c>
      <c r="C7" s="529"/>
      <c r="D7" s="529"/>
      <c r="E7" s="529"/>
      <c r="F7" s="529"/>
      <c r="G7" s="537">
        <v>2023</v>
      </c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41"/>
      <c r="S7" s="220" t="str">
        <f>+Master!G249</f>
        <v>BDP</v>
      </c>
      <c r="T7" s="221">
        <v>6174600000</v>
      </c>
    </row>
    <row r="8" spans="1:24" ht="16.5" customHeight="1">
      <c r="A8" s="129"/>
      <c r="B8" s="530"/>
      <c r="C8" s="531"/>
      <c r="D8" s="531"/>
      <c r="E8" s="531"/>
      <c r="F8" s="532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37" t="str">
        <f>+Master!G247</f>
        <v>Jan - Dec</v>
      </c>
      <c r="T8" s="541"/>
    </row>
    <row r="9" spans="1:24" ht="13.5" thickBot="1">
      <c r="A9" s="129"/>
      <c r="B9" s="533"/>
      <c r="C9" s="534"/>
      <c r="D9" s="534"/>
      <c r="E9" s="534"/>
      <c r="F9" s="535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08" t="str">
        <f>+VLOOKUP($A10,Master!$D$30:$G$226,4,FALSE)</f>
        <v>Prihodi budžeta</v>
      </c>
      <c r="C10" s="509"/>
      <c r="D10" s="509"/>
      <c r="E10" s="509"/>
      <c r="F10" s="509"/>
      <c r="G10" s="136">
        <f>+G11+G19+SUM(G24:G28)</f>
        <v>167639562.44999999</v>
      </c>
      <c r="H10" s="136">
        <f t="shared" ref="H10:L10" si="2">+H11+H19+SUM(H24:H28)</f>
        <v>142406833.72</v>
      </c>
      <c r="I10" s="136">
        <f t="shared" si="2"/>
        <v>232411249.90999997</v>
      </c>
      <c r="J10" s="136">
        <f t="shared" si="2"/>
        <v>254923419.54000002</v>
      </c>
      <c r="K10" s="136">
        <f t="shared" si="2"/>
        <v>186627871.02000001</v>
      </c>
      <c r="L10" s="136">
        <f t="shared" si="2"/>
        <v>252466787.10999998</v>
      </c>
      <c r="M10" s="136">
        <f t="shared" ref="M10:R10" si="3">+M11+M19+SUM(M24:M28)</f>
        <v>206826314.81</v>
      </c>
      <c r="N10" s="136">
        <f t="shared" si="3"/>
        <v>243418459.81</v>
      </c>
      <c r="O10" s="136">
        <f t="shared" si="3"/>
        <v>215956957.82000005</v>
      </c>
      <c r="P10" s="136">
        <f t="shared" si="3"/>
        <v>220012875.28999999</v>
      </c>
      <c r="Q10" s="136">
        <f t="shared" si="3"/>
        <v>188876442.76999998</v>
      </c>
      <c r="R10" s="136">
        <f t="shared" si="3"/>
        <v>253770824.62000003</v>
      </c>
      <c r="S10" s="224">
        <f>+SUM(G10:R10)</f>
        <v>2565337598.8699994</v>
      </c>
      <c r="T10" s="434">
        <f>+S10/$T$7*100</f>
        <v>41.546620005668373</v>
      </c>
      <c r="V10" s="493"/>
    </row>
    <row r="11" spans="1:24">
      <c r="A11" s="135">
        <v>711</v>
      </c>
      <c r="B11" s="498" t="str">
        <f>+VLOOKUP($A11,Master!$D$30:$G$226,4,FALSE)</f>
        <v>Porezi</v>
      </c>
      <c r="C11" s="499"/>
      <c r="D11" s="499"/>
      <c r="E11" s="499"/>
      <c r="F11" s="499"/>
      <c r="G11" s="142">
        <f t="shared" ref="G11:I11" si="4">+SUM(G12:G18)</f>
        <v>103490146.19</v>
      </c>
      <c r="H11" s="142">
        <f t="shared" si="4"/>
        <v>91059566.450000003</v>
      </c>
      <c r="I11" s="142">
        <f t="shared" si="4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Q11" si="5">+SUM(M12:M18)</f>
        <v>142475459.99000001</v>
      </c>
      <c r="N11" s="142">
        <f t="shared" si="5"/>
        <v>165353455.13</v>
      </c>
      <c r="O11" s="142">
        <f t="shared" si="5"/>
        <v>156517964.88000003</v>
      </c>
      <c r="P11" s="142">
        <f t="shared" si="5"/>
        <v>146031901.31</v>
      </c>
      <c r="Q11" s="142">
        <f t="shared" si="5"/>
        <v>117280381.45999999</v>
      </c>
      <c r="R11" s="225">
        <f>+SUM(R12:R18)</f>
        <v>137012115.60000002</v>
      </c>
      <c r="S11" s="226">
        <f>+SUM(G11:R11)</f>
        <v>1664875352.5099998</v>
      </c>
      <c r="T11" s="435">
        <f t="shared" ref="T11:T66" si="6">+S11/$T$7*100</f>
        <v>26.963290780131505</v>
      </c>
      <c r="V11" s="276"/>
    </row>
    <row r="12" spans="1:24">
      <c r="A12" s="135">
        <v>7111</v>
      </c>
      <c r="B12" s="500" t="str">
        <f>+VLOOKUP($A12,Master!$D$30:$G$226,4,FALSE)</f>
        <v>Porez na dohodak fizičkih lica</v>
      </c>
      <c r="C12" s="501"/>
      <c r="D12" s="501"/>
      <c r="E12" s="501"/>
      <c r="F12" s="501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>
        <v>6808747.9500000002</v>
      </c>
      <c r="Q12" s="148">
        <v>5681629.2400000002</v>
      </c>
      <c r="R12" s="148">
        <v>10598117.26</v>
      </c>
      <c r="S12" s="227">
        <f>+SUM(G12:R12)</f>
        <v>66411591</v>
      </c>
      <c r="T12" s="436">
        <f t="shared" si="6"/>
        <v>1.0755610241958993</v>
      </c>
    </row>
    <row r="13" spans="1:24">
      <c r="A13" s="135">
        <v>7112</v>
      </c>
      <c r="B13" s="500" t="str">
        <f>+VLOOKUP($A13,Master!$D$30:$G$226,4,FALSE)</f>
        <v>Porez na dobit pravnih lica</v>
      </c>
      <c r="C13" s="501"/>
      <c r="D13" s="501"/>
      <c r="E13" s="501"/>
      <c r="F13" s="501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>
        <v>2296101.2799999998</v>
      </c>
      <c r="Q13" s="148">
        <v>3538790.81</v>
      </c>
      <c r="R13" s="148">
        <v>4457656.51</v>
      </c>
      <c r="S13" s="227">
        <f t="shared" ref="S13:S65" si="7">+SUM(G13:R13)</f>
        <v>151284476.47</v>
      </c>
      <c r="T13" s="436">
        <f t="shared" si="6"/>
        <v>2.4501097475140088</v>
      </c>
      <c r="V13" s="276"/>
      <c r="W13" s="276"/>
      <c r="X13" s="494"/>
    </row>
    <row r="14" spans="1:24">
      <c r="A14" s="135">
        <v>7113</v>
      </c>
      <c r="B14" s="500" t="str">
        <f>+VLOOKUP($A14,Master!$D$30:$G$226,4,FALSE)</f>
        <v>Porez na promet nepokretnosti</v>
      </c>
      <c r="C14" s="501"/>
      <c r="D14" s="501"/>
      <c r="E14" s="501"/>
      <c r="F14" s="501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7"/>
        <v>0</v>
      </c>
      <c r="T14" s="436">
        <f t="shared" si="6"/>
        <v>0</v>
      </c>
      <c r="V14" s="276"/>
      <c r="W14" s="276"/>
      <c r="X14" s="494"/>
    </row>
    <row r="15" spans="1:24">
      <c r="A15" s="135">
        <v>7114</v>
      </c>
      <c r="B15" s="500" t="str">
        <f>+VLOOKUP($A15,Master!$D$30:$G$226,4,FALSE)</f>
        <v>Porez na dodatu vrijednost</v>
      </c>
      <c r="C15" s="501"/>
      <c r="D15" s="501"/>
      <c r="E15" s="501"/>
      <c r="F15" s="501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92697116.170000002</v>
      </c>
      <c r="N15" s="148">
        <v>112001434.97</v>
      </c>
      <c r="O15" s="148">
        <v>109706758.48999999</v>
      </c>
      <c r="P15" s="148">
        <v>102950012.68000001</v>
      </c>
      <c r="Q15" s="148">
        <v>78394633.030000001</v>
      </c>
      <c r="R15" s="148">
        <v>87929424.079999998</v>
      </c>
      <c r="S15" s="227">
        <f t="shared" si="7"/>
        <v>1059267077.4700001</v>
      </c>
      <c r="T15" s="436">
        <f t="shared" si="6"/>
        <v>17.155233982282255</v>
      </c>
      <c r="V15" s="276"/>
      <c r="W15" s="276"/>
      <c r="X15" s="494"/>
    </row>
    <row r="16" spans="1:24">
      <c r="A16" s="135">
        <v>7115</v>
      </c>
      <c r="B16" s="500" t="str">
        <f>+VLOOKUP($A16,Master!$D$30:$G$226,4,FALSE)</f>
        <v>Akcize</v>
      </c>
      <c r="C16" s="501"/>
      <c r="D16" s="501"/>
      <c r="E16" s="501"/>
      <c r="F16" s="501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>
        <v>28234460.510000002</v>
      </c>
      <c r="Q16" s="148">
        <v>24175706.739999998</v>
      </c>
      <c r="R16" s="148">
        <v>28494203.899999999</v>
      </c>
      <c r="S16" s="227">
        <f t="shared" si="7"/>
        <v>323121644.95999998</v>
      </c>
      <c r="T16" s="436">
        <f t="shared" si="6"/>
        <v>5.2330781744566446</v>
      </c>
      <c r="V16" s="276"/>
      <c r="W16" s="276"/>
      <c r="X16" s="494"/>
    </row>
    <row r="17" spans="1:24">
      <c r="A17" s="135">
        <v>7116</v>
      </c>
      <c r="B17" s="500" t="str">
        <f>+VLOOKUP($A17,Master!$D$30:$G$226,4,FALSE)</f>
        <v>Porez na međunarodnu trgovinu i transakcije</v>
      </c>
      <c r="C17" s="501"/>
      <c r="D17" s="501"/>
      <c r="E17" s="501"/>
      <c r="F17" s="501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>
        <v>4489829.42</v>
      </c>
      <c r="Q17" s="148">
        <v>4266242.05</v>
      </c>
      <c r="R17" s="148">
        <v>4403080.1100000003</v>
      </c>
      <c r="S17" s="227">
        <f t="shared" si="7"/>
        <v>52191310.710000001</v>
      </c>
      <c r="T17" s="436">
        <f t="shared" si="6"/>
        <v>0.84525816587309299</v>
      </c>
      <c r="V17" s="276"/>
      <c r="W17" s="276"/>
      <c r="X17" s="494"/>
    </row>
    <row r="18" spans="1:24">
      <c r="A18" s="135">
        <v>7118</v>
      </c>
      <c r="B18" s="500" t="str">
        <f>+VLOOKUP($A18,Master!$D$30:$G$226,4,FALSE)</f>
        <v>Ostali državni porezi</v>
      </c>
      <c r="C18" s="501"/>
      <c r="D18" s="501"/>
      <c r="E18" s="501"/>
      <c r="F18" s="501"/>
      <c r="G18" s="148">
        <v>972158.69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 t="s">
        <v>857</v>
      </c>
      <c r="N18" s="148">
        <v>1261191.29</v>
      </c>
      <c r="O18" s="148">
        <v>1361723.05</v>
      </c>
      <c r="P18" s="148">
        <v>1252749.47</v>
      </c>
      <c r="Q18" s="148">
        <v>1223379.5900000001</v>
      </c>
      <c r="R18" s="148">
        <v>1129633.74</v>
      </c>
      <c r="S18" s="227">
        <f>+SUM(G18:R18)</f>
        <v>12599251.9</v>
      </c>
      <c r="T18" s="436">
        <f t="shared" si="6"/>
        <v>0.20404968580960708</v>
      </c>
      <c r="V18" s="276"/>
      <c r="W18" s="276"/>
      <c r="X18" s="494"/>
    </row>
    <row r="19" spans="1:24">
      <c r="A19" s="135">
        <v>712</v>
      </c>
      <c r="B19" s="502" t="str">
        <f>+VLOOKUP($A19,Master!$D$30:$G$226,4,FALSE)</f>
        <v>Doprinosi</v>
      </c>
      <c r="C19" s="503"/>
      <c r="D19" s="503"/>
      <c r="E19" s="503"/>
      <c r="F19" s="503"/>
      <c r="G19" s="154">
        <v>15617329.630000003</v>
      </c>
      <c r="H19" s="154">
        <v>41494879.25999999</v>
      </c>
      <c r="I19" s="154">
        <v>42670635.130000003</v>
      </c>
      <c r="J19" s="154">
        <f t="shared" ref="J19:L19" si="8">SUM(J20:J23)</f>
        <v>47597807.860000007</v>
      </c>
      <c r="K19" s="154">
        <f t="shared" si="8"/>
        <v>45975315.240000002</v>
      </c>
      <c r="L19" s="154">
        <f t="shared" si="8"/>
        <v>48052163.109999999</v>
      </c>
      <c r="M19" s="154">
        <f t="shared" ref="M19:R19" si="9">SUM(M20:M23)</f>
        <v>48400583.619999997</v>
      </c>
      <c r="N19" s="154">
        <f t="shared" si="9"/>
        <v>49792973.810000002</v>
      </c>
      <c r="O19" s="154">
        <f t="shared" si="9"/>
        <v>48149305.770000003</v>
      </c>
      <c r="P19" s="154">
        <f t="shared" si="9"/>
        <v>51603762.280000001</v>
      </c>
      <c r="Q19" s="154">
        <f t="shared" si="9"/>
        <v>47289989.949999996</v>
      </c>
      <c r="R19" s="154">
        <f t="shared" si="9"/>
        <v>89085844.590000004</v>
      </c>
      <c r="S19" s="228">
        <f t="shared" si="7"/>
        <v>575730590.25</v>
      </c>
      <c r="T19" s="437">
        <f t="shared" si="6"/>
        <v>9.324176306967253</v>
      </c>
      <c r="V19" s="276"/>
      <c r="W19" s="276"/>
      <c r="X19" s="494"/>
    </row>
    <row r="20" spans="1:24">
      <c r="A20" s="135">
        <v>7121</v>
      </c>
      <c r="B20" s="500" t="str">
        <f>+VLOOKUP($A20,Master!$D$30:$G$226,4,FALSE)</f>
        <v>Doprinosi za penzijsko i invalidsko osiguranje</v>
      </c>
      <c r="C20" s="501"/>
      <c r="D20" s="501"/>
      <c r="E20" s="501"/>
      <c r="F20" s="501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>
        <v>47259866.420000002</v>
      </c>
      <c r="Q20" s="148">
        <v>43114463.939999998</v>
      </c>
      <c r="R20" s="148">
        <v>81523024.159999996</v>
      </c>
      <c r="S20" s="227">
        <f>+SUM(G20:R20)</f>
        <v>526512246.37</v>
      </c>
      <c r="T20" s="436">
        <f t="shared" si="6"/>
        <v>8.5270664718362319</v>
      </c>
      <c r="V20" s="276"/>
      <c r="W20" s="276"/>
      <c r="X20" s="494"/>
    </row>
    <row r="21" spans="1:24">
      <c r="A21" s="135">
        <v>7122</v>
      </c>
      <c r="B21" s="500" t="str">
        <f>+VLOOKUP($A21,Master!$D$30:$G$226,4,FALSE)</f>
        <v>Doprinosi za zdravstveno osiguranje</v>
      </c>
      <c r="C21" s="501"/>
      <c r="D21" s="501"/>
      <c r="E21" s="501"/>
      <c r="F21" s="501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>
        <v>464431.04</v>
      </c>
      <c r="Q21" s="148">
        <v>591360.93000000005</v>
      </c>
      <c r="R21" s="148">
        <v>965969</v>
      </c>
      <c r="S21" s="227">
        <f t="shared" si="7"/>
        <v>7030542.8399999989</v>
      </c>
      <c r="T21" s="436">
        <f t="shared" si="6"/>
        <v>0.11386232047420075</v>
      </c>
      <c r="V21" s="276"/>
      <c r="W21" s="276"/>
      <c r="X21" s="494"/>
    </row>
    <row r="22" spans="1:24">
      <c r="A22" s="135">
        <v>7123</v>
      </c>
      <c r="B22" s="500" t="str">
        <f>+VLOOKUP($A22,Master!$D$30:$G$226,4,FALSE)</f>
        <v>Doprinosi za osiguranje od nezaposlenosti</v>
      </c>
      <c r="C22" s="501"/>
      <c r="D22" s="501"/>
      <c r="E22" s="501"/>
      <c r="F22" s="501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>
        <v>2219307.1800000002</v>
      </c>
      <c r="Q22" s="148">
        <v>2018981.01</v>
      </c>
      <c r="R22" s="148">
        <v>3765884.68</v>
      </c>
      <c r="S22" s="227">
        <f t="shared" si="7"/>
        <v>24220167.09</v>
      </c>
      <c r="T22" s="436">
        <f t="shared" si="6"/>
        <v>0.39225483577883585</v>
      </c>
    </row>
    <row r="23" spans="1:24">
      <c r="A23" s="135">
        <v>7124</v>
      </c>
      <c r="B23" s="500" t="str">
        <f>+VLOOKUP($A23,Master!$D$30:$G$226,4,FALSE)</f>
        <v>Ostali doprinosi</v>
      </c>
      <c r="C23" s="501"/>
      <c r="D23" s="501"/>
      <c r="E23" s="501"/>
      <c r="F23" s="501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>
        <v>1660157.64</v>
      </c>
      <c r="Q23" s="148">
        <v>1565184.07</v>
      </c>
      <c r="R23" s="148">
        <v>2830966.75</v>
      </c>
      <c r="S23" s="227">
        <f t="shared" si="7"/>
        <v>17967633.949999999</v>
      </c>
      <c r="T23" s="436">
        <f t="shared" si="6"/>
        <v>0.29099267887798397</v>
      </c>
      <c r="V23" s="495"/>
      <c r="W23" s="495"/>
      <c r="X23" s="494"/>
    </row>
    <row r="24" spans="1:24">
      <c r="A24" s="135">
        <v>713</v>
      </c>
      <c r="B24" s="502" t="str">
        <f>+VLOOKUP($A24,Master!$D$30:$G$226,4,FALSE)</f>
        <v>Takse</v>
      </c>
      <c r="C24" s="503"/>
      <c r="D24" s="503"/>
      <c r="E24" s="503"/>
      <c r="F24" s="503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1576889.58</v>
      </c>
      <c r="N24" s="160">
        <v>1784267.63</v>
      </c>
      <c r="O24" s="160">
        <v>1532937.43</v>
      </c>
      <c r="P24" s="160">
        <v>1531116.13</v>
      </c>
      <c r="Q24" s="160">
        <v>1258578.19</v>
      </c>
      <c r="R24" s="160">
        <v>1642174.26</v>
      </c>
      <c r="S24" s="228">
        <f t="shared" si="7"/>
        <v>15958058.43</v>
      </c>
      <c r="T24" s="437">
        <f t="shared" si="6"/>
        <v>0.25844683752793707</v>
      </c>
    </row>
    <row r="25" spans="1:24">
      <c r="A25" s="135">
        <v>714</v>
      </c>
      <c r="B25" s="502" t="str">
        <f>+VLOOKUP($A25,Master!$D$30:$G$226,4,FALSE)</f>
        <v>Naknade</v>
      </c>
      <c r="C25" s="503"/>
      <c r="D25" s="503"/>
      <c r="E25" s="503"/>
      <c r="F25" s="503"/>
      <c r="G25" s="160">
        <v>11787074.770000001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4145262.4</v>
      </c>
      <c r="N25" s="160">
        <v>3786345.67</v>
      </c>
      <c r="O25" s="160">
        <v>3252285.31</v>
      </c>
      <c r="P25" s="160">
        <v>3955363.51</v>
      </c>
      <c r="Q25" s="160">
        <v>5546279.5099999998</v>
      </c>
      <c r="R25" s="160">
        <v>3779355.23</v>
      </c>
      <c r="S25" s="228">
        <f t="shared" si="7"/>
        <v>55717585.719999999</v>
      </c>
      <c r="T25" s="437">
        <f t="shared" si="6"/>
        <v>0.90236753344346188</v>
      </c>
    </row>
    <row r="26" spans="1:24">
      <c r="A26" s="135">
        <v>715</v>
      </c>
      <c r="B26" s="502" t="str">
        <f>+VLOOKUP($A26,Master!$D$30:$G$226,4,FALSE)</f>
        <v>Ostali prihodi</v>
      </c>
      <c r="C26" s="503"/>
      <c r="D26" s="503"/>
      <c r="E26" s="503"/>
      <c r="F26" s="503"/>
      <c r="G26" s="160">
        <v>34581504.68</v>
      </c>
      <c r="H26" s="160">
        <v>2085915.62</v>
      </c>
      <c r="I26" s="160">
        <v>3225147.62</v>
      </c>
      <c r="J26" s="160">
        <v>7985467.3899999997</v>
      </c>
      <c r="K26" s="160">
        <v>2083663.61</v>
      </c>
      <c r="L26" s="160">
        <v>62840128.789999999</v>
      </c>
      <c r="M26" s="160">
        <v>7396003.8700000001</v>
      </c>
      <c r="N26" s="160">
        <v>20717997.120000001</v>
      </c>
      <c r="O26" s="160">
        <v>2262595.5300000003</v>
      </c>
      <c r="P26" s="160">
        <v>14370883.219999999</v>
      </c>
      <c r="Q26" s="160">
        <v>15524605.279999999</v>
      </c>
      <c r="R26" s="160">
        <v>8717230.5299999993</v>
      </c>
      <c r="S26" s="228">
        <f t="shared" si="7"/>
        <v>181791143.25999999</v>
      </c>
      <c r="T26" s="437">
        <f t="shared" si="6"/>
        <v>2.9441768415767822</v>
      </c>
    </row>
    <row r="27" spans="1:24">
      <c r="A27" s="135">
        <v>73</v>
      </c>
      <c r="B27" s="502" t="str">
        <f>+VLOOKUP($A27,Master!$D$30:$G$226,4,FALSE)</f>
        <v>Primici od otplate kredita i sredstva prenesena iz prethodne godine</v>
      </c>
      <c r="C27" s="503"/>
      <c r="D27" s="503"/>
      <c r="E27" s="503"/>
      <c r="F27" s="503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7"/>
        <v>0</v>
      </c>
      <c r="T27" s="437">
        <f t="shared" si="6"/>
        <v>0</v>
      </c>
    </row>
    <row r="28" spans="1:24" ht="13.5" thickBot="1">
      <c r="A28" s="135">
        <v>74</v>
      </c>
      <c r="B28" s="506" t="str">
        <f>+VLOOKUP($A28,Master!$D$30:$G$226,4,FALSE)</f>
        <v>Donacije i transferi</v>
      </c>
      <c r="C28" s="507"/>
      <c r="D28" s="507"/>
      <c r="E28" s="507"/>
      <c r="F28" s="507"/>
      <c r="G28" s="160">
        <v>1415909.3</v>
      </c>
      <c r="H28" s="160">
        <v>3060381.49</v>
      </c>
      <c r="I28" s="160">
        <v>30264327.079999998</v>
      </c>
      <c r="J28" s="160">
        <v>3476257.2</v>
      </c>
      <c r="K28" s="160">
        <v>1748571.31</v>
      </c>
      <c r="L28" s="160">
        <v>4211455.99</v>
      </c>
      <c r="M28" s="160">
        <v>2832115.35</v>
      </c>
      <c r="N28" s="160">
        <v>1983420.45</v>
      </c>
      <c r="O28" s="160">
        <v>4241868.9000000004</v>
      </c>
      <c r="P28" s="160">
        <v>2519848.84</v>
      </c>
      <c r="Q28" s="160">
        <v>1976608.38</v>
      </c>
      <c r="R28" s="160">
        <v>13534104.41</v>
      </c>
      <c r="S28" s="228">
        <f t="shared" si="7"/>
        <v>71264868.700000018</v>
      </c>
      <c r="T28" s="438">
        <f t="shared" si="6"/>
        <v>1.1541617060214429</v>
      </c>
    </row>
    <row r="29" spans="1:24" ht="13.5" thickBot="1">
      <c r="A29" s="135">
        <v>4</v>
      </c>
      <c r="B29" s="508" t="str">
        <f>+VLOOKUP($A29,Master!$D$30:$G$226,4,FALSE)</f>
        <v>Izdaci budžeta</v>
      </c>
      <c r="C29" s="509"/>
      <c r="D29" s="509"/>
      <c r="E29" s="509"/>
      <c r="F29" s="509"/>
      <c r="G29" s="136">
        <f>+G30+G40+G46+SUM(G47:G51)</f>
        <v>114972439.94</v>
      </c>
      <c r="H29" s="136">
        <f t="shared" ref="H29:L29" si="10">+H30+H40+H46+SUM(H47:H51)</f>
        <v>170538288.74999997</v>
      </c>
      <c r="I29" s="136">
        <f t="shared" si="10"/>
        <v>193726859.81999996</v>
      </c>
      <c r="J29" s="136">
        <f t="shared" si="10"/>
        <v>205909364.20999998</v>
      </c>
      <c r="K29" s="136">
        <f t="shared" si="10"/>
        <v>189878174.31999999</v>
      </c>
      <c r="L29" s="136">
        <f t="shared" si="10"/>
        <v>196475657.75</v>
      </c>
      <c r="M29" s="136">
        <f t="shared" ref="M29:R29" si="11">+M30+M40+M46+SUM(M47:M51)</f>
        <v>223724427.04999998</v>
      </c>
      <c r="N29" s="136">
        <f t="shared" si="11"/>
        <v>200309842.68999997</v>
      </c>
      <c r="O29" s="136">
        <f t="shared" si="11"/>
        <v>231525907.79999995</v>
      </c>
      <c r="P29" s="136">
        <f t="shared" si="11"/>
        <v>213099115.5</v>
      </c>
      <c r="Q29" s="136">
        <f t="shared" si="11"/>
        <v>215092208.88</v>
      </c>
      <c r="R29" s="136">
        <f t="shared" si="11"/>
        <v>400126545.28999996</v>
      </c>
      <c r="S29" s="230">
        <f t="shared" si="7"/>
        <v>2555378831.9999995</v>
      </c>
      <c r="T29" s="439">
        <f t="shared" si="6"/>
        <v>41.38533398114857</v>
      </c>
    </row>
    <row r="30" spans="1:24">
      <c r="A30" s="135">
        <v>41</v>
      </c>
      <c r="B30" s="512" t="str">
        <f>+VLOOKUP($A30,Master!$D$30:$G$226,4,FALSE)</f>
        <v>Tekući izdaci</v>
      </c>
      <c r="C30" s="513"/>
      <c r="D30" s="513"/>
      <c r="E30" s="513"/>
      <c r="F30" s="513"/>
      <c r="G30" s="172">
        <f t="shared" ref="G30:L30" si="12">+SUM(G31:G39)</f>
        <v>53299150.879999995</v>
      </c>
      <c r="H30" s="172">
        <f t="shared" si="12"/>
        <v>71573468.019999996</v>
      </c>
      <c r="I30" s="172">
        <f t="shared" si="12"/>
        <v>83323928.729999989</v>
      </c>
      <c r="J30" s="172">
        <f t="shared" si="12"/>
        <v>95217846.549999997</v>
      </c>
      <c r="K30" s="172">
        <f t="shared" si="12"/>
        <v>92282783.609999999</v>
      </c>
      <c r="L30" s="172">
        <f t="shared" si="12"/>
        <v>78016424.250000015</v>
      </c>
      <c r="M30" s="172">
        <f t="shared" ref="M30:R30" si="13">+SUM(M31:M39)</f>
        <v>89291081.400000006</v>
      </c>
      <c r="N30" s="172">
        <f t="shared" si="13"/>
        <v>73761190.309999973</v>
      </c>
      <c r="O30" s="172">
        <f t="shared" si="13"/>
        <v>97157587.329999983</v>
      </c>
      <c r="P30" s="172">
        <f t="shared" si="13"/>
        <v>82147619.280000001</v>
      </c>
      <c r="Q30" s="172">
        <f t="shared" si="13"/>
        <v>92754306.769999996</v>
      </c>
      <c r="R30" s="231">
        <f t="shared" si="13"/>
        <v>163458578.78999999</v>
      </c>
      <c r="S30" s="397">
        <f t="shared" si="7"/>
        <v>1072283965.9199998</v>
      </c>
      <c r="T30" s="435">
        <f t="shared" si="6"/>
        <v>17.366047451170925</v>
      </c>
      <c r="U30" s="472"/>
    </row>
    <row r="31" spans="1:24">
      <c r="A31" s="135">
        <v>411</v>
      </c>
      <c r="B31" s="500" t="str">
        <f>+VLOOKUP($A31,Master!$D$30:$G$226,4,FALSE)</f>
        <v>Bruto zarade i doprinosi na teret poslodavca</v>
      </c>
      <c r="C31" s="501"/>
      <c r="D31" s="501"/>
      <c r="E31" s="501"/>
      <c r="F31" s="501"/>
      <c r="G31" s="148">
        <v>45778601.380000003</v>
      </c>
      <c r="H31" s="148">
        <v>54859279.479999997</v>
      </c>
      <c r="I31" s="148">
        <v>52148208.229999997</v>
      </c>
      <c r="J31" s="148">
        <v>53967761.119999982</v>
      </c>
      <c r="K31" s="148">
        <v>54201006.710000001</v>
      </c>
      <c r="L31" s="148">
        <v>53631381.200000003</v>
      </c>
      <c r="M31" s="148">
        <v>54042257.670000002</v>
      </c>
      <c r="N31" s="148">
        <v>51900966.359999999</v>
      </c>
      <c r="O31" s="148">
        <v>52967490.280000001</v>
      </c>
      <c r="P31" s="148">
        <v>52586038.530000001</v>
      </c>
      <c r="Q31" s="148">
        <v>53116635.689999998</v>
      </c>
      <c r="R31" s="148">
        <v>63771763.909999996</v>
      </c>
      <c r="S31" s="227">
        <f t="shared" si="7"/>
        <v>642971390.56000006</v>
      </c>
      <c r="T31" s="436">
        <f t="shared" si="6"/>
        <v>10.413166691931462</v>
      </c>
      <c r="U31" s="472"/>
    </row>
    <row r="32" spans="1:24">
      <c r="A32" s="135">
        <v>412</v>
      </c>
      <c r="B32" s="500" t="str">
        <f>+VLOOKUP($A32,Master!$D$30:$G$226,4,FALSE)</f>
        <v>Ostala lična primanja</v>
      </c>
      <c r="C32" s="501"/>
      <c r="D32" s="501"/>
      <c r="E32" s="501"/>
      <c r="F32" s="501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1584706.25</v>
      </c>
      <c r="N32" s="148">
        <v>1451954.5899999994</v>
      </c>
      <c r="O32" s="148">
        <v>1492303.3399999996</v>
      </c>
      <c r="P32" s="148">
        <v>1738506.76</v>
      </c>
      <c r="Q32" s="148">
        <v>1512560.25</v>
      </c>
      <c r="R32" s="148">
        <v>2898398.44</v>
      </c>
      <c r="S32" s="227">
        <f t="shared" si="7"/>
        <v>18419755.229999997</v>
      </c>
      <c r="T32" s="436">
        <f t="shared" si="6"/>
        <v>0.2983149553007482</v>
      </c>
      <c r="U32" s="472"/>
      <c r="V32" s="275"/>
    </row>
    <row r="33" spans="1:24">
      <c r="A33" s="135">
        <v>413</v>
      </c>
      <c r="B33" s="500" t="str">
        <f>+VLOOKUP($A33,Master!$D$30:$G$226,4,FALSE)</f>
        <v>Rashodi za materijal</v>
      </c>
      <c r="C33" s="501"/>
      <c r="D33" s="501"/>
      <c r="E33" s="501"/>
      <c r="F33" s="501"/>
      <c r="G33" s="148">
        <v>94282.16</v>
      </c>
      <c r="H33" s="148">
        <v>2773809.93</v>
      </c>
      <c r="I33" s="148">
        <v>5143114.03</v>
      </c>
      <c r="J33" s="148">
        <v>1985561.6999999997</v>
      </c>
      <c r="K33" s="148">
        <v>3182782.03</v>
      </c>
      <c r="L33" s="148">
        <v>3142744.6099999994</v>
      </c>
      <c r="M33" s="148">
        <v>5440332.5299999993</v>
      </c>
      <c r="N33" s="148">
        <v>3657348.8600000013</v>
      </c>
      <c r="O33" s="148">
        <v>2712249.46</v>
      </c>
      <c r="P33" s="148">
        <v>2981036.7899999996</v>
      </c>
      <c r="Q33" s="148">
        <v>3119936.27</v>
      </c>
      <c r="R33" s="148">
        <v>11505508.789999999</v>
      </c>
      <c r="S33" s="227">
        <f t="shared" si="7"/>
        <v>45738707.160000004</v>
      </c>
      <c r="T33" s="436">
        <f t="shared" si="6"/>
        <v>0.74075579243999612</v>
      </c>
      <c r="U33" s="472"/>
    </row>
    <row r="34" spans="1:24" s="334" customFormat="1">
      <c r="A34" s="333">
        <v>414</v>
      </c>
      <c r="B34" s="595" t="str">
        <f>+VLOOKUP($A34,Master!$D$30:$G$226,4,FALSE)</f>
        <v>Rashodi za usluge</v>
      </c>
      <c r="C34" s="596"/>
      <c r="D34" s="596"/>
      <c r="E34" s="596"/>
      <c r="F34" s="596"/>
      <c r="G34" s="148">
        <v>875944.59</v>
      </c>
      <c r="H34" s="148">
        <v>3742903.06</v>
      </c>
      <c r="I34" s="148">
        <v>7000462.6100000003</v>
      </c>
      <c r="J34" s="148">
        <v>5102941.3600000003</v>
      </c>
      <c r="K34" s="148">
        <v>5116679.2600000007</v>
      </c>
      <c r="L34" s="148">
        <v>5837993.4800000004</v>
      </c>
      <c r="M34" s="148">
        <v>6718533.9000000004</v>
      </c>
      <c r="N34" s="148">
        <v>3653159.8</v>
      </c>
      <c r="O34" s="148">
        <v>5379094.0300000003</v>
      </c>
      <c r="P34" s="148">
        <v>7915544.2999999998</v>
      </c>
      <c r="Q34" s="148">
        <v>4538640.49</v>
      </c>
      <c r="R34" s="148">
        <v>16479604.890000001</v>
      </c>
      <c r="S34" s="227">
        <f t="shared" si="7"/>
        <v>72361501.770000011</v>
      </c>
      <c r="T34" s="436">
        <f t="shared" si="6"/>
        <v>1.1719220964920807</v>
      </c>
      <c r="U34" s="472"/>
    </row>
    <row r="35" spans="1:24">
      <c r="A35" s="135">
        <v>415</v>
      </c>
      <c r="B35" s="500" t="str">
        <f>+VLOOKUP($A35,Master!$D$30:$G$226,4,FALSE)</f>
        <v>Rashodi za tekuće održavanje</v>
      </c>
      <c r="C35" s="501"/>
      <c r="D35" s="501"/>
      <c r="E35" s="501"/>
      <c r="F35" s="501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>
        <v>4029885.51</v>
      </c>
      <c r="Q35" s="148">
        <v>1422107.55</v>
      </c>
      <c r="R35" s="148">
        <v>8369875.8300000001</v>
      </c>
      <c r="S35" s="227">
        <f t="shared" si="7"/>
        <v>30173825.100000001</v>
      </c>
      <c r="T35" s="436">
        <f t="shared" si="6"/>
        <v>0.48867659605480518</v>
      </c>
      <c r="U35" s="472"/>
    </row>
    <row r="36" spans="1:24">
      <c r="A36" s="135">
        <v>416</v>
      </c>
      <c r="B36" s="500" t="str">
        <f>+VLOOKUP($A36,Master!$D$30:$G$226,4,FALSE)</f>
        <v>Kamate</v>
      </c>
      <c r="C36" s="501"/>
      <c r="D36" s="501"/>
      <c r="E36" s="501"/>
      <c r="F36" s="501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>
        <v>2174027.4</v>
      </c>
      <c r="Q36" s="148">
        <v>16506464.789999999</v>
      </c>
      <c r="R36" s="148">
        <v>25730168.120000001</v>
      </c>
      <c r="S36" s="227">
        <f>+SUM(G36:R36)</f>
        <v>123850909.06</v>
      </c>
      <c r="T36" s="436">
        <f t="shared" si="6"/>
        <v>2.0058126689988018</v>
      </c>
      <c r="U36" s="472"/>
      <c r="V36" s="275"/>
    </row>
    <row r="37" spans="1:24">
      <c r="A37" s="135">
        <v>417</v>
      </c>
      <c r="B37" s="500" t="str">
        <f>+VLOOKUP($A37,Master!$D$30:$G$226,4,FALSE)</f>
        <v>Renta</v>
      </c>
      <c r="C37" s="501"/>
      <c r="D37" s="501"/>
      <c r="E37" s="501"/>
      <c r="F37" s="501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>
        <v>1476996.9500000004</v>
      </c>
      <c r="Q37" s="148">
        <v>625555.81000000006</v>
      </c>
      <c r="R37" s="148">
        <v>2362235.2200000002</v>
      </c>
      <c r="S37" s="227">
        <f t="shared" si="7"/>
        <v>11698322.590000004</v>
      </c>
      <c r="T37" s="436">
        <f t="shared" si="6"/>
        <v>0.18945879231043311</v>
      </c>
      <c r="U37" s="472"/>
      <c r="V37" s="275"/>
    </row>
    <row r="38" spans="1:24">
      <c r="A38" s="135">
        <v>418</v>
      </c>
      <c r="B38" s="500" t="str">
        <f>+VLOOKUP($A38,Master!$D$30:$G$226,4,FALSE)</f>
        <v>Subvencije</v>
      </c>
      <c r="C38" s="501"/>
      <c r="D38" s="501"/>
      <c r="E38" s="501"/>
      <c r="F38" s="501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>
        <v>4531530.57</v>
      </c>
      <c r="Q38" s="148">
        <v>8099742.5</v>
      </c>
      <c r="R38" s="148">
        <v>21736324.34</v>
      </c>
      <c r="S38" s="227">
        <f t="shared" si="7"/>
        <v>74379966.019999996</v>
      </c>
      <c r="T38" s="436">
        <f t="shared" si="6"/>
        <v>1.2046118942117707</v>
      </c>
      <c r="U38" s="472"/>
    </row>
    <row r="39" spans="1:24">
      <c r="A39" s="135">
        <v>419</v>
      </c>
      <c r="B39" s="500" t="str">
        <f>+VLOOKUP($A39,Master!$D$30:$G$226,4,FALSE)</f>
        <v>Ostali izdaci</v>
      </c>
      <c r="C39" s="501"/>
      <c r="D39" s="501"/>
      <c r="E39" s="501"/>
      <c r="F39" s="501"/>
      <c r="G39" s="148">
        <v>396534.65</v>
      </c>
      <c r="H39" s="148">
        <v>3224430.49</v>
      </c>
      <c r="I39" s="148">
        <v>5294157.3499999987</v>
      </c>
      <c r="J39" s="148">
        <v>3267725.4499999988</v>
      </c>
      <c r="K39" s="148">
        <v>5644358.5800000001</v>
      </c>
      <c r="L39" s="148">
        <v>3510703.5800000005</v>
      </c>
      <c r="M39" s="148">
        <v>5431693.9500000002</v>
      </c>
      <c r="N39" s="148">
        <v>2949553.74</v>
      </c>
      <c r="O39" s="148">
        <v>3839015.5</v>
      </c>
      <c r="P39" s="148">
        <v>4714052.47</v>
      </c>
      <c r="Q39" s="148">
        <v>3812663.42</v>
      </c>
      <c r="R39" s="148">
        <v>10604699.25</v>
      </c>
      <c r="S39" s="227">
        <f t="shared" si="7"/>
        <v>52689588.43</v>
      </c>
      <c r="T39" s="436">
        <f t="shared" si="6"/>
        <v>0.85332796343082951</v>
      </c>
      <c r="U39" s="472"/>
      <c r="V39" s="275"/>
    </row>
    <row r="40" spans="1:24">
      <c r="A40" s="135">
        <v>42</v>
      </c>
      <c r="B40" s="516" t="str">
        <f>+VLOOKUP($A40,Master!$D$30:$G$226,4,FALSE)</f>
        <v>Transferi za socijalnu zaštitu</v>
      </c>
      <c r="C40" s="517"/>
      <c r="D40" s="517"/>
      <c r="E40" s="517"/>
      <c r="F40" s="517"/>
      <c r="G40" s="178">
        <f>+SUM(G41:G45)</f>
        <v>58447908.409999996</v>
      </c>
      <c r="H40" s="178">
        <f t="shared" ref="H40:L40" si="14">+SUM(H41:H45)</f>
        <v>66349683.089999989</v>
      </c>
      <c r="I40" s="178">
        <f t="shared" si="14"/>
        <v>68141527.619999975</v>
      </c>
      <c r="J40" s="178">
        <f t="shared" si="14"/>
        <v>65511040.719999991</v>
      </c>
      <c r="K40" s="178">
        <f t="shared" si="14"/>
        <v>64802740.460000001</v>
      </c>
      <c r="L40" s="178">
        <f t="shared" si="14"/>
        <v>68662273.439999968</v>
      </c>
      <c r="M40" s="178">
        <f t="shared" ref="M40:R40" si="15">+SUM(M41:M45)</f>
        <v>68456466.98999998</v>
      </c>
      <c r="N40" s="178">
        <f t="shared" si="15"/>
        <v>69385535.859999999</v>
      </c>
      <c r="O40" s="178">
        <f t="shared" si="15"/>
        <v>69025014.769999996</v>
      </c>
      <c r="P40" s="178">
        <f t="shared" si="15"/>
        <v>74279647.790000007</v>
      </c>
      <c r="Q40" s="178">
        <f t="shared" si="15"/>
        <v>73219313.039999992</v>
      </c>
      <c r="R40" s="178">
        <f t="shared" si="15"/>
        <v>78822706.049999982</v>
      </c>
      <c r="S40" s="458">
        <f t="shared" si="7"/>
        <v>825103858.23999977</v>
      </c>
      <c r="T40" s="459">
        <f t="shared" si="6"/>
        <v>13.362871412561134</v>
      </c>
      <c r="U40" s="472"/>
    </row>
    <row r="41" spans="1:24">
      <c r="A41" s="135">
        <v>421</v>
      </c>
      <c r="B41" s="500" t="str">
        <f>+VLOOKUP($A41,Master!$D$30:$G$226,4,FALSE)</f>
        <v>Prava iz oblasti socijalne zaštite</v>
      </c>
      <c r="C41" s="501"/>
      <c r="D41" s="501"/>
      <c r="E41" s="501"/>
      <c r="F41" s="501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>
        <v>18298777.300000001</v>
      </c>
      <c r="Q41" s="148">
        <v>18265292.149999999</v>
      </c>
      <c r="R41" s="148">
        <v>18568343.829999998</v>
      </c>
      <c r="S41" s="227">
        <f t="shared" si="7"/>
        <v>209887201.35000002</v>
      </c>
      <c r="T41" s="436">
        <f t="shared" si="6"/>
        <v>3.399203209114761</v>
      </c>
      <c r="U41" s="472"/>
    </row>
    <row r="42" spans="1:24">
      <c r="A42" s="135">
        <v>422</v>
      </c>
      <c r="B42" s="500" t="str">
        <f>+VLOOKUP($A42,Master!$D$30:$G$226,4,FALSE)</f>
        <v>Sredstva za tehnološke viškove</v>
      </c>
      <c r="C42" s="501"/>
      <c r="D42" s="501"/>
      <c r="E42" s="501"/>
      <c r="F42" s="501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>
        <v>1935600.9300000002</v>
      </c>
      <c r="Q42" s="148">
        <v>1952446.41</v>
      </c>
      <c r="R42" s="148">
        <v>3910936.66</v>
      </c>
      <c r="S42" s="227">
        <f t="shared" si="7"/>
        <v>24251935.379999999</v>
      </c>
      <c r="T42" s="436">
        <f t="shared" si="6"/>
        <v>0.39276933534156055</v>
      </c>
      <c r="U42" s="472"/>
      <c r="V42" s="275"/>
    </row>
    <row r="43" spans="1:24">
      <c r="A43" s="135">
        <v>423</v>
      </c>
      <c r="B43" s="500" t="str">
        <f>+VLOOKUP($A43,Master!$D$30:$G$226,4,FALSE)</f>
        <v>Prava iz oblasti penzijskog i invalidskog osiguranja</v>
      </c>
      <c r="C43" s="501"/>
      <c r="D43" s="501"/>
      <c r="E43" s="501"/>
      <c r="F43" s="501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47269720.670000002</v>
      </c>
      <c r="O43" s="148">
        <v>47134628.189999998</v>
      </c>
      <c r="P43" s="148">
        <v>49444391.200000003</v>
      </c>
      <c r="Q43" s="148">
        <v>49636904.259999998</v>
      </c>
      <c r="R43" s="148">
        <v>49983172.299999997</v>
      </c>
      <c r="S43" s="227">
        <f t="shared" si="7"/>
        <v>553808878.5999999</v>
      </c>
      <c r="T43" s="436">
        <f t="shared" si="6"/>
        <v>8.9691458329284472</v>
      </c>
      <c r="U43" s="472"/>
    </row>
    <row r="44" spans="1:24">
      <c r="A44" s="135">
        <v>424</v>
      </c>
      <c r="B44" s="500" t="str">
        <f>+VLOOKUP($A44,Master!$D$30:$G$226,4,FALSE)</f>
        <v>Ostala prava iz oblasti zdravstvene zaštite</v>
      </c>
      <c r="C44" s="501"/>
      <c r="D44" s="501"/>
      <c r="E44" s="501"/>
      <c r="F44" s="501"/>
      <c r="G44" s="148">
        <v>944561.01</v>
      </c>
      <c r="H44" s="148">
        <v>1204935.98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>
        <v>2181527.52</v>
      </c>
      <c r="Q44" s="148">
        <v>1297199.3</v>
      </c>
      <c r="R44" s="148">
        <v>3362791.1</v>
      </c>
      <c r="S44" s="227">
        <f t="shared" si="7"/>
        <v>20559593.510000002</v>
      </c>
      <c r="T44" s="436">
        <f t="shared" si="6"/>
        <v>0.33297045168917827</v>
      </c>
      <c r="U44" s="472"/>
    </row>
    <row r="45" spans="1:24" s="334" customFormat="1">
      <c r="A45" s="333">
        <v>425</v>
      </c>
      <c r="B45" s="591" t="str">
        <f>+VLOOKUP($A45,Master!$D$30:$G$226,4,FALSE)</f>
        <v>Ostala prava iz zdravstvenog osiguranja</v>
      </c>
      <c r="C45" s="592"/>
      <c r="D45" s="592"/>
      <c r="E45" s="592"/>
      <c r="F45" s="592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>
        <v>2419350.8400000003</v>
      </c>
      <c r="Q45" s="148">
        <v>2067470.92</v>
      </c>
      <c r="R45" s="148">
        <v>2997462.16</v>
      </c>
      <c r="S45" s="227">
        <f t="shared" si="7"/>
        <v>16596249.4</v>
      </c>
      <c r="T45" s="436">
        <f t="shared" si="6"/>
        <v>0.26878258348718947</v>
      </c>
      <c r="U45" s="472"/>
    </row>
    <row r="46" spans="1:24">
      <c r="A46" s="135">
        <v>43</v>
      </c>
      <c r="B46" s="514" t="str">
        <f>+VLOOKUP($A46,Master!$D$30:$G$226,4,FALSE)</f>
        <v xml:space="preserve">Transferi institucijama, pojedincima, nevladinom i javnom sektoru </v>
      </c>
      <c r="C46" s="515"/>
      <c r="D46" s="515"/>
      <c r="E46" s="515"/>
      <c r="F46" s="515"/>
      <c r="G46" s="160">
        <v>1844828.6800000002</v>
      </c>
      <c r="H46" s="160">
        <v>24913818.260000002</v>
      </c>
      <c r="I46" s="160">
        <v>29338654.910000004</v>
      </c>
      <c r="J46" s="160">
        <v>33942991.660000004</v>
      </c>
      <c r="K46" s="160">
        <v>22605169.219999999</v>
      </c>
      <c r="L46" s="160">
        <v>32410366.539999999</v>
      </c>
      <c r="M46" s="160">
        <v>42596767.619999997</v>
      </c>
      <c r="N46" s="160">
        <v>30808862.149999999</v>
      </c>
      <c r="O46" s="160">
        <v>36649454.560000002</v>
      </c>
      <c r="P46" s="160">
        <v>29874334.260000002</v>
      </c>
      <c r="Q46" s="160">
        <v>24735752.079999998</v>
      </c>
      <c r="R46" s="160">
        <v>71009194.980000004</v>
      </c>
      <c r="S46" s="458">
        <f t="shared" si="7"/>
        <v>380730194.92000002</v>
      </c>
      <c r="T46" s="437">
        <f t="shared" si="6"/>
        <v>6.1660705943704857</v>
      </c>
      <c r="U46" s="472"/>
    </row>
    <row r="47" spans="1:24">
      <c r="A47" s="135">
        <v>44</v>
      </c>
      <c r="B47" s="514" t="str">
        <f>+VLOOKUP($A47,Master!$D$30:$G$226,4,FALSE)</f>
        <v>Kapitalni izdaci</v>
      </c>
      <c r="C47" s="515"/>
      <c r="D47" s="515"/>
      <c r="E47" s="515"/>
      <c r="F47" s="515"/>
      <c r="G47" s="160">
        <v>420202.33999999997</v>
      </c>
      <c r="H47" s="160">
        <v>4450440.01</v>
      </c>
      <c r="I47" s="160">
        <v>10096779.050000001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24259570.459999993</v>
      </c>
      <c r="O47" s="160">
        <v>28174115.569999997</v>
      </c>
      <c r="P47" s="160">
        <v>25091598.190000001</v>
      </c>
      <c r="Q47" s="160">
        <v>21000623.91</v>
      </c>
      <c r="R47" s="160">
        <v>78975209.599999994</v>
      </c>
      <c r="S47" s="458">
        <f t="shared" si="7"/>
        <v>238821591.17999998</v>
      </c>
      <c r="T47" s="437">
        <f t="shared" si="6"/>
        <v>3.8678066786512484</v>
      </c>
      <c r="U47" s="472"/>
      <c r="V47" s="275"/>
      <c r="W47" s="292"/>
      <c r="X47" s="292"/>
    </row>
    <row r="48" spans="1:24">
      <c r="A48" s="135">
        <v>451</v>
      </c>
      <c r="B48" s="593" t="str">
        <f>+VLOOKUP($A48,Master!$D$30:$G$226,4,FALSE)</f>
        <v>Pozajmice i krediti</v>
      </c>
      <c r="C48" s="594"/>
      <c r="D48" s="594"/>
      <c r="E48" s="594"/>
      <c r="F48" s="594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585" t="str">
        <f>+VLOOKUP($A49,Master!$D$30:$G$226,4,FALSE)</f>
        <v>Rezerve</v>
      </c>
      <c r="C49" s="586"/>
      <c r="D49" s="586"/>
      <c r="E49" s="586"/>
      <c r="F49" s="586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>
        <v>629087.52</v>
      </c>
      <c r="Q49" s="148">
        <v>67254.600000000006</v>
      </c>
      <c r="R49" s="148">
        <v>5408961.6500000004</v>
      </c>
      <c r="S49" s="227">
        <f t="shared" si="7"/>
        <v>18267919.309999999</v>
      </c>
      <c r="T49" s="436">
        <f t="shared" si="6"/>
        <v>0.29585591471512324</v>
      </c>
      <c r="U49" s="472"/>
    </row>
    <row r="50" spans="1:21" ht="13.5" thickBot="1">
      <c r="A50" s="135">
        <v>462</v>
      </c>
      <c r="B50" s="520" t="str">
        <f>+VLOOKUP($A50,Master!$D$30:$G$226,4,FALSE)</f>
        <v>Otplata garancija</v>
      </c>
      <c r="C50" s="521"/>
      <c r="D50" s="521"/>
      <c r="E50" s="521"/>
      <c r="F50" s="521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7"/>
        <v>2813572.16</v>
      </c>
      <c r="T50" s="436">
        <f t="shared" si="6"/>
        <v>4.5566873319729216E-2</v>
      </c>
      <c r="U50" s="472"/>
    </row>
    <row r="51" spans="1:21" ht="13.5" thickBot="1">
      <c r="A51" s="129">
        <v>4630</v>
      </c>
      <c r="B51" s="587" t="str">
        <f>+VLOOKUP($A51,Master!$D$30:$G$226,4,TRUE)</f>
        <v>Otplata obaveza iz prethodnog perioda</v>
      </c>
      <c r="C51" s="588"/>
      <c r="D51" s="588"/>
      <c r="E51" s="588"/>
      <c r="F51" s="588"/>
      <c r="G51" s="430">
        <v>960349.63</v>
      </c>
      <c r="H51" s="430">
        <v>1883378.3499999994</v>
      </c>
      <c r="I51" s="430">
        <v>1288018.07</v>
      </c>
      <c r="J51" s="430">
        <v>808312.29</v>
      </c>
      <c r="K51" s="430">
        <v>1075171.3999999999</v>
      </c>
      <c r="L51" s="430">
        <v>1838116.54</v>
      </c>
      <c r="M51" s="430">
        <v>1151209.7</v>
      </c>
      <c r="N51" s="430">
        <v>999757.56</v>
      </c>
      <c r="O51" s="430">
        <v>509735.57</v>
      </c>
      <c r="P51" s="430">
        <v>1076828.46</v>
      </c>
      <c r="Q51" s="430">
        <v>3314958.48</v>
      </c>
      <c r="R51" s="430">
        <v>2451894.2200000002</v>
      </c>
      <c r="S51" s="398">
        <f t="shared" si="7"/>
        <v>17357730.27</v>
      </c>
      <c r="T51" s="440">
        <f t="shared" si="6"/>
        <v>0.28111505635992617</v>
      </c>
      <c r="U51" s="472"/>
    </row>
    <row r="52" spans="1:21" ht="13.5" thickBot="1">
      <c r="A52" s="61">
        <v>1005</v>
      </c>
      <c r="B52" s="589" t="str">
        <f>+VLOOKUP($A52,Master!$D$30:$G$228,4,FALSE)</f>
        <v>Neto povećanje obaveza</v>
      </c>
      <c r="C52" s="590"/>
      <c r="D52" s="590"/>
      <c r="E52" s="590"/>
      <c r="F52" s="590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L53" si="16">+G10-G29</f>
        <v>52667122.50999999</v>
      </c>
      <c r="H53" s="136">
        <f t="shared" si="16"/>
        <v>-28131455.029999971</v>
      </c>
      <c r="I53" s="136">
        <f t="shared" si="16"/>
        <v>38684390.090000004</v>
      </c>
      <c r="J53" s="136">
        <f t="shared" si="16"/>
        <v>49014055.330000043</v>
      </c>
      <c r="K53" s="136">
        <f t="shared" si="16"/>
        <v>-3250303.2999999821</v>
      </c>
      <c r="L53" s="136">
        <f t="shared" si="16"/>
        <v>55991129.359999985</v>
      </c>
      <c r="M53" s="136">
        <f t="shared" ref="M53:R53" si="17">+M10-M29</f>
        <v>-16898112.23999998</v>
      </c>
      <c r="N53" s="136">
        <f t="shared" si="17"/>
        <v>43108617.120000035</v>
      </c>
      <c r="O53" s="136">
        <f t="shared" si="17"/>
        <v>-15568949.9799999</v>
      </c>
      <c r="P53" s="136">
        <f t="shared" si="17"/>
        <v>6913759.7899999917</v>
      </c>
      <c r="Q53" s="136">
        <f t="shared" si="17"/>
        <v>-26215766.110000014</v>
      </c>
      <c r="R53" s="136">
        <f t="shared" si="17"/>
        <v>-146355720.66999993</v>
      </c>
      <c r="S53" s="233">
        <f>SUM(G53:R53)</f>
        <v>9958766.870000273</v>
      </c>
      <c r="T53" s="442">
        <f t="shared" si="6"/>
        <v>0.16128602451981139</v>
      </c>
    </row>
    <row r="54" spans="1:21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L54" si="18">+G53+G36</f>
        <v>56634018.269999988</v>
      </c>
      <c r="H54" s="190">
        <f t="shared" si="18"/>
        <v>-25700388.239999972</v>
      </c>
      <c r="I54" s="190">
        <f t="shared" si="18"/>
        <v>40420022.900000006</v>
      </c>
      <c r="J54" s="190">
        <f t="shared" si="18"/>
        <v>72154059.570000052</v>
      </c>
      <c r="K54" s="190">
        <f t="shared" si="18"/>
        <v>11425080.210000018</v>
      </c>
      <c r="L54" s="190">
        <f t="shared" si="18"/>
        <v>58909593.469999984</v>
      </c>
      <c r="M54" s="190">
        <f t="shared" ref="M54:R54" si="19">+M53+M36</f>
        <v>-9333869.3899999801</v>
      </c>
      <c r="N54" s="190">
        <f t="shared" si="19"/>
        <v>46897168.220000036</v>
      </c>
      <c r="O54" s="190">
        <f t="shared" si="19"/>
        <v>3651057.6000000983</v>
      </c>
      <c r="P54" s="190">
        <f t="shared" si="19"/>
        <v>9087787.189999992</v>
      </c>
      <c r="Q54" s="190">
        <f t="shared" si="19"/>
        <v>-9709301.3200000152</v>
      </c>
      <c r="R54" s="190">
        <f t="shared" si="19"/>
        <v>-120625552.54999992</v>
      </c>
      <c r="S54" s="233">
        <f t="shared" si="7"/>
        <v>133809675.93000025</v>
      </c>
      <c r="T54" s="442">
        <f t="shared" si="6"/>
        <v>2.1670986935186125</v>
      </c>
    </row>
    <row r="55" spans="1:21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L55" si="20">+SUM(G56:G57)</f>
        <v>29896704.300000001</v>
      </c>
      <c r="H55" s="178">
        <f t="shared" si="20"/>
        <v>5811024.9299999997</v>
      </c>
      <c r="I55" s="178">
        <f t="shared" si="20"/>
        <v>8077109.9900000002</v>
      </c>
      <c r="J55" s="160">
        <f t="shared" si="20"/>
        <v>7902599.2300000004</v>
      </c>
      <c r="K55" s="178">
        <f t="shared" si="20"/>
        <v>91927760.939999998</v>
      </c>
      <c r="L55" s="178">
        <f t="shared" si="20"/>
        <v>16027590.799999999</v>
      </c>
      <c r="M55" s="178">
        <f t="shared" ref="M55:R55" si="21">+SUM(M56:M57)</f>
        <v>31852596.969999999</v>
      </c>
      <c r="N55" s="178">
        <f t="shared" si="21"/>
        <v>6400171.3600000003</v>
      </c>
      <c r="O55" s="178">
        <f t="shared" si="21"/>
        <v>16517635.09</v>
      </c>
      <c r="P55" s="178">
        <f t="shared" si="21"/>
        <v>8209323.5700000003</v>
      </c>
      <c r="Q55" s="178">
        <f t="shared" si="21"/>
        <v>53661950.479999997</v>
      </c>
      <c r="R55" s="178">
        <f t="shared" si="21"/>
        <v>24921546.210000001</v>
      </c>
      <c r="S55" s="234">
        <f t="shared" si="7"/>
        <v>301206013.87</v>
      </c>
      <c r="T55" s="443">
        <f t="shared" si="6"/>
        <v>4.8781461774042043</v>
      </c>
    </row>
    <row r="56" spans="1:21">
      <c r="A56" s="129">
        <v>4611</v>
      </c>
      <c r="B56" s="542" t="str">
        <f>+VLOOKUP($A56,Master!$D$30:$G$226,4,FALSE)</f>
        <v>Otplata hartija od vrijednosti i kredita rezidentima</v>
      </c>
      <c r="C56" s="543"/>
      <c r="D56" s="543"/>
      <c r="E56" s="543"/>
      <c r="F56" s="543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>
        <v>3094863.43</v>
      </c>
      <c r="Q56" s="196">
        <v>8658506.2599999998</v>
      </c>
      <c r="R56" s="196">
        <v>750761.52</v>
      </c>
      <c r="S56" s="235">
        <f t="shared" si="7"/>
        <v>74535564.899999991</v>
      </c>
      <c r="T56" s="444">
        <f t="shared" si="6"/>
        <v>1.2071318773685744</v>
      </c>
    </row>
    <row r="57" spans="1:21" ht="13.5" thickBot="1">
      <c r="A57" s="129">
        <v>4612</v>
      </c>
      <c r="B57" s="518" t="str">
        <f>+VLOOKUP($A57,Master!$D$30:$G$226,4,FALSE)</f>
        <v>Otplata hartija od vrijednosti i kredita nerezidentima</v>
      </c>
      <c r="C57" s="519"/>
      <c r="D57" s="519"/>
      <c r="E57" s="519"/>
      <c r="F57" s="519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>
        <v>5114460.1399999997</v>
      </c>
      <c r="Q57" s="196">
        <v>45003444.219999999</v>
      </c>
      <c r="R57" s="196">
        <v>24170784.690000001</v>
      </c>
      <c r="S57" s="235">
        <f t="shared" si="7"/>
        <v>226670448.96999997</v>
      </c>
      <c r="T57" s="444">
        <f t="shared" si="6"/>
        <v>3.6710143000356292</v>
      </c>
    </row>
    <row r="58" spans="1:21" ht="13.5" thickBot="1">
      <c r="A58" s="129">
        <v>4418</v>
      </c>
      <c r="B58" s="510" t="str">
        <f>+VLOOKUP($A58,Master!$D$30:$G$226,4,FALSE)</f>
        <v>Izdaci za kupovinu hartija od vrijednosti</v>
      </c>
      <c r="C58" s="511"/>
      <c r="D58" s="511"/>
      <c r="E58" s="511"/>
      <c r="F58" s="511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>
        <v>0</v>
      </c>
      <c r="Q58" s="432">
        <v>0</v>
      </c>
      <c r="R58" s="432">
        <v>138179.85999999999</v>
      </c>
      <c r="S58" s="234">
        <f>SUM(G58:R58)</f>
        <v>859046.62</v>
      </c>
      <c r="T58" s="445">
        <f t="shared" si="6"/>
        <v>1.3912587374080913E-2</v>
      </c>
    </row>
    <row r="59" spans="1:21" ht="13.5" thickBot="1">
      <c r="A59" s="135">
        <v>451</v>
      </c>
      <c r="B59" s="510" t="str">
        <f>+VLOOKUP($A59,Master!$D$30:$G$226,4,FALSE)</f>
        <v>Pozajmice i krediti</v>
      </c>
      <c r="C59" s="511"/>
      <c r="D59" s="511"/>
      <c r="E59" s="511"/>
      <c r="F59" s="511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929669.85</v>
      </c>
      <c r="P59" s="432">
        <v>512417.52</v>
      </c>
      <c r="Q59" s="432">
        <v>0</v>
      </c>
      <c r="R59" s="432">
        <v>822000.46</v>
      </c>
      <c r="S59" s="234">
        <f>SUM(G59:R59)</f>
        <v>10111595.669999998</v>
      </c>
      <c r="T59" s="445">
        <f t="shared" si="6"/>
        <v>0.16376114517539594</v>
      </c>
    </row>
    <row r="60" spans="1:21" ht="13.5" thickBot="1">
      <c r="A60" s="129">
        <v>1002</v>
      </c>
      <c r="B60" s="544" t="str">
        <f>+VLOOKUP($A60,Master!$D$30:$G$226,4,FALSE)</f>
        <v>Nedostajuća sredstva</v>
      </c>
      <c r="C60" s="545"/>
      <c r="D60" s="545"/>
      <c r="E60" s="545"/>
      <c r="F60" s="545"/>
      <c r="G60" s="202">
        <f>+G53-G55-G58-G59</f>
        <v>22509018.18999999</v>
      </c>
      <c r="H60" s="202">
        <f t="shared" ref="H60:L60" si="22">+H53-H55-H58-H59</f>
        <v>-35517929.279999971</v>
      </c>
      <c r="I60" s="202">
        <f t="shared" si="22"/>
        <v>30223487.43</v>
      </c>
      <c r="J60" s="202">
        <f t="shared" si="22"/>
        <v>37576798.210000038</v>
      </c>
      <c r="K60" s="202">
        <f t="shared" si="22"/>
        <v>-95807212.12999998</v>
      </c>
      <c r="L60" s="202">
        <f t="shared" si="22"/>
        <v>38750017.50999999</v>
      </c>
      <c r="M60" s="202">
        <f t="shared" ref="M60" si="23">+M53-M55-M58-M59</f>
        <v>-49292454.569999978</v>
      </c>
      <c r="N60" s="202">
        <f t="shared" ref="N60" si="24">+N53-N55-N58-N59</f>
        <v>36279785.360000037</v>
      </c>
      <c r="O60" s="202">
        <f t="shared" ref="O60" si="25">+O53-O55-O58-O59</f>
        <v>-33016254.919999901</v>
      </c>
      <c r="P60" s="202">
        <f t="shared" ref="P60" si="26">+P53-P55-P58-P59</f>
        <v>-1807981.3000000087</v>
      </c>
      <c r="Q60" s="202">
        <f t="shared" ref="Q60" si="27">+Q53-Q55-Q58-Q59</f>
        <v>-79877716.590000004</v>
      </c>
      <c r="R60" s="202">
        <f t="shared" ref="R60:S60" si="28">+R53-R55-R58-R59</f>
        <v>-172237447.19999996</v>
      </c>
      <c r="S60" s="234">
        <f t="shared" si="28"/>
        <v>-302217889.28999978</v>
      </c>
      <c r="T60" s="446">
        <f t="shared" si="6"/>
        <v>-4.8945338854338711</v>
      </c>
    </row>
    <row r="61" spans="1:21" ht="13.5" thickBot="1">
      <c r="A61" s="129">
        <v>1003</v>
      </c>
      <c r="B61" s="508" t="str">
        <f>+VLOOKUP($A61,Master!$D$30:$G$226,4,FALSE)</f>
        <v>Finansiranje</v>
      </c>
      <c r="C61" s="509"/>
      <c r="D61" s="509"/>
      <c r="E61" s="509"/>
      <c r="F61" s="509"/>
      <c r="G61" s="136">
        <f>+SUM(G62:G66)</f>
        <v>-22509018.18999999</v>
      </c>
      <c r="H61" s="136">
        <f t="shared" ref="H61:L61" si="29">+SUM(H62:H66)</f>
        <v>35517929.279999971</v>
      </c>
      <c r="I61" s="136">
        <f t="shared" si="29"/>
        <v>-30223487.429999992</v>
      </c>
      <c r="J61" s="136">
        <f t="shared" si="29"/>
        <v>-37576798.210000038</v>
      </c>
      <c r="K61" s="136">
        <f t="shared" si="29"/>
        <v>95807212.12999998</v>
      </c>
      <c r="L61" s="136">
        <f t="shared" si="29"/>
        <v>-38750017.50999999</v>
      </c>
      <c r="M61" s="136">
        <f t="shared" ref="M61:R61" si="30">+SUM(M62:M66)</f>
        <v>49292454.569999978</v>
      </c>
      <c r="N61" s="136">
        <f t="shared" si="30"/>
        <v>-36279785.360000037</v>
      </c>
      <c r="O61" s="136">
        <f t="shared" si="30"/>
        <v>33016254.919999901</v>
      </c>
      <c r="P61" s="136">
        <f t="shared" si="30"/>
        <v>1807981.3000000087</v>
      </c>
      <c r="Q61" s="136">
        <f t="shared" si="30"/>
        <v>79877716.590000004</v>
      </c>
      <c r="R61" s="136">
        <f t="shared" si="30"/>
        <v>172237447.19999996</v>
      </c>
      <c r="S61" s="237">
        <f t="shared" si="7"/>
        <v>302217889.28999972</v>
      </c>
      <c r="T61" s="447">
        <f t="shared" si="6"/>
        <v>4.8945338854338694</v>
      </c>
    </row>
    <row r="62" spans="1:21">
      <c r="A62" s="129">
        <v>7511</v>
      </c>
      <c r="B62" s="542" t="str">
        <f>+VLOOKUP($A62,Master!$D$30:$G$226,4,FALSE)</f>
        <v>Pozajmice i krediti od domaćih izvora</v>
      </c>
      <c r="C62" s="543"/>
      <c r="D62" s="543"/>
      <c r="E62" s="543"/>
      <c r="F62" s="543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159000000</v>
      </c>
      <c r="S62" s="235">
        <f t="shared" si="7"/>
        <v>159000000</v>
      </c>
      <c r="T62" s="444">
        <f t="shared" si="6"/>
        <v>2.5750655912933631</v>
      </c>
    </row>
    <row r="63" spans="1:21">
      <c r="A63" s="129">
        <v>7512</v>
      </c>
      <c r="B63" s="518" t="str">
        <f>+VLOOKUP($A63,Master!$D$30:$G$226,4,FALSE)</f>
        <v>Pozajmice i krediti od inostranih izvora</v>
      </c>
      <c r="C63" s="519"/>
      <c r="D63" s="519"/>
      <c r="E63" s="519"/>
      <c r="F63" s="519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1498615.24</v>
      </c>
      <c r="L63" s="196">
        <v>6593805.25</v>
      </c>
      <c r="M63" s="196">
        <v>944562.51</v>
      </c>
      <c r="N63" s="196">
        <v>360304.63</v>
      </c>
      <c r="O63" s="196">
        <v>4582991.13</v>
      </c>
      <c r="P63" s="196">
        <v>4602266.9400000004</v>
      </c>
      <c r="Q63" s="196">
        <v>2073787.89</v>
      </c>
      <c r="R63" s="196">
        <v>28672539.25</v>
      </c>
      <c r="S63" s="235">
        <f t="shared" si="7"/>
        <v>156474242.11999997</v>
      </c>
      <c r="T63" s="444">
        <f t="shared" si="6"/>
        <v>2.5341599799177268</v>
      </c>
    </row>
    <row r="64" spans="1:21">
      <c r="A64" s="129">
        <v>72</v>
      </c>
      <c r="B64" s="518" t="str">
        <f>+VLOOKUP($A64,Master!$D$30:$G$226,4,FALSE)</f>
        <v>Primici od prodaje imovine</v>
      </c>
      <c r="C64" s="519"/>
      <c r="D64" s="519"/>
      <c r="E64" s="519"/>
      <c r="F64" s="519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>
        <v>61500.47</v>
      </c>
      <c r="Q64" s="196">
        <v>29821.41</v>
      </c>
      <c r="R64" s="196">
        <v>209358.1</v>
      </c>
      <c r="S64" s="235">
        <f t="shared" si="7"/>
        <v>2717869.5300000007</v>
      </c>
      <c r="T64" s="444">
        <f t="shared" si="6"/>
        <v>4.4016932756777774E-2</v>
      </c>
    </row>
    <row r="65" spans="1:20">
      <c r="A65" s="129">
        <v>73</v>
      </c>
      <c r="B65" s="518" t="s">
        <v>101</v>
      </c>
      <c r="C65" s="519"/>
      <c r="D65" s="519"/>
      <c r="E65" s="519"/>
      <c r="F65" s="519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759720.49</v>
      </c>
      <c r="P65" s="196">
        <v>714145.76</v>
      </c>
      <c r="Q65" s="196">
        <v>829356.05</v>
      </c>
      <c r="R65" s="196">
        <v>2208210.4</v>
      </c>
      <c r="S65" s="235">
        <f t="shared" si="7"/>
        <v>13797839.82</v>
      </c>
      <c r="T65" s="444">
        <f t="shared" si="6"/>
        <v>0.22346127392867554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-23883629.86999999</v>
      </c>
      <c r="H66" s="210">
        <f t="shared" ref="H66:L66" si="31">-H60-SUM(H62:H65)</f>
        <v>32277187.949999973</v>
      </c>
      <c r="I66" s="210">
        <f t="shared" si="31"/>
        <v>-133144974.56999999</v>
      </c>
      <c r="J66" s="210">
        <f t="shared" si="31"/>
        <v>-42510816.260000035</v>
      </c>
      <c r="K66" s="210">
        <f t="shared" si="31"/>
        <v>92531742.519999981</v>
      </c>
      <c r="L66" s="210">
        <f t="shared" si="31"/>
        <v>-48507755.839999989</v>
      </c>
      <c r="M66" s="210">
        <f t="shared" ref="M66:S66" si="32">-M60-SUM(M62:M65)</f>
        <v>47845804.369999975</v>
      </c>
      <c r="N66" s="210">
        <f t="shared" si="32"/>
        <v>-37507817.920000039</v>
      </c>
      <c r="O66" s="210">
        <f t="shared" si="32"/>
        <v>27606038.6199999</v>
      </c>
      <c r="P66" s="210">
        <f t="shared" si="32"/>
        <v>-3569931.8699999913</v>
      </c>
      <c r="Q66" s="210">
        <f t="shared" si="32"/>
        <v>76944751.24000001</v>
      </c>
      <c r="R66" s="210">
        <f t="shared" si="32"/>
        <v>-17852660.550000042</v>
      </c>
      <c r="S66" s="490">
        <f t="shared" si="32"/>
        <v>-29772062.180000186</v>
      </c>
      <c r="T66" s="448">
        <f t="shared" si="6"/>
        <v>-0.48216989246267267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3">+CONCATENATE(G6,"p")</f>
        <v>2023-01p</v>
      </c>
      <c r="H82" s="59" t="str">
        <f t="shared" si="33"/>
        <v>2023-02p</v>
      </c>
      <c r="I82" s="59" t="str">
        <f t="shared" si="33"/>
        <v>2023-03p</v>
      </c>
      <c r="J82" s="59" t="str">
        <f t="shared" si="33"/>
        <v>2023-04p</v>
      </c>
      <c r="K82" s="59" t="str">
        <f t="shared" si="33"/>
        <v>2023-05p</v>
      </c>
      <c r="L82" s="59" t="str">
        <f t="shared" si="33"/>
        <v>2023-06p</v>
      </c>
      <c r="M82" s="59" t="str">
        <f t="shared" ref="M82:R82" si="34">+CONCATENATE(M6,"p")</f>
        <v>2023-07p</v>
      </c>
      <c r="N82" s="59" t="str">
        <f t="shared" si="34"/>
        <v>2023-08p</v>
      </c>
      <c r="O82" s="59" t="str">
        <f t="shared" si="34"/>
        <v>2023-09p</v>
      </c>
      <c r="P82" s="59" t="str">
        <f t="shared" si="34"/>
        <v>2023-10p</v>
      </c>
      <c r="Q82" s="59" t="str">
        <f t="shared" si="34"/>
        <v>2023-11p</v>
      </c>
      <c r="R82" s="59" t="str">
        <f t="shared" si="34"/>
        <v>2023-12p</v>
      </c>
    </row>
    <row r="83" spans="1:26" ht="15.75" customHeight="1" thickBot="1">
      <c r="B83" s="574" t="str">
        <f>+Master!G253</f>
        <v>Plan ostvarenja budžeta</v>
      </c>
      <c r="C83" s="575"/>
      <c r="D83" s="575"/>
      <c r="E83" s="575"/>
      <c r="F83" s="575"/>
      <c r="G83" s="582">
        <v>2023</v>
      </c>
      <c r="H83" s="583"/>
      <c r="I83" s="583"/>
      <c r="J83" s="583"/>
      <c r="K83" s="583"/>
      <c r="L83" s="583"/>
      <c r="M83" s="583"/>
      <c r="N83" s="583"/>
      <c r="O83" s="583"/>
      <c r="P83" s="583"/>
      <c r="Q83" s="583"/>
      <c r="R83" s="584"/>
      <c r="S83" s="96" t="str">
        <f>+S7</f>
        <v>BDP</v>
      </c>
      <c r="T83" s="97">
        <v>6174600000</v>
      </c>
    </row>
    <row r="84" spans="1:26" ht="15.75" customHeight="1">
      <c r="B84" s="576"/>
      <c r="C84" s="577"/>
      <c r="D84" s="577"/>
      <c r="E84" s="577"/>
      <c r="F84" s="578"/>
      <c r="G84" s="62" t="str">
        <f t="shared" ref="G84:L84" si="35">+G8</f>
        <v>Januar</v>
      </c>
      <c r="H84" s="62" t="str">
        <f t="shared" si="35"/>
        <v>Februar</v>
      </c>
      <c r="I84" s="62" t="str">
        <f t="shared" si="35"/>
        <v>Mart</v>
      </c>
      <c r="J84" s="62" t="str">
        <f t="shared" si="35"/>
        <v>April</v>
      </c>
      <c r="K84" s="62" t="str">
        <f t="shared" si="35"/>
        <v>Maj</v>
      </c>
      <c r="L84" s="62" t="str">
        <f t="shared" si="35"/>
        <v>Jun</v>
      </c>
      <c r="M84" s="62" t="str">
        <f t="shared" ref="M84:R84" si="36">+M8</f>
        <v>Jul</v>
      </c>
      <c r="N84" s="62" t="str">
        <f t="shared" si="36"/>
        <v>Avgust</v>
      </c>
      <c r="O84" s="62" t="str">
        <f t="shared" si="36"/>
        <v>Septembar</v>
      </c>
      <c r="P84" s="62" t="str">
        <f t="shared" si="36"/>
        <v>Oktobar</v>
      </c>
      <c r="Q84" s="62" t="str">
        <f t="shared" si="36"/>
        <v>Novembar</v>
      </c>
      <c r="R84" s="62" t="str">
        <f t="shared" si="36"/>
        <v>Decembar</v>
      </c>
      <c r="S84" s="582" t="str">
        <f>+Master!G247</f>
        <v>Jan - Dec</v>
      </c>
      <c r="T84" s="584">
        <f>+T8</f>
        <v>0</v>
      </c>
    </row>
    <row r="85" spans="1:26" ht="13.5" thickBot="1">
      <c r="B85" s="579"/>
      <c r="C85" s="580"/>
      <c r="D85" s="580"/>
      <c r="E85" s="580"/>
      <c r="F85" s="581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37">+CONCATENATE(A10,"p")</f>
        <v>7p</v>
      </c>
      <c r="B86" s="548" t="str">
        <f>+VLOOKUP(LEFT($A86,LEN(A86)-1)*1,Master!$D$30:$G$226,4,FALSE)</f>
        <v>Prihodi budžeta</v>
      </c>
      <c r="C86" s="549"/>
      <c r="D86" s="549"/>
      <c r="E86" s="549"/>
      <c r="F86" s="549"/>
      <c r="G86" s="82">
        <f t="shared" ref="G86:L86" si="38">+G87+G95+SUM(G100:G104)</f>
        <v>153112731.45240748</v>
      </c>
      <c r="H86" s="82">
        <f t="shared" si="38"/>
        <v>127832756.55548061</v>
      </c>
      <c r="I86" s="82">
        <f t="shared" si="38"/>
        <v>201740232.63025409</v>
      </c>
      <c r="J86" s="82">
        <f t="shared" si="38"/>
        <v>197163981.770235</v>
      </c>
      <c r="K86" s="82">
        <f t="shared" si="38"/>
        <v>158296327.97128749</v>
      </c>
      <c r="L86" s="82">
        <f t="shared" si="38"/>
        <v>167200464.48127508</v>
      </c>
      <c r="M86" s="82">
        <f t="shared" ref="M86:Q86" si="39">+M87+M95+SUM(M100:M104)</f>
        <v>181861975.69392896</v>
      </c>
      <c r="N86" s="82">
        <f t="shared" si="39"/>
        <v>202109513.21302867</v>
      </c>
      <c r="O86" s="82">
        <f t="shared" si="39"/>
        <v>185021882.2158348</v>
      </c>
      <c r="P86" s="82">
        <f t="shared" si="39"/>
        <v>177565269.2391125</v>
      </c>
      <c r="Q86" s="82">
        <f t="shared" si="39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34.779033695687104</v>
      </c>
      <c r="U86" s="243"/>
    </row>
    <row r="87" spans="1:26">
      <c r="A87" s="105" t="str">
        <f t="shared" si="37"/>
        <v>711p</v>
      </c>
      <c r="B87" s="572" t="str">
        <f>+VLOOKUP(LEFT($A87,LEN(A87)-1)*1,Master!$D$30:$G$226,4,FALSE)</f>
        <v>Porezi</v>
      </c>
      <c r="C87" s="573"/>
      <c r="D87" s="573"/>
      <c r="E87" s="573"/>
      <c r="F87" s="573"/>
      <c r="G87" s="69">
        <f t="shared" ref="G87:L87" si="40">+SUM(G88:G94)</f>
        <v>89053259.19649069</v>
      </c>
      <c r="H87" s="69">
        <f t="shared" si="40"/>
        <v>86133720.726993382</v>
      </c>
      <c r="I87" s="69">
        <f t="shared" si="40"/>
        <v>151611174.865978</v>
      </c>
      <c r="J87" s="69">
        <f t="shared" si="40"/>
        <v>145526098.37503338</v>
      </c>
      <c r="K87" s="69">
        <f t="shared" si="40"/>
        <v>114721167.87287787</v>
      </c>
      <c r="L87" s="69">
        <f t="shared" si="40"/>
        <v>116649816.05907366</v>
      </c>
      <c r="M87" s="69">
        <f t="shared" ref="M87:R87" si="41">+SUM(M88:M94)</f>
        <v>123219445.94451815</v>
      </c>
      <c r="N87" s="69">
        <f t="shared" si="41"/>
        <v>144506632.21078962</v>
      </c>
      <c r="O87" s="69">
        <f t="shared" si="41"/>
        <v>130700085.51141171</v>
      </c>
      <c r="P87" s="69">
        <f t="shared" si="41"/>
        <v>120588265.76124729</v>
      </c>
      <c r="Q87" s="69">
        <f t="shared" si="41"/>
        <v>112197774.08556552</v>
      </c>
      <c r="R87" s="70">
        <f t="shared" si="41"/>
        <v>130556572.94447696</v>
      </c>
      <c r="S87" s="100">
        <f t="shared" ref="S87:S141" si="42">+SUM(G87:R87)</f>
        <v>1465464013.5544562</v>
      </c>
      <c r="T87" s="435">
        <f t="shared" ref="T87:T142" si="43">+S87/$T$83*100</f>
        <v>23.733748154608499</v>
      </c>
      <c r="V87" s="292"/>
    </row>
    <row r="88" spans="1:26">
      <c r="A88" s="105" t="str">
        <f t="shared" si="37"/>
        <v>7111p</v>
      </c>
      <c r="B88" s="564" t="str">
        <f>+VLOOKUP(LEFT($A88,LEN(A88)-1)*1,Master!$D$30:$G$229,4,FALSE)</f>
        <v>Porez na dohodak fizičkih lica</v>
      </c>
      <c r="C88" s="565"/>
      <c r="D88" s="565"/>
      <c r="E88" s="565"/>
      <c r="F88" s="565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42"/>
        <v>61039853.663200006</v>
      </c>
      <c r="T88" s="436">
        <f t="shared" si="43"/>
        <v>0.98856369097917274</v>
      </c>
      <c r="V88" s="292"/>
    </row>
    <row r="89" spans="1:26">
      <c r="A89" s="105" t="str">
        <f t="shared" si="37"/>
        <v>7112p</v>
      </c>
      <c r="B89" s="564" t="str">
        <f>+VLOOKUP(LEFT($A89,LEN(A89)-1)*1,Master!$D$30:$G$229,4,FALSE)</f>
        <v>Porez na dobit pravnih lica</v>
      </c>
      <c r="C89" s="565"/>
      <c r="D89" s="565"/>
      <c r="E89" s="565"/>
      <c r="F89" s="565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42"/>
        <v>121648421.1653218</v>
      </c>
      <c r="T89" s="436">
        <f t="shared" si="43"/>
        <v>1.9701425382263109</v>
      </c>
      <c r="V89" s="292"/>
    </row>
    <row r="90" spans="1:26">
      <c r="A90" s="105" t="str">
        <f t="shared" si="37"/>
        <v>7113p</v>
      </c>
      <c r="B90" s="564" t="str">
        <f>+VLOOKUP(LEFT($A90,LEN(A90)-1)*1,Master!$D$30:$G$229,4,FALSE)</f>
        <v>Porez na promet nepokretnosti</v>
      </c>
      <c r="C90" s="565"/>
      <c r="D90" s="565"/>
      <c r="E90" s="565"/>
      <c r="F90" s="565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2"/>
        <v>0</v>
      </c>
      <c r="T90" s="436">
        <f t="shared" si="43"/>
        <v>0</v>
      </c>
      <c r="V90" s="292"/>
    </row>
    <row r="91" spans="1:26">
      <c r="A91" s="105" t="str">
        <f t="shared" si="37"/>
        <v>7114p</v>
      </c>
      <c r="B91" s="564" t="str">
        <f>+VLOOKUP(LEFT($A91,LEN(A91)-1)*1,Master!$D$30:$G$229,4,FALSE)</f>
        <v>Porez na dodatu vrijednost</v>
      </c>
      <c r="C91" s="565"/>
      <c r="D91" s="565"/>
      <c r="E91" s="565"/>
      <c r="F91" s="565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42"/>
        <v>958981810.21551323</v>
      </c>
      <c r="T91" s="436">
        <f t="shared" si="43"/>
        <v>15.531075862655285</v>
      </c>
      <c r="V91" s="292"/>
    </row>
    <row r="92" spans="1:26">
      <c r="A92" s="105" t="str">
        <f t="shared" si="37"/>
        <v>7115p</v>
      </c>
      <c r="B92" s="564" t="str">
        <f>+VLOOKUP(LEFT($A92,LEN(A92)-1)*1,Master!$D$30:$G$229,4,FALSE)</f>
        <v>Akcize</v>
      </c>
      <c r="C92" s="565"/>
      <c r="D92" s="565"/>
      <c r="E92" s="565"/>
      <c r="F92" s="565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42"/>
        <v>271452175.03867495</v>
      </c>
      <c r="T92" s="436">
        <f t="shared" si="43"/>
        <v>4.3962714190178307</v>
      </c>
      <c r="V92" s="292"/>
      <c r="X92" s="242"/>
      <c r="Y92" s="242"/>
      <c r="Z92" s="242"/>
    </row>
    <row r="93" spans="1:26">
      <c r="A93" s="105" t="str">
        <f t="shared" si="37"/>
        <v>7116p</v>
      </c>
      <c r="B93" s="564" t="str">
        <f>+VLOOKUP(LEFT($A93,LEN(A93)-1)*1,Master!$D$30:$G$229,4,FALSE)</f>
        <v>Porez na međunarodnu trgovinu i transakcije</v>
      </c>
      <c r="C93" s="565"/>
      <c r="D93" s="565"/>
      <c r="E93" s="565"/>
      <c r="F93" s="565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42"/>
        <v>40252350.156719081</v>
      </c>
      <c r="T93" s="436">
        <f t="shared" si="43"/>
        <v>0.6519021500456561</v>
      </c>
      <c r="V93" s="292"/>
    </row>
    <row r="94" spans="1:26">
      <c r="A94" s="105" t="str">
        <f t="shared" si="37"/>
        <v>7118p</v>
      </c>
      <c r="B94" s="564" t="str">
        <f>+VLOOKUP(LEFT($A94,LEN(A94)-1)*1,Master!$D$30:$G$229,4,FALSE)</f>
        <v>Ostali državni porezi</v>
      </c>
      <c r="C94" s="565"/>
      <c r="D94" s="565"/>
      <c r="E94" s="565"/>
      <c r="F94" s="565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42"/>
        <v>12089403.315027073</v>
      </c>
      <c r="T94" s="436">
        <f t="shared" si="43"/>
        <v>0.19579249368423984</v>
      </c>
      <c r="V94" s="292"/>
    </row>
    <row r="95" spans="1:26">
      <c r="A95" s="105" t="str">
        <f t="shared" si="37"/>
        <v>712p</v>
      </c>
      <c r="B95" s="570" t="str">
        <f>+VLOOKUP(LEFT($A95,LEN(A95)-1)*1,Master!$D$30:$G$229,4,FALSE)</f>
        <v>Doprinosi</v>
      </c>
      <c r="C95" s="571"/>
      <c r="D95" s="571"/>
      <c r="E95" s="571"/>
      <c r="F95" s="571"/>
      <c r="G95" s="71">
        <f>+SUM(G96:G99)</f>
        <v>14028547.954861166</v>
      </c>
      <c r="H95" s="71">
        <f t="shared" ref="H95:L95" si="44">+SUM(H96:H99)</f>
        <v>35494684.891336001</v>
      </c>
      <c r="I95" s="452">
        <f t="shared" si="44"/>
        <v>34746900.973094396</v>
      </c>
      <c r="J95" s="71">
        <f t="shared" si="44"/>
        <v>42833596.089660697</v>
      </c>
      <c r="K95" s="71">
        <f t="shared" si="44"/>
        <v>31865136.166640289</v>
      </c>
      <c r="L95" s="71">
        <f t="shared" si="44"/>
        <v>38887014.54653661</v>
      </c>
      <c r="M95" s="71">
        <f t="shared" ref="M95:R95" si="45">+SUM(M96:M99)</f>
        <v>41674957.146424204</v>
      </c>
      <c r="N95" s="71">
        <f t="shared" si="45"/>
        <v>39623582.115929469</v>
      </c>
      <c r="O95" s="71">
        <f t="shared" si="45"/>
        <v>38556106.773443051</v>
      </c>
      <c r="P95" s="71">
        <f t="shared" si="45"/>
        <v>41225764.80063308</v>
      </c>
      <c r="Q95" s="71">
        <f t="shared" si="45"/>
        <v>39258499.915648282</v>
      </c>
      <c r="R95" s="72">
        <f t="shared" si="45"/>
        <v>76561513.993556961</v>
      </c>
      <c r="S95" s="102">
        <f t="shared" si="42"/>
        <v>474756305.36776417</v>
      </c>
      <c r="T95" s="437">
        <f t="shared" si="43"/>
        <v>7.6888592842899008</v>
      </c>
      <c r="V95" s="292"/>
    </row>
    <row r="96" spans="1:26">
      <c r="A96" s="105" t="str">
        <f t="shared" si="37"/>
        <v>7121p</v>
      </c>
      <c r="B96" s="564" t="str">
        <f>+VLOOKUP(LEFT($A96,LEN(A96)-1)*1,Master!$D$30:$G$229,4,FALSE)</f>
        <v>Doprinosi za penzijsko i invalidsko osiguranje</v>
      </c>
      <c r="C96" s="565"/>
      <c r="D96" s="565"/>
      <c r="E96" s="565"/>
      <c r="F96" s="565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42"/>
        <v>438725546.84560192</v>
      </c>
      <c r="T96" s="436">
        <f t="shared" si="43"/>
        <v>7.1053274195187051</v>
      </c>
      <c r="V96" s="292"/>
      <c r="W96" s="292"/>
    </row>
    <row r="97" spans="1:23">
      <c r="A97" s="105" t="str">
        <f t="shared" si="37"/>
        <v>7122p</v>
      </c>
      <c r="B97" s="564" t="str">
        <f>+VLOOKUP(LEFT($A97,LEN(A97)-1)*1,Master!$D$30:$G$229,4,FALSE)</f>
        <v>Doprinosi za zdravstveno osiguranje</v>
      </c>
      <c r="C97" s="565"/>
      <c r="D97" s="565"/>
      <c r="E97" s="565"/>
      <c r="F97" s="565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42"/>
        <v>1200286.4243292995</v>
      </c>
      <c r="T97" s="436">
        <f t="shared" si="43"/>
        <v>1.9439096043942922E-2</v>
      </c>
      <c r="V97" s="292"/>
    </row>
    <row r="98" spans="1:23">
      <c r="A98" s="105" t="str">
        <f t="shared" si="37"/>
        <v>7123p</v>
      </c>
      <c r="B98" s="564" t="str">
        <f>+VLOOKUP(LEFT($A98,LEN(A98)-1)*1,Master!$D$30:$G$229,4,FALSE)</f>
        <v>Doprinosi za osiguranje od nezaposlenosti</v>
      </c>
      <c r="C98" s="565"/>
      <c r="D98" s="565"/>
      <c r="E98" s="565"/>
      <c r="F98" s="565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42"/>
        <v>20360913.711489163</v>
      </c>
      <c r="T98" s="436">
        <f t="shared" si="43"/>
        <v>0.32975275663993076</v>
      </c>
      <c r="V98" s="292"/>
    </row>
    <row r="99" spans="1:23">
      <c r="A99" s="105" t="str">
        <f t="shared" si="37"/>
        <v>7124p</v>
      </c>
      <c r="B99" s="564" t="str">
        <f>+VLOOKUP(LEFT($A99,LEN(A99)-1)*1,Master!$D$30:$G$229,4,FALSE)</f>
        <v>Ostali doprinosi</v>
      </c>
      <c r="C99" s="565"/>
      <c r="D99" s="565"/>
      <c r="E99" s="565"/>
      <c r="F99" s="565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42"/>
        <v>14469558.386343762</v>
      </c>
      <c r="T99" s="436">
        <f t="shared" si="43"/>
        <v>0.23434001208732166</v>
      </c>
      <c r="V99" s="292"/>
    </row>
    <row r="100" spans="1:23">
      <c r="A100" s="105" t="str">
        <f t="shared" si="37"/>
        <v>713p</v>
      </c>
      <c r="B100" s="570" t="str">
        <f>+VLOOKUP(LEFT($A100,LEN(A100)-1)*1,Master!$D$30:$G$229,4,FALSE)</f>
        <v>Takse</v>
      </c>
      <c r="C100" s="571"/>
      <c r="D100" s="571"/>
      <c r="E100" s="571"/>
      <c r="F100" s="571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42"/>
        <v>14250938.223525003</v>
      </c>
      <c r="T100" s="437">
        <f t="shared" si="43"/>
        <v>0.23079937523928679</v>
      </c>
      <c r="V100" s="292"/>
    </row>
    <row r="101" spans="1:23">
      <c r="A101" s="105" t="str">
        <f t="shared" si="37"/>
        <v>714p</v>
      </c>
      <c r="B101" s="570" t="str">
        <f>+VLOOKUP(LEFT($A101,LEN(A101)-1)*1,Master!$D$30:$G$229,4,FALSE)</f>
        <v>Naknade</v>
      </c>
      <c r="C101" s="571"/>
      <c r="D101" s="571"/>
      <c r="E101" s="571"/>
      <c r="F101" s="571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42"/>
        <v>41688257.276150532</v>
      </c>
      <c r="T101" s="437">
        <f t="shared" si="43"/>
        <v>0.67515721303648069</v>
      </c>
      <c r="V101" s="292"/>
    </row>
    <row r="102" spans="1:23">
      <c r="A102" s="105" t="str">
        <f t="shared" si="37"/>
        <v>715p</v>
      </c>
      <c r="B102" s="570" t="str">
        <f>+VLOOKUP(LEFT($A102,LEN(A102)-1)*1,Master!$D$30:$G$229,4,FALSE)</f>
        <v>Ostali prihodi</v>
      </c>
      <c r="C102" s="571"/>
      <c r="D102" s="571"/>
      <c r="E102" s="571"/>
      <c r="F102" s="571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42"/>
        <v>100175411.57200001</v>
      </c>
      <c r="T102" s="437">
        <f t="shared" si="43"/>
        <v>1.6223789649855862</v>
      </c>
      <c r="V102" s="292"/>
    </row>
    <row r="103" spans="1:23">
      <c r="A103" s="105" t="str">
        <f t="shared" si="37"/>
        <v>73p</v>
      </c>
      <c r="B103" s="570" t="str">
        <f>+VLOOKUP(LEFT($A103,LEN(A103)-1)*1,Master!$D$30:$G$229,4,FALSE)</f>
        <v>Primici od otplate kredita i sredstva prenesena iz prethodne godine</v>
      </c>
      <c r="C103" s="571"/>
      <c r="D103" s="571"/>
      <c r="E103" s="571"/>
      <c r="F103" s="571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 t="shared" si="42"/>
        <v>9747904</v>
      </c>
      <c r="T103" s="437">
        <f t="shared" si="43"/>
        <v>0.15787101998510025</v>
      </c>
      <c r="V103" s="292"/>
      <c r="W103" s="292"/>
    </row>
    <row r="104" spans="1:23" ht="13.5" thickBot="1">
      <c r="A104" s="105" t="str">
        <f t="shared" si="37"/>
        <v>74p</v>
      </c>
      <c r="B104" s="566" t="str">
        <f>+VLOOKUP(LEFT($A104,LEN(A104)-1)*1,Master!$D$30:$G$229,4,FALSE)</f>
        <v>Donacije i transferi</v>
      </c>
      <c r="C104" s="567"/>
      <c r="D104" s="567"/>
      <c r="E104" s="567"/>
      <c r="F104" s="567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42"/>
        <v>41383384.580000006</v>
      </c>
      <c r="T104" s="438">
        <f t="shared" si="43"/>
        <v>0.67021968354225381</v>
      </c>
      <c r="V104" s="292"/>
    </row>
    <row r="105" spans="1:23" ht="13.5" thickBot="1">
      <c r="A105" s="105" t="str">
        <f t="shared" si="37"/>
        <v>4p</v>
      </c>
      <c r="B105" s="548" t="str">
        <f>+VLOOKUP(LEFT($A105,LEN(A105)-1)*1,Master!$D$30:$G$229,4,FALSE)</f>
        <v>Izdaci budžeta</v>
      </c>
      <c r="C105" s="549"/>
      <c r="D105" s="549"/>
      <c r="E105" s="549"/>
      <c r="F105" s="549"/>
      <c r="G105" s="82">
        <f t="shared" ref="G105:L105" si="46">+G106+G116+G122+SUM(G123:G127)</f>
        <v>175509865.05999997</v>
      </c>
      <c r="H105" s="82">
        <f t="shared" si="46"/>
        <v>194904102.36999997</v>
      </c>
      <c r="I105" s="82">
        <f t="shared" si="46"/>
        <v>204056525.62</v>
      </c>
      <c r="J105" s="82">
        <f t="shared" si="46"/>
        <v>215049716.38000003</v>
      </c>
      <c r="K105" s="82">
        <f t="shared" si="46"/>
        <v>199767991.34</v>
      </c>
      <c r="L105" s="82">
        <f t="shared" si="46"/>
        <v>194478060.15000001</v>
      </c>
      <c r="M105" s="82">
        <f t="shared" ref="M105:R105" si="47">+M106+M116+M122+SUM(M123:M127)</f>
        <v>237229120.77000004</v>
      </c>
      <c r="N105" s="82">
        <f t="shared" si="47"/>
        <v>208577181.37000003</v>
      </c>
      <c r="O105" s="82">
        <f t="shared" si="47"/>
        <v>212332628.14999998</v>
      </c>
      <c r="P105" s="82">
        <f t="shared" si="47"/>
        <v>219165654.14000002</v>
      </c>
      <c r="Q105" s="82">
        <f t="shared" si="47"/>
        <v>215801622.55000001</v>
      </c>
      <c r="R105" s="82">
        <f t="shared" si="47"/>
        <v>236910680.68000001</v>
      </c>
      <c r="S105" s="423">
        <f>+SUM(G105:R105)</f>
        <v>2513783148.5799999</v>
      </c>
      <c r="T105" s="450">
        <f t="shared" si="43"/>
        <v>40.711676036990248</v>
      </c>
      <c r="V105" s="275"/>
    </row>
    <row r="106" spans="1:23">
      <c r="A106" s="105" t="str">
        <f t="shared" si="37"/>
        <v>41p</v>
      </c>
      <c r="B106" s="568" t="str">
        <f>+VLOOKUP(LEFT($A106,LEN(A106)-1)*1,Master!$D$30:$G$229,4,FALSE)</f>
        <v>Tekući izdaci</v>
      </c>
      <c r="C106" s="569"/>
      <c r="D106" s="569"/>
      <c r="E106" s="569"/>
      <c r="F106" s="569"/>
      <c r="G106" s="75">
        <f t="shared" ref="G106:L106" si="48">+SUM(G107:G115)</f>
        <v>71899625.829999968</v>
      </c>
      <c r="H106" s="75">
        <f t="shared" si="48"/>
        <v>80973595.029999986</v>
      </c>
      <c r="I106" s="75">
        <f t="shared" si="48"/>
        <v>81069361.99000001</v>
      </c>
      <c r="J106" s="75">
        <f t="shared" si="48"/>
        <v>100567396.8</v>
      </c>
      <c r="K106" s="75">
        <f t="shared" si="48"/>
        <v>84597904.25999999</v>
      </c>
      <c r="L106" s="75">
        <f t="shared" si="48"/>
        <v>78964000.50999999</v>
      </c>
      <c r="M106" s="75">
        <f t="shared" ref="M106:R106" si="49">+SUM(M107:M115)</f>
        <v>94970976.420000017</v>
      </c>
      <c r="N106" s="75">
        <f t="shared" si="49"/>
        <v>81866855.860000014</v>
      </c>
      <c r="O106" s="75">
        <f t="shared" si="49"/>
        <v>80815803.73999998</v>
      </c>
      <c r="P106" s="75">
        <f t="shared" si="49"/>
        <v>93936445.850000009</v>
      </c>
      <c r="Q106" s="75">
        <f t="shared" si="49"/>
        <v>91854698.299999997</v>
      </c>
      <c r="R106" s="76">
        <f t="shared" si="49"/>
        <v>112771922.60000001</v>
      </c>
      <c r="S106" s="100">
        <f t="shared" si="42"/>
        <v>1054288587.1899999</v>
      </c>
      <c r="T106" s="435">
        <f t="shared" si="43"/>
        <v>17.074605435007932</v>
      </c>
      <c r="V106" s="275"/>
      <c r="W106" s="275"/>
    </row>
    <row r="107" spans="1:23">
      <c r="A107" s="105" t="str">
        <f t="shared" si="37"/>
        <v>411p</v>
      </c>
      <c r="B107" s="564" t="str">
        <f>+VLOOKUP(LEFT($A107,LEN(A107)-1)*1,Master!$D$30:$G$229,4,FALSE)</f>
        <v>Bruto zarade i doprinosi na teret poslodavca</v>
      </c>
      <c r="C107" s="565"/>
      <c r="D107" s="565"/>
      <c r="E107" s="565"/>
      <c r="F107" s="565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42"/>
        <v>627306329.07000005</v>
      </c>
      <c r="T107" s="436">
        <f t="shared" si="43"/>
        <v>10.159465051501313</v>
      </c>
      <c r="V107" s="488"/>
    </row>
    <row r="108" spans="1:23">
      <c r="A108" s="105" t="str">
        <f t="shared" si="37"/>
        <v>412p</v>
      </c>
      <c r="B108" s="564" t="str">
        <f>+VLOOKUP(LEFT($A108,LEN(A108)-1)*1,Master!$D$30:$G$229,4,FALSE)</f>
        <v>Ostala lična primanja</v>
      </c>
      <c r="C108" s="565"/>
      <c r="D108" s="565"/>
      <c r="E108" s="565"/>
      <c r="F108" s="565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42"/>
        <v>19652018.739999998</v>
      </c>
      <c r="T108" s="436">
        <f t="shared" si="43"/>
        <v>0.31827193243287011</v>
      </c>
      <c r="V108" s="488"/>
    </row>
    <row r="109" spans="1:23">
      <c r="A109" s="105" t="str">
        <f t="shared" si="37"/>
        <v>413p</v>
      </c>
      <c r="B109" s="564" t="str">
        <f>+VLOOKUP(LEFT($A109,LEN(A109)-1)*1,Master!$D$30:$G$229,4,FALSE)</f>
        <v>Rashodi za materijal</v>
      </c>
      <c r="C109" s="565"/>
      <c r="D109" s="565"/>
      <c r="E109" s="565"/>
      <c r="F109" s="565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42"/>
        <v>53726729.589999996</v>
      </c>
      <c r="T109" s="436">
        <f t="shared" si="43"/>
        <v>0.8701248597479998</v>
      </c>
      <c r="V109" s="488"/>
    </row>
    <row r="110" spans="1:23">
      <c r="A110" s="105" t="str">
        <f t="shared" si="37"/>
        <v>414p</v>
      </c>
      <c r="B110" s="564" t="str">
        <f>+VLOOKUP(LEFT($A110,LEN(A110)-1)*1,Master!$D$30:$G$229,4,FALSE)</f>
        <v>Rashodi za usluge</v>
      </c>
      <c r="C110" s="565"/>
      <c r="D110" s="565"/>
      <c r="E110" s="565"/>
      <c r="F110" s="565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42"/>
        <v>66414663.019999959</v>
      </c>
      <c r="T110" s="436">
        <f t="shared" si="43"/>
        <v>1.0756107767304759</v>
      </c>
      <c r="V110" s="488"/>
    </row>
    <row r="111" spans="1:23">
      <c r="A111" s="105" t="str">
        <f t="shared" si="37"/>
        <v>415p</v>
      </c>
      <c r="B111" s="564" t="str">
        <f>+VLOOKUP(LEFT($A111,LEN(A111)-1)*1,Master!$D$30:$G$229,4,FALSE)</f>
        <v>Rashodi za tekuće održavanje</v>
      </c>
      <c r="C111" s="565"/>
      <c r="D111" s="565"/>
      <c r="E111" s="565"/>
      <c r="F111" s="565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42"/>
        <v>35579121.740000002</v>
      </c>
      <c r="T111" s="436">
        <f t="shared" si="43"/>
        <v>0.57621743497554501</v>
      </c>
      <c r="V111" s="488"/>
    </row>
    <row r="112" spans="1:23">
      <c r="A112" s="105" t="str">
        <f t="shared" si="37"/>
        <v>416p</v>
      </c>
      <c r="B112" s="564" t="str">
        <f>+VLOOKUP(LEFT($A112,LEN(A112)-1)*1,Master!$D$30:$G$229,4,FALSE)</f>
        <v>Kamate</v>
      </c>
      <c r="C112" s="565"/>
      <c r="D112" s="565"/>
      <c r="E112" s="565"/>
      <c r="F112" s="565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42"/>
        <v>109927809.38000001</v>
      </c>
      <c r="T112" s="436">
        <f t="shared" si="43"/>
        <v>1.7803227639037349</v>
      </c>
      <c r="V112" s="488"/>
    </row>
    <row r="113" spans="1:22">
      <c r="A113" s="105" t="str">
        <f t="shared" si="37"/>
        <v>417p</v>
      </c>
      <c r="B113" s="564" t="str">
        <f>+VLOOKUP(LEFT($A113,LEN(A113)-1)*1,Master!$D$30:$G$229,4,FALSE)</f>
        <v>Renta</v>
      </c>
      <c r="C113" s="565"/>
      <c r="D113" s="565"/>
      <c r="E113" s="565"/>
      <c r="F113" s="565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42"/>
        <v>12254306.269999998</v>
      </c>
      <c r="T113" s="436">
        <f t="shared" si="43"/>
        <v>0.19846315988080193</v>
      </c>
      <c r="V113" s="488"/>
    </row>
    <row r="114" spans="1:22">
      <c r="A114" s="105" t="str">
        <f t="shared" si="37"/>
        <v>418p</v>
      </c>
      <c r="B114" s="564" t="str">
        <f>+VLOOKUP(LEFT($A114,LEN(A114)-1)*1,Master!$D$30:$G$229,4,FALSE)</f>
        <v>Subvencije</v>
      </c>
      <c r="C114" s="565"/>
      <c r="D114" s="565"/>
      <c r="E114" s="565"/>
      <c r="F114" s="565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42"/>
        <v>60973265.960000008</v>
      </c>
      <c r="T114" s="436">
        <f t="shared" si="43"/>
        <v>0.98748527775078565</v>
      </c>
      <c r="V114" s="488"/>
    </row>
    <row r="115" spans="1:22">
      <c r="A115" s="105" t="str">
        <f t="shared" si="37"/>
        <v>419p</v>
      </c>
      <c r="B115" s="564" t="str">
        <f>+VLOOKUP(LEFT($A115,LEN(A115)-1)*1,Master!$D$30:$G$229,4,FALSE)</f>
        <v>Ostali izdaci</v>
      </c>
      <c r="C115" s="565"/>
      <c r="D115" s="565"/>
      <c r="E115" s="565"/>
      <c r="F115" s="565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42"/>
        <v>68454343.420000017</v>
      </c>
      <c r="T115" s="436">
        <f t="shared" si="43"/>
        <v>1.1086441780844105</v>
      </c>
      <c r="V115" s="488"/>
    </row>
    <row r="116" spans="1:22">
      <c r="A116" s="105" t="str">
        <f t="shared" si="37"/>
        <v>42p</v>
      </c>
      <c r="B116" s="560" t="str">
        <f>+VLOOKUP(LEFT($A116,LEN(A116)-1)*1,Master!$D$30:$G$229,4,FALSE)</f>
        <v>Transferi za socijalnu zaštitu</v>
      </c>
      <c r="C116" s="561"/>
      <c r="D116" s="561"/>
      <c r="E116" s="561"/>
      <c r="F116" s="561"/>
      <c r="G116" s="74">
        <f t="shared" ref="G116:L116" si="50">+SUM(G117:G121)</f>
        <v>64631162.970000006</v>
      </c>
      <c r="H116" s="74">
        <f t="shared" si="50"/>
        <v>64593275.310000002</v>
      </c>
      <c r="I116" s="74">
        <f t="shared" si="50"/>
        <v>64593275.430000007</v>
      </c>
      <c r="J116" s="74">
        <f t="shared" si="50"/>
        <v>64693275.430000007</v>
      </c>
      <c r="K116" s="74">
        <f t="shared" si="50"/>
        <v>64693275.430000007</v>
      </c>
      <c r="L116" s="74">
        <f t="shared" si="50"/>
        <v>64793279.390000008</v>
      </c>
      <c r="M116" s="74">
        <f t="shared" ref="M116:R116" si="51">+SUM(M117:M121)</f>
        <v>66194886.530000009</v>
      </c>
      <c r="N116" s="74">
        <f t="shared" si="51"/>
        <v>66197971.850000009</v>
      </c>
      <c r="O116" s="74">
        <f t="shared" si="51"/>
        <v>66197971.850000009</v>
      </c>
      <c r="P116" s="74">
        <f t="shared" si="51"/>
        <v>66197971.760000005</v>
      </c>
      <c r="Q116" s="74">
        <f t="shared" si="51"/>
        <v>66197971.850000009</v>
      </c>
      <c r="R116" s="74">
        <f t="shared" si="51"/>
        <v>66197971.939999998</v>
      </c>
      <c r="S116" s="102">
        <f t="shared" si="42"/>
        <v>785182289.74000001</v>
      </c>
      <c r="T116" s="437">
        <f t="shared" si="43"/>
        <v>12.716326397499433</v>
      </c>
      <c r="V116" s="292"/>
    </row>
    <row r="117" spans="1:22">
      <c r="A117" s="105" t="str">
        <f t="shared" si="37"/>
        <v>421p</v>
      </c>
      <c r="B117" s="564" t="str">
        <f>+VLOOKUP(LEFT($A117,LEN(A117)-1)*1,Master!$D$30:$G$229,4,FALSE)</f>
        <v>Prava iz oblasti socijalne zaštite</v>
      </c>
      <c r="C117" s="565"/>
      <c r="D117" s="565"/>
      <c r="E117" s="565"/>
      <c r="F117" s="565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42"/>
        <v>190160811.71000004</v>
      </c>
      <c r="T117" s="436">
        <f t="shared" si="43"/>
        <v>3.0797268116153282</v>
      </c>
      <c r="V117" s="488"/>
    </row>
    <row r="118" spans="1:22">
      <c r="A118" s="105" t="str">
        <f t="shared" ref="A118:A134" si="52">+CONCATENATE(A42,"p")</f>
        <v>422p</v>
      </c>
      <c r="B118" s="564" t="str">
        <f>+VLOOKUP(LEFT($A118,LEN(A118)-1)*1,Master!$D$30:$G$229,4,FALSE)</f>
        <v>Sredstva za tehnološke viškove</v>
      </c>
      <c r="C118" s="565"/>
      <c r="D118" s="565"/>
      <c r="E118" s="565"/>
      <c r="F118" s="565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42"/>
        <v>28611075.999999996</v>
      </c>
      <c r="T118" s="436">
        <f t="shared" si="43"/>
        <v>0.46336727885207135</v>
      </c>
      <c r="V118" s="488"/>
    </row>
    <row r="119" spans="1:22">
      <c r="A119" s="105" t="str">
        <f t="shared" si="52"/>
        <v>423p</v>
      </c>
      <c r="B119" s="564" t="str">
        <f>+VLOOKUP(LEFT($A119,LEN(A119)-1)*1,Master!$D$30:$G$229,4,FALSE)</f>
        <v>Prava iz oblasti penzijskog i invalidskog osiguranja</v>
      </c>
      <c r="C119" s="565"/>
      <c r="D119" s="565"/>
      <c r="E119" s="565"/>
      <c r="F119" s="565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42"/>
        <v>529750402.03000009</v>
      </c>
      <c r="T119" s="436">
        <f t="shared" si="43"/>
        <v>8.5795096367376029</v>
      </c>
      <c r="V119" s="488"/>
    </row>
    <row r="120" spans="1:22">
      <c r="A120" s="105" t="str">
        <f t="shared" si="52"/>
        <v>424p</v>
      </c>
      <c r="B120" s="564" t="str">
        <f>+VLOOKUP(LEFT($A120,LEN(A120)-1)*1,Master!$D$30:$G$229,4,FALSE)</f>
        <v>Ostala prava iz oblasti zdravstvene zaštite</v>
      </c>
      <c r="C120" s="565"/>
      <c r="D120" s="565"/>
      <c r="E120" s="565"/>
      <c r="F120" s="565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42"/>
        <v>21060000</v>
      </c>
      <c r="T120" s="436">
        <f t="shared" si="43"/>
        <v>0.34107472548829071</v>
      </c>
      <c r="V120" s="488"/>
    </row>
    <row r="121" spans="1:22">
      <c r="A121" s="105" t="str">
        <f t="shared" si="52"/>
        <v>425p</v>
      </c>
      <c r="B121" s="564" t="str">
        <f>+VLOOKUP(LEFT($A121,LEN(A121)-1)*1,Master!$D$30:$G$229,4,FALSE)</f>
        <v>Ostala prava iz zdravstvenog osiguranja</v>
      </c>
      <c r="C121" s="565"/>
      <c r="D121" s="565"/>
      <c r="E121" s="565"/>
      <c r="F121" s="565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42"/>
        <v>15600000</v>
      </c>
      <c r="T121" s="436">
        <f t="shared" si="43"/>
        <v>0.25264794480614128</v>
      </c>
      <c r="V121" s="488"/>
    </row>
    <row r="122" spans="1:22">
      <c r="A122" s="105" t="str">
        <f t="shared" si="52"/>
        <v>43p</v>
      </c>
      <c r="B122" s="562" t="str">
        <f>+VLOOKUP(LEFT($A122,LEN(A122)-1)*1,Master!$D$30:$G$229,4,FALSE)</f>
        <v xml:space="preserve">Transferi institucijama, pojedincima, nevladinom i javnom sektoru </v>
      </c>
      <c r="C122" s="563"/>
      <c r="D122" s="563"/>
      <c r="E122" s="563"/>
      <c r="F122" s="563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43"/>
        <v>5.7077314491626998</v>
      </c>
      <c r="V122" s="488"/>
    </row>
    <row r="123" spans="1:22">
      <c r="A123" s="105" t="str">
        <f t="shared" si="52"/>
        <v>44p</v>
      </c>
      <c r="B123" s="562" t="str">
        <f>+VLOOKUP(LEFT($A123,LEN(A123)-1)*1,Master!$D$30:$G$229,4,FALSE)</f>
        <v>Kapitalni izdaci</v>
      </c>
      <c r="C123" s="563"/>
      <c r="D123" s="563"/>
      <c r="E123" s="563"/>
      <c r="F123" s="563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43"/>
        <v>4.0663124239626862</v>
      </c>
      <c r="U123" s="292"/>
      <c r="V123" s="488"/>
    </row>
    <row r="124" spans="1:22">
      <c r="A124" s="105" t="str">
        <f t="shared" si="52"/>
        <v>451p</v>
      </c>
      <c r="B124" s="554" t="str">
        <f>+VLOOKUP(LEFT($A124,LEN(A124)-1)*1,Master!$D$30:$G$229,4,FALSE)</f>
        <v>Pozajmice i krediti</v>
      </c>
      <c r="C124" s="555"/>
      <c r="D124" s="555"/>
      <c r="E124" s="555"/>
      <c r="F124" s="555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42"/>
        <v>4524007</v>
      </c>
      <c r="T124" s="436">
        <f t="shared" si="43"/>
        <v>7.3268017361448515E-2</v>
      </c>
      <c r="U124" s="292"/>
      <c r="V124" s="488"/>
    </row>
    <row r="125" spans="1:22">
      <c r="A125" s="105" t="str">
        <f t="shared" si="52"/>
        <v>47p</v>
      </c>
      <c r="B125" s="554" t="str">
        <f>+VLOOKUP(LEFT($A125,LEN(A125)-1)*1,Master!$D$30:$G$229,4,FALSE)</f>
        <v>Rezerve</v>
      </c>
      <c r="C125" s="555"/>
      <c r="D125" s="555"/>
      <c r="E125" s="555"/>
      <c r="F125" s="555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42"/>
        <v>38847999</v>
      </c>
      <c r="T125" s="436">
        <f t="shared" si="43"/>
        <v>0.62915814789621993</v>
      </c>
      <c r="U125" s="292"/>
      <c r="V125" s="488"/>
    </row>
    <row r="126" spans="1:22">
      <c r="A126" s="105" t="str">
        <f t="shared" si="52"/>
        <v>462p</v>
      </c>
      <c r="B126" s="554" t="str">
        <f>+VLOOKUP(LEFT($A126,LEN(A126)-1)*1,Master!$D$30:$G$229,4,FALSE)</f>
        <v>Otplata garancija</v>
      </c>
      <c r="C126" s="555"/>
      <c r="D126" s="555"/>
      <c r="E126" s="555"/>
      <c r="F126" s="555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42"/>
        <v>1.9999999999999998</v>
      </c>
      <c r="T126" s="436">
        <f t="shared" si="43"/>
        <v>3.23907621546335E-8</v>
      </c>
      <c r="U126" s="292"/>
      <c r="V126" s="488"/>
    </row>
    <row r="127" spans="1:22">
      <c r="A127" s="106" t="str">
        <f t="shared" si="52"/>
        <v>4630p</v>
      </c>
      <c r="B127" s="554" t="str">
        <f>+VLOOKUP(LEFT($A127,LEN(A127)-1)*1,Master!$D$30:$G$229,4,FALSE)</f>
        <v>Otplata obaveza iz prethodnog perioda</v>
      </c>
      <c r="C127" s="555"/>
      <c r="D127" s="555"/>
      <c r="E127" s="555"/>
      <c r="F127" s="555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43"/>
        <v>0.44427413370906715</v>
      </c>
      <c r="U127" s="292"/>
      <c r="V127" s="488"/>
    </row>
    <row r="128" spans="1:22" ht="13.5" thickBot="1">
      <c r="A128" s="105" t="str">
        <f t="shared" si="52"/>
        <v>1005p</v>
      </c>
      <c r="B128" s="554" t="str">
        <f>+VLOOKUP(LEFT($A128,LEN(A128)-1)*1,Master!$D$30:$G$229,4,FALSE)</f>
        <v>Neto povećanje obaveza</v>
      </c>
      <c r="C128" s="555"/>
      <c r="D128" s="555"/>
      <c r="E128" s="555"/>
      <c r="F128" s="555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43"/>
        <v>0</v>
      </c>
      <c r="U128" s="292"/>
      <c r="V128" s="292"/>
    </row>
    <row r="129" spans="1:22" ht="13.5" thickBot="1">
      <c r="A129" s="106" t="str">
        <f t="shared" si="52"/>
        <v>1000p</v>
      </c>
      <c r="B129" s="556" t="str">
        <f>+VLOOKUP(LEFT($A129,LEN(A129)-1)*1,Master!$D$30:$G$226,4,FALSE)</f>
        <v>Suficit / deficit</v>
      </c>
      <c r="C129" s="557"/>
      <c r="D129" s="557"/>
      <c r="E129" s="557"/>
      <c r="F129" s="557"/>
      <c r="G129" s="82">
        <f t="shared" ref="G129:L129" si="53">+G86-G105</f>
        <v>-22397133.607592493</v>
      </c>
      <c r="H129" s="82">
        <f t="shared" si="53"/>
        <v>-67071345.814519361</v>
      </c>
      <c r="I129" s="82">
        <f t="shared" si="53"/>
        <v>-2316292.9897459149</v>
      </c>
      <c r="J129" s="82">
        <f t="shared" si="53"/>
        <v>-17885734.609765023</v>
      </c>
      <c r="K129" s="82">
        <f t="shared" si="53"/>
        <v>-41471663.368712515</v>
      </c>
      <c r="L129" s="82">
        <f t="shared" si="53"/>
        <v>-27277595.668724924</v>
      </c>
      <c r="M129" s="82">
        <f t="shared" ref="M129:R129" si="54">+M86-M105</f>
        <v>-55367145.076071084</v>
      </c>
      <c r="N129" s="82">
        <f t="shared" si="54"/>
        <v>-6467668.1569713652</v>
      </c>
      <c r="O129" s="82">
        <f t="shared" si="54"/>
        <v>-27310745.93416518</v>
      </c>
      <c r="P129" s="82">
        <f t="shared" si="54"/>
        <v>-41600384.900887519</v>
      </c>
      <c r="Q129" s="82">
        <f t="shared" si="54"/>
        <v>-46834285.210350275</v>
      </c>
      <c r="R129" s="82">
        <f t="shared" si="54"/>
        <v>-10316938.668598384</v>
      </c>
      <c r="S129" s="95">
        <f t="shared" si="42"/>
        <v>-366316934.00610411</v>
      </c>
      <c r="T129" s="442">
        <f t="shared" si="43"/>
        <v>-5.932642341303147</v>
      </c>
      <c r="U129" s="292"/>
      <c r="V129" s="292"/>
    </row>
    <row r="130" spans="1:22" ht="13.5" thickBot="1">
      <c r="A130" s="106" t="str">
        <f t="shared" si="52"/>
        <v>1001p</v>
      </c>
      <c r="B130" s="558" t="str">
        <f>+VLOOKUP(LEFT($A130,LEN(A130)-1)*1,Master!$D$30:$G$226,4,FALSE)</f>
        <v>Primarni suficit/deficit</v>
      </c>
      <c r="C130" s="559"/>
      <c r="D130" s="559"/>
      <c r="E130" s="559"/>
      <c r="F130" s="559"/>
      <c r="G130" s="83">
        <f>+G129+G112</f>
        <v>-16955013.227592494</v>
      </c>
      <c r="H130" s="83">
        <f t="shared" ref="H130:L130" si="55">+H129+H112</f>
        <v>-64630035.204519361</v>
      </c>
      <c r="I130" s="83">
        <f t="shared" si="55"/>
        <v>-314464.45974591444</v>
      </c>
      <c r="J130" s="83">
        <f t="shared" si="55"/>
        <v>6704359.1802349798</v>
      </c>
      <c r="K130" s="83">
        <f t="shared" si="55"/>
        <v>-30861356.008712515</v>
      </c>
      <c r="L130" s="83">
        <f t="shared" si="55"/>
        <v>-24201043.138724923</v>
      </c>
      <c r="M130" s="83">
        <f t="shared" ref="M130:R130" si="56">+M129+M112</f>
        <v>-45628256.98607108</v>
      </c>
      <c r="N130" s="83">
        <f t="shared" si="56"/>
        <v>-3687920.8469713656</v>
      </c>
      <c r="O130" s="83">
        <f t="shared" si="56"/>
        <v>-25434319.32416518</v>
      </c>
      <c r="P130" s="83">
        <f t="shared" si="56"/>
        <v>-26802095.280887522</v>
      </c>
      <c r="Q130" s="83">
        <f t="shared" si="56"/>
        <v>-38003149.750350274</v>
      </c>
      <c r="R130" s="83">
        <f t="shared" si="56"/>
        <v>13424170.421401616</v>
      </c>
      <c r="S130" s="95">
        <f t="shared" si="42"/>
        <v>-256389124.626104</v>
      </c>
      <c r="T130" s="442">
        <f t="shared" si="43"/>
        <v>-4.1523195773994104</v>
      </c>
      <c r="U130" s="292"/>
      <c r="V130" s="292"/>
    </row>
    <row r="131" spans="1:22">
      <c r="A131" s="106" t="str">
        <f t="shared" si="52"/>
        <v>46p</v>
      </c>
      <c r="B131" s="560" t="str">
        <f>+VLOOKUP(LEFT($A131,LEN(A131)-1)*1,Master!$D$30:$G$226,4,FALSE)</f>
        <v>Otplata dugova</v>
      </c>
      <c r="C131" s="561"/>
      <c r="D131" s="561"/>
      <c r="E131" s="561"/>
      <c r="F131" s="561"/>
      <c r="G131" s="74">
        <f>+SUM(G132:G133)</f>
        <v>30842089.259999998</v>
      </c>
      <c r="H131" s="74">
        <f t="shared" ref="H131:L131" si="57">+SUM(H132:H133)</f>
        <v>6803111.790000001</v>
      </c>
      <c r="I131" s="74">
        <f t="shared" si="57"/>
        <v>9004349.7899999991</v>
      </c>
      <c r="J131" s="74">
        <f t="shared" si="57"/>
        <v>7976370.0700000003</v>
      </c>
      <c r="K131" s="74">
        <f t="shared" si="57"/>
        <v>92780108.99000001</v>
      </c>
      <c r="L131" s="74">
        <f t="shared" si="57"/>
        <v>14226825.530000001</v>
      </c>
      <c r="M131" s="456">
        <f t="shared" ref="M131" si="58">+SUM(M132:M133)</f>
        <v>40968432.359999999</v>
      </c>
      <c r="N131" s="74">
        <f t="shared" ref="N131:R131" si="59">+SUM(N132:N133)</f>
        <v>9320542.290000001</v>
      </c>
      <c r="O131" s="74">
        <f t="shared" si="59"/>
        <v>19467352.800000001</v>
      </c>
      <c r="P131" s="74">
        <f t="shared" si="59"/>
        <v>19749872.740000002</v>
      </c>
      <c r="Q131" s="74">
        <f t="shared" si="59"/>
        <v>64752298.200000003</v>
      </c>
      <c r="R131" s="74">
        <f t="shared" si="59"/>
        <v>22194542.870000001</v>
      </c>
      <c r="S131" s="93">
        <f t="shared" si="42"/>
        <v>338085896.69000006</v>
      </c>
      <c r="T131" s="443">
        <f t="shared" si="43"/>
        <v>5.4754299337608927</v>
      </c>
      <c r="U131" s="292"/>
      <c r="V131" s="292"/>
    </row>
    <row r="132" spans="1:22">
      <c r="A132" s="106" t="str">
        <f t="shared" si="52"/>
        <v>4611p</v>
      </c>
      <c r="B132" s="552" t="str">
        <f>+VLOOKUP(LEFT($A132,LEN(A132)-1)*1,Master!$D$30:$G$226,4,FALSE)</f>
        <v>Otplata hartija od vrijednosti i kredita rezidentima</v>
      </c>
      <c r="C132" s="553"/>
      <c r="D132" s="553"/>
      <c r="E132" s="553"/>
      <c r="F132" s="553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42"/>
        <v>96555896.690000013</v>
      </c>
      <c r="T132" s="444">
        <f t="shared" si="43"/>
        <v>1.5637595421565773</v>
      </c>
      <c r="U132" s="292"/>
      <c r="V132" s="292"/>
    </row>
    <row r="133" spans="1:22" ht="13.5" thickBot="1">
      <c r="A133" s="106" t="str">
        <f t="shared" si="52"/>
        <v>4612p</v>
      </c>
      <c r="B133" s="554" t="str">
        <f>+VLOOKUP(LEFT($A133,LEN(A133)-1)*1,Master!$D$30:$G$226,4,FALSE)</f>
        <v>Otplata hartija od vrijednosti i kredita nerezidentima</v>
      </c>
      <c r="C133" s="555"/>
      <c r="D133" s="555"/>
      <c r="E133" s="555"/>
      <c r="F133" s="555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42"/>
        <v>241530000</v>
      </c>
      <c r="T133" s="444">
        <f t="shared" si="43"/>
        <v>3.9116703916043147</v>
      </c>
      <c r="U133" s="292"/>
      <c r="V133" s="292"/>
    </row>
    <row r="134" spans="1:22" ht="13.5" thickBot="1">
      <c r="A134" s="106" t="str">
        <f t="shared" si="52"/>
        <v>4418p</v>
      </c>
      <c r="B134" s="548" t="str">
        <f>+VLOOKUP(LEFT($A134,LEN(A134)-1)*1,Master!$D$30:$G$226,4,FALSE)</f>
        <v>Izdaci za kupovinu hartija od vrijednosti</v>
      </c>
      <c r="C134" s="549"/>
      <c r="D134" s="549"/>
      <c r="E134" s="549"/>
      <c r="F134" s="549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42"/>
        <v>779000</v>
      </c>
      <c r="T134" s="451">
        <f t="shared" si="43"/>
        <v>1.2616201859229747E-2</v>
      </c>
      <c r="U134" s="292"/>
      <c r="V134" s="292"/>
    </row>
    <row r="135" spans="1:22" ht="13.5" thickBot="1">
      <c r="A135" s="106" t="s">
        <v>856</v>
      </c>
      <c r="B135" s="548" t="s">
        <v>113</v>
      </c>
      <c r="C135" s="549"/>
      <c r="D135" s="549"/>
      <c r="E135" s="549"/>
      <c r="F135" s="549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42"/>
        <v>0</v>
      </c>
      <c r="T135" s="451">
        <f t="shared" si="43"/>
        <v>0</v>
      </c>
      <c r="U135" s="292"/>
      <c r="V135" s="292"/>
    </row>
    <row r="136" spans="1:22" ht="13.5" thickBot="1">
      <c r="A136" s="106" t="str">
        <f>+CONCATENATE(A60,"p")</f>
        <v>1002p</v>
      </c>
      <c r="B136" s="550" t="str">
        <f>+VLOOKUP(LEFT($A136,LEN(A136)-1)*1,Master!$D$30:$G$226,4,FALSE)</f>
        <v>Nedostajuća sredstva</v>
      </c>
      <c r="C136" s="551"/>
      <c r="D136" s="551"/>
      <c r="E136" s="551"/>
      <c r="F136" s="551"/>
      <c r="G136" s="67">
        <f t="shared" ref="G136:L136" si="60">+G129-G131-G134</f>
        <v>-53245889.537592493</v>
      </c>
      <c r="H136" s="67">
        <f t="shared" si="60"/>
        <v>-73881124.274519369</v>
      </c>
      <c r="I136" s="67">
        <f t="shared" si="60"/>
        <v>-11706309.449745914</v>
      </c>
      <c r="J136" s="67">
        <f t="shared" si="60"/>
        <v>-26168771.349765025</v>
      </c>
      <c r="K136" s="67">
        <f t="shared" si="60"/>
        <v>-134258439.02871251</v>
      </c>
      <c r="L136" s="67">
        <f t="shared" si="60"/>
        <v>-41511087.848724924</v>
      </c>
      <c r="M136" s="67">
        <f t="shared" ref="M136:R136" si="61">+M129-M131-M134</f>
        <v>-96345577.436071083</v>
      </c>
      <c r="N136" s="67">
        <f t="shared" si="61"/>
        <v>-15798210.446971366</v>
      </c>
      <c r="O136" s="67">
        <f t="shared" si="61"/>
        <v>-46788098.734165177</v>
      </c>
      <c r="P136" s="67">
        <f t="shared" si="61"/>
        <v>-61360257.640887521</v>
      </c>
      <c r="Q136" s="67">
        <f t="shared" si="61"/>
        <v>-111596583.41035028</v>
      </c>
      <c r="R136" s="67">
        <f t="shared" si="61"/>
        <v>-32521481.538598385</v>
      </c>
      <c r="S136" s="98">
        <f t="shared" si="42"/>
        <v>-705181830.69610417</v>
      </c>
      <c r="T136" s="446">
        <f t="shared" si="43"/>
        <v>-11.420688476923269</v>
      </c>
      <c r="U136" s="292"/>
      <c r="V136" s="292"/>
    </row>
    <row r="137" spans="1:22" ht="13.5" thickBot="1">
      <c r="A137" s="106" t="str">
        <f>+CONCATENATE(A61,"p")</f>
        <v>1003p</v>
      </c>
      <c r="B137" s="548" t="str">
        <f>+VLOOKUP(LEFT($A137,LEN(A137)-1)*1,Master!$D$30:$G$226,4,FALSE)</f>
        <v>Finansiranje</v>
      </c>
      <c r="C137" s="549"/>
      <c r="D137" s="549"/>
      <c r="E137" s="549"/>
      <c r="F137" s="549"/>
      <c r="G137" s="82">
        <f t="shared" ref="G137:L137" si="62">+SUM(G138:G142)</f>
        <v>53245889.537592493</v>
      </c>
      <c r="H137" s="82">
        <f t="shared" si="62"/>
        <v>73881124.274519369</v>
      </c>
      <c r="I137" s="82">
        <f t="shared" si="62"/>
        <v>11706309.449745908</v>
      </c>
      <c r="J137" s="82">
        <f t="shared" si="62"/>
        <v>26168771.349765025</v>
      </c>
      <c r="K137" s="82">
        <f t="shared" si="62"/>
        <v>134258439.02871251</v>
      </c>
      <c r="L137" s="82">
        <f t="shared" si="62"/>
        <v>41511087.848724924</v>
      </c>
      <c r="M137" s="82">
        <f t="shared" ref="M137:R137" si="63">+SUM(M138:M142)</f>
        <v>96345577.436071083</v>
      </c>
      <c r="N137" s="82">
        <f t="shared" si="63"/>
        <v>15798210.446971366</v>
      </c>
      <c r="O137" s="82">
        <f t="shared" si="63"/>
        <v>46788098.734165192</v>
      </c>
      <c r="P137" s="82">
        <f t="shared" si="63"/>
        <v>61360257.640887521</v>
      </c>
      <c r="Q137" s="82">
        <f t="shared" si="63"/>
        <v>111596583.41035028</v>
      </c>
      <c r="R137" s="82">
        <f t="shared" si="63"/>
        <v>32521481.538598385</v>
      </c>
      <c r="S137" s="99">
        <f t="shared" si="42"/>
        <v>705181830.69610417</v>
      </c>
      <c r="T137" s="447">
        <f t="shared" si="43"/>
        <v>11.420688476923269</v>
      </c>
      <c r="U137" s="292"/>
      <c r="V137" s="292"/>
    </row>
    <row r="138" spans="1:22">
      <c r="A138" s="106" t="str">
        <f>+CONCATENATE(A62,"p")</f>
        <v>7511p</v>
      </c>
      <c r="B138" s="552" t="str">
        <f>+VLOOKUP(LEFT($A138,LEN(A138)-1)*1,Master!$D$30:$G$226,4,FALSE)</f>
        <v>Pozajmice i krediti od domaćih izvora</v>
      </c>
      <c r="C138" s="553"/>
      <c r="D138" s="553"/>
      <c r="E138" s="553"/>
      <c r="F138" s="553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42"/>
        <v>100000000</v>
      </c>
      <c r="T138" s="444">
        <f t="shared" si="43"/>
        <v>1.6195381077316748</v>
      </c>
      <c r="U138" s="292"/>
      <c r="V138" s="292"/>
    </row>
    <row r="139" spans="1:22">
      <c r="A139" s="106" t="str">
        <f>+CONCATENATE(A63,"p")</f>
        <v>7512p</v>
      </c>
      <c r="B139" s="554" t="str">
        <f>+VLOOKUP(LEFT($A139,LEN(A139)-1)*1,Master!$D$30:$G$226,4,FALSE)</f>
        <v>Pozajmice i krediti od inostranih izvora</v>
      </c>
      <c r="C139" s="555"/>
      <c r="D139" s="555"/>
      <c r="E139" s="555"/>
      <c r="F139" s="555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42"/>
        <v>499181830.68901968</v>
      </c>
      <c r="T139" s="444">
        <f t="shared" si="43"/>
        <v>8.084439974881283</v>
      </c>
      <c r="U139" s="292"/>
      <c r="V139" s="292"/>
    </row>
    <row r="140" spans="1:22">
      <c r="A140" s="106" t="str">
        <f>+CONCATENATE(A64,"p")</f>
        <v>72p</v>
      </c>
      <c r="B140" s="554" t="str">
        <f>+VLOOKUP(LEFT($A140,LEN(A140)-1)*1,Master!$D$30:$G$226,4,FALSE)</f>
        <v>Primici od prodaje imovine</v>
      </c>
      <c r="C140" s="555"/>
      <c r="D140" s="555"/>
      <c r="E140" s="555"/>
      <c r="F140" s="555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42"/>
        <v>6000000</v>
      </c>
      <c r="T140" s="444">
        <f t="shared" si="43"/>
        <v>9.7172286463900498E-2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 t="shared" si="42"/>
        <v>0</v>
      </c>
      <c r="T141" s="444">
        <f t="shared" si="43"/>
        <v>0</v>
      </c>
      <c r="U141" s="292"/>
      <c r="V141" s="292"/>
    </row>
    <row r="142" spans="1:22" ht="13.5" thickBot="1">
      <c r="A142" s="106" t="str">
        <f t="shared" ref="A142" si="64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65">-H136-SUM(H138:H140)</f>
        <v>73381124.274519369</v>
      </c>
      <c r="I142" s="86">
        <f t="shared" si="65"/>
        <v>-88793690.550254092</v>
      </c>
      <c r="J142" s="86">
        <f t="shared" si="65"/>
        <v>25668771.349765025</v>
      </c>
      <c r="K142" s="86">
        <f t="shared" si="65"/>
        <v>133758439.02871251</v>
      </c>
      <c r="L142" s="86">
        <f t="shared" si="65"/>
        <v>41011087.848724924</v>
      </c>
      <c r="M142" s="86">
        <f t="shared" ref="M142:R142" si="66">-M136-SUM(M138:M140)</f>
        <v>95845577.436071083</v>
      </c>
      <c r="N142" s="86">
        <f t="shared" si="66"/>
        <v>15298210.446971366</v>
      </c>
      <c r="O142" s="86">
        <f t="shared" si="66"/>
        <v>-452893731.95485449</v>
      </c>
      <c r="P142" s="86">
        <f t="shared" si="66"/>
        <v>60860257.640887521</v>
      </c>
      <c r="Q142" s="86">
        <f t="shared" si="66"/>
        <v>111096583.41035028</v>
      </c>
      <c r="R142" s="86">
        <f t="shared" si="66"/>
        <v>32021481.538598385</v>
      </c>
      <c r="S142" s="94">
        <f>+SUM(G142:R142)</f>
        <v>100000000.00708437</v>
      </c>
      <c r="T142" s="448">
        <f t="shared" si="43"/>
        <v>1.6195381078464091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qWZ4hHFx3YwBzedPZ39T1Dbo//kc2SwbOCPsL9HQyz0sp1PdOUNtPnanXU9mPm16tf2/h9QKeLXRH3zhFQS+jA==" saltValue="wsSFTnvC0WdxHoQkbygnJA==" spinCount="100000" sheet="1" objects="1" scenarios="1"/>
  <mergeCells count="117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8"/>
  <sheetViews>
    <sheetView zoomScaleNormal="100" workbookViewId="0">
      <pane ySplit="1" topLeftCell="A17" activePane="bottomLeft" state="frozen"/>
      <selection pane="bottomLeft" activeCell="R66" sqref="R66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28" t="str">
        <f>+Master!G252</f>
        <v>Ostvarenje budžeta</v>
      </c>
      <c r="C7" s="529"/>
      <c r="D7" s="529"/>
      <c r="E7" s="529"/>
      <c r="F7" s="529"/>
      <c r="G7" s="537">
        <v>2022</v>
      </c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41"/>
      <c r="S7" s="220" t="str">
        <f>+Master!G249</f>
        <v>BDP</v>
      </c>
      <c r="T7" s="221">
        <v>5796761000</v>
      </c>
    </row>
    <row r="8" spans="1:23" ht="16.5" customHeight="1">
      <c r="A8" s="129"/>
      <c r="B8" s="530"/>
      <c r="C8" s="531"/>
      <c r="D8" s="531"/>
      <c r="E8" s="531"/>
      <c r="F8" s="532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37" t="str">
        <f>+Master!G247</f>
        <v>Jan - Dec</v>
      </c>
      <c r="T8" s="541"/>
    </row>
    <row r="9" spans="1:23" ht="13.5" thickBot="1">
      <c r="A9" s="129"/>
      <c r="B9" s="533"/>
      <c r="C9" s="534"/>
      <c r="D9" s="534"/>
      <c r="E9" s="534"/>
      <c r="F9" s="535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08" t="str">
        <f>+VLOOKUP($A10,Master!$D$30:$G$226,4,FALSE)</f>
        <v>Prihodi budžeta</v>
      </c>
      <c r="C10" s="509"/>
      <c r="D10" s="509"/>
      <c r="E10" s="509"/>
      <c r="F10" s="509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498" t="str">
        <f>+VLOOKUP($A11,Master!$D$30:$G$226,4,FALSE)</f>
        <v>Porezi</v>
      </c>
      <c r="C11" s="499"/>
      <c r="D11" s="499"/>
      <c r="E11" s="499"/>
      <c r="F11" s="499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00" t="str">
        <f>+VLOOKUP($A12,Master!$D$30:$G$226,4,FALSE)</f>
        <v>Porez na dohodak fizičkih lica</v>
      </c>
      <c r="C12" s="501"/>
      <c r="D12" s="501"/>
      <c r="E12" s="501"/>
      <c r="F12" s="501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00" t="str">
        <f>+VLOOKUP($A13,Master!$D$30:$G$226,4,FALSE)</f>
        <v>Porez na dobit pravnih lica</v>
      </c>
      <c r="C13" s="501"/>
      <c r="D13" s="501"/>
      <c r="E13" s="501"/>
      <c r="F13" s="501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00" t="str">
        <f>+VLOOKUP($A14,Master!$D$30:$G$226,4,FALSE)</f>
        <v>Porez na promet nepokretnosti</v>
      </c>
      <c r="C14" s="501"/>
      <c r="D14" s="501"/>
      <c r="E14" s="501"/>
      <c r="F14" s="501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00" t="str">
        <f>+VLOOKUP($A15,Master!$D$30:$G$226,4,FALSE)</f>
        <v>Porez na dodatu vrijednost</v>
      </c>
      <c r="C15" s="501"/>
      <c r="D15" s="501"/>
      <c r="E15" s="501"/>
      <c r="F15" s="501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00" t="str">
        <f>+VLOOKUP($A16,Master!$D$30:$G$226,4,FALSE)</f>
        <v>Akcize</v>
      </c>
      <c r="C16" s="501"/>
      <c r="D16" s="501"/>
      <c r="E16" s="501"/>
      <c r="F16" s="501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00" t="str">
        <f>+VLOOKUP($A17,Master!$D$30:$G$226,4,FALSE)</f>
        <v>Porez na međunarodnu trgovinu i transakcije</v>
      </c>
      <c r="C17" s="501"/>
      <c r="D17" s="501"/>
      <c r="E17" s="501"/>
      <c r="F17" s="501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00" t="str">
        <f>+VLOOKUP($A18,Master!$D$30:$G$226,4,FALSE)</f>
        <v>Ostali državni porezi</v>
      </c>
      <c r="C18" s="501"/>
      <c r="D18" s="501"/>
      <c r="E18" s="501"/>
      <c r="F18" s="501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02" t="str">
        <f>+VLOOKUP($A19,Master!$D$30:$G$226,4,FALSE)</f>
        <v>Doprinosi</v>
      </c>
      <c r="C19" s="503"/>
      <c r="D19" s="503"/>
      <c r="E19" s="503"/>
      <c r="F19" s="503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00" t="str">
        <f>+VLOOKUP($A20,Master!$D$30:$G$226,4,FALSE)</f>
        <v>Doprinosi za penzijsko i invalidsko osiguranje</v>
      </c>
      <c r="C20" s="501"/>
      <c r="D20" s="501"/>
      <c r="E20" s="501"/>
      <c r="F20" s="501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00" t="str">
        <f>+VLOOKUP($A21,Master!$D$30:$G$226,4,FALSE)</f>
        <v>Doprinosi za zdravstveno osiguranje</v>
      </c>
      <c r="C21" s="501"/>
      <c r="D21" s="501"/>
      <c r="E21" s="501"/>
      <c r="F21" s="501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00" t="str">
        <f>+VLOOKUP($A22,Master!$D$30:$G$226,4,FALSE)</f>
        <v>Doprinosi za osiguranje od nezaposlenosti</v>
      </c>
      <c r="C22" s="501"/>
      <c r="D22" s="501"/>
      <c r="E22" s="501"/>
      <c r="F22" s="501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00" t="str">
        <f>+VLOOKUP($A23,Master!$D$30:$G$226,4,FALSE)</f>
        <v>Ostali doprinosi</v>
      </c>
      <c r="C23" s="501"/>
      <c r="D23" s="501"/>
      <c r="E23" s="501"/>
      <c r="F23" s="501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02" t="str">
        <f>+VLOOKUP($A24,Master!$D$30:$G$226,4,FALSE)</f>
        <v>Takse</v>
      </c>
      <c r="C24" s="503"/>
      <c r="D24" s="503"/>
      <c r="E24" s="503"/>
      <c r="F24" s="503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02" t="str">
        <f>+VLOOKUP($A25,Master!$D$30:$G$226,4,FALSE)</f>
        <v>Naknade</v>
      </c>
      <c r="C25" s="503"/>
      <c r="D25" s="503"/>
      <c r="E25" s="503"/>
      <c r="F25" s="503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02" t="str">
        <f>+VLOOKUP($A26,Master!$D$30:$G$226,4,FALSE)</f>
        <v>Ostali prihodi</v>
      </c>
      <c r="C26" s="503"/>
      <c r="D26" s="503"/>
      <c r="E26" s="503"/>
      <c r="F26" s="503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02" t="str">
        <f>+VLOOKUP($A27,Master!$D$30:$G$226,4,FALSE)</f>
        <v>Primici od otplate kredita i sredstva prenesena iz prethodne godine</v>
      </c>
      <c r="C27" s="503"/>
      <c r="D27" s="503"/>
      <c r="E27" s="503"/>
      <c r="F27" s="503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02" t="str">
        <f>+VLOOKUP($A28,Master!$D$30:$G$226,4,FALSE)</f>
        <v>Donacije i transferi</v>
      </c>
      <c r="C28" s="503"/>
      <c r="D28" s="503"/>
      <c r="E28" s="503"/>
      <c r="F28" s="503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08" t="str">
        <f>+VLOOKUP($A29,Master!$D$30:$G$226,4,FALSE)</f>
        <v>Izdaci budžeta</v>
      </c>
      <c r="C29" s="509"/>
      <c r="D29" s="509"/>
      <c r="E29" s="509"/>
      <c r="F29" s="509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12" t="str">
        <f>+VLOOKUP($A30,Master!$D$30:$G$226,4,FALSE)</f>
        <v>Tekući izdaci</v>
      </c>
      <c r="C30" s="513"/>
      <c r="D30" s="513"/>
      <c r="E30" s="513"/>
      <c r="F30" s="513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00" t="str">
        <f>+VLOOKUP($A31,Master!$D$30:$G$226,4,FALSE)</f>
        <v>Bruto zarade i doprinosi na teret poslodavca</v>
      </c>
      <c r="C31" s="501"/>
      <c r="D31" s="501"/>
      <c r="E31" s="501"/>
      <c r="F31" s="501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00" t="str">
        <f>+VLOOKUP($A32,Master!$D$30:$G$226,4,FALSE)</f>
        <v>Ostala lična primanja</v>
      </c>
      <c r="C32" s="501"/>
      <c r="D32" s="501"/>
      <c r="E32" s="501"/>
      <c r="F32" s="501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00" t="str">
        <f>+VLOOKUP($A33,Master!$D$30:$G$226,4,FALSE)</f>
        <v>Rashodi za materijal</v>
      </c>
      <c r="C33" s="501"/>
      <c r="D33" s="501"/>
      <c r="E33" s="501"/>
      <c r="F33" s="501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595" t="str">
        <f>+VLOOKUP($A34,Master!$D$30:$G$226,4,FALSE)</f>
        <v>Rashodi za usluge</v>
      </c>
      <c r="C34" s="596"/>
      <c r="D34" s="596"/>
      <c r="E34" s="596"/>
      <c r="F34" s="596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00" t="str">
        <f>+VLOOKUP($A35,Master!$D$30:$G$226,4,FALSE)</f>
        <v>Rashodi za tekuće održavanje</v>
      </c>
      <c r="C35" s="501"/>
      <c r="D35" s="501"/>
      <c r="E35" s="501"/>
      <c r="F35" s="501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00" t="str">
        <f>+VLOOKUP($A36,Master!$D$30:$G$226,4,FALSE)</f>
        <v>Kamate</v>
      </c>
      <c r="C36" s="501"/>
      <c r="D36" s="501"/>
      <c r="E36" s="501"/>
      <c r="F36" s="501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00" t="str">
        <f>+VLOOKUP($A37,Master!$D$30:$G$226,4,FALSE)</f>
        <v>Renta</v>
      </c>
      <c r="C37" s="501"/>
      <c r="D37" s="501"/>
      <c r="E37" s="501"/>
      <c r="F37" s="501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00" t="str">
        <f>+VLOOKUP($A38,Master!$D$30:$G$226,4,FALSE)</f>
        <v>Subvencije</v>
      </c>
      <c r="C38" s="501"/>
      <c r="D38" s="501"/>
      <c r="E38" s="501"/>
      <c r="F38" s="501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00" t="str">
        <f>+VLOOKUP($A39,Master!$D$30:$G$226,4,FALSE)</f>
        <v>Ostali izdaci</v>
      </c>
      <c r="C39" s="501"/>
      <c r="D39" s="501"/>
      <c r="E39" s="501"/>
      <c r="F39" s="501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16" t="str">
        <f>+VLOOKUP($A40,Master!$D$30:$G$226,4,FALSE)</f>
        <v>Transferi za socijalnu zaštitu</v>
      </c>
      <c r="C40" s="517"/>
      <c r="D40" s="517"/>
      <c r="E40" s="517"/>
      <c r="F40" s="517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00" t="str">
        <f>+VLOOKUP($A41,Master!$D$30:$G$226,4,FALSE)</f>
        <v>Prava iz oblasti socijalne zaštite</v>
      </c>
      <c r="C41" s="501"/>
      <c r="D41" s="501"/>
      <c r="E41" s="501"/>
      <c r="F41" s="501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00" t="str">
        <f>+VLOOKUP($A42,Master!$D$30:$G$226,4,FALSE)</f>
        <v>Sredstva za tehnološke viškove</v>
      </c>
      <c r="C42" s="501"/>
      <c r="D42" s="501"/>
      <c r="E42" s="501"/>
      <c r="F42" s="501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00" t="str">
        <f>+VLOOKUP($A43,Master!$D$30:$G$226,4,FALSE)</f>
        <v>Prava iz oblasti penzijskog i invalidskog osiguranja</v>
      </c>
      <c r="C43" s="501"/>
      <c r="D43" s="501"/>
      <c r="E43" s="501"/>
      <c r="F43" s="501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00" t="str">
        <f>+VLOOKUP($A44,Master!$D$30:$G$226,4,FALSE)</f>
        <v>Ostala prava iz oblasti zdravstvene zaštite</v>
      </c>
      <c r="C44" s="501"/>
      <c r="D44" s="501"/>
      <c r="E44" s="501"/>
      <c r="F44" s="501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591" t="str">
        <f>+VLOOKUP($A45,Master!$D$30:$G$226,4,FALSE)</f>
        <v>Ostala prava iz zdravstvenog osiguranja</v>
      </c>
      <c r="C45" s="592"/>
      <c r="D45" s="592"/>
      <c r="E45" s="592"/>
      <c r="F45" s="592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14" t="str">
        <f>+VLOOKUP($A46,Master!$D$30:$G$226,4,FALSE)</f>
        <v xml:space="preserve">Transferi institucijama, pojedincima, nevladinom i javnom sektoru </v>
      </c>
      <c r="C46" s="515"/>
      <c r="D46" s="515"/>
      <c r="E46" s="515"/>
      <c r="F46" s="515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14" t="str">
        <f>+VLOOKUP($A47,Master!$D$30:$G$226,4,FALSE)</f>
        <v>Kapitalni izdaci</v>
      </c>
      <c r="C47" s="515"/>
      <c r="D47" s="515"/>
      <c r="E47" s="515"/>
      <c r="F47" s="515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593" t="str">
        <f>+VLOOKUP($A48,Master!$D$30:$G$226,4,FALSE)</f>
        <v>Pozajmice i krediti</v>
      </c>
      <c r="C48" s="594"/>
      <c r="D48" s="594"/>
      <c r="E48" s="594"/>
      <c r="F48" s="594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585" t="str">
        <f>+VLOOKUP($A49,Master!$D$30:$G$226,4,FALSE)</f>
        <v>Rezerve</v>
      </c>
      <c r="C49" s="586"/>
      <c r="D49" s="586"/>
      <c r="E49" s="586"/>
      <c r="F49" s="586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20" t="str">
        <f>+VLOOKUP($A50,Master!$D$30:$G$226,4,FALSE)</f>
        <v>Otplata garancija</v>
      </c>
      <c r="C50" s="521"/>
      <c r="D50" s="521"/>
      <c r="E50" s="521"/>
      <c r="F50" s="521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587" t="str">
        <f>+VLOOKUP($A51,Master!$D$30:$G$226,4,TRUE)</f>
        <v>Otplata obaveza iz prethodnog perioda</v>
      </c>
      <c r="C51" s="588"/>
      <c r="D51" s="588"/>
      <c r="E51" s="588"/>
      <c r="F51" s="588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589" t="str">
        <f>+VLOOKUP($A52,Master!$D$30:$G$228,4,FALSE)</f>
        <v>Neto povećanje obaveza</v>
      </c>
      <c r="C52" s="590"/>
      <c r="D52" s="590"/>
      <c r="E52" s="590"/>
      <c r="F52" s="590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542" t="str">
        <f>+VLOOKUP($A56,Master!$D$30:$G$226,4,FALSE)</f>
        <v>Otplata hartija od vrijednosti i kredita rezidentima</v>
      </c>
      <c r="C56" s="543"/>
      <c r="D56" s="543"/>
      <c r="E56" s="543"/>
      <c r="F56" s="543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518" t="str">
        <f>+VLOOKUP($A57,Master!$D$30:$G$226,4,FALSE)</f>
        <v>Otplata hartija od vrijednosti i kredita nerezidentima</v>
      </c>
      <c r="C57" s="519"/>
      <c r="D57" s="519"/>
      <c r="E57" s="519"/>
      <c r="F57" s="519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10" t="str">
        <f>+VLOOKUP($A58,Master!$D$30:$G$226,4,FALSE)</f>
        <v>Izdaci za kupovinu hartija od vrijednosti</v>
      </c>
      <c r="C58" s="511"/>
      <c r="D58" s="511"/>
      <c r="E58" s="511"/>
      <c r="F58" s="511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10" t="str">
        <f>+VLOOKUP($A59,Master!$D$30:$G$226,4,FALSE)</f>
        <v>Pozajmice i krediti</v>
      </c>
      <c r="C59" s="511"/>
      <c r="D59" s="511"/>
      <c r="E59" s="511"/>
      <c r="F59" s="511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544" t="str">
        <f>+VLOOKUP($A60,Master!$D$30:$G$226,4,FALSE)</f>
        <v>Nedostajuća sredstva</v>
      </c>
      <c r="C60" s="545"/>
      <c r="D60" s="545"/>
      <c r="E60" s="545"/>
      <c r="F60" s="545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08" t="str">
        <f>+VLOOKUP($A61,Master!$D$30:$G$226,4,FALSE)</f>
        <v>Finansiranje</v>
      </c>
      <c r="C61" s="509"/>
      <c r="D61" s="509"/>
      <c r="E61" s="509"/>
      <c r="F61" s="509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542" t="str">
        <f>+VLOOKUP($A62,Master!$D$30:$G$226,4,FALSE)</f>
        <v>Pozajmice i krediti od domaćih izvora</v>
      </c>
      <c r="C62" s="543"/>
      <c r="D62" s="543"/>
      <c r="E62" s="543"/>
      <c r="F62" s="543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542" t="str">
        <f>+VLOOKUP($A63,Master!$D$30:$G$226,4,FALSE)</f>
        <v>Pozajmice i krediti od inostranih izvora</v>
      </c>
      <c r="C63" s="543"/>
      <c r="D63" s="543"/>
      <c r="E63" s="543"/>
      <c r="F63" s="543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518" t="str">
        <f>+VLOOKUP($A64,Master!$D$30:$G$226,4,FALSE)</f>
        <v>Primici od prodaje imovine</v>
      </c>
      <c r="C64" s="519"/>
      <c r="D64" s="519"/>
      <c r="E64" s="519"/>
      <c r="F64" s="519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518" t="s">
        <v>101</v>
      </c>
      <c r="C65" s="519"/>
      <c r="D65" s="519"/>
      <c r="E65" s="519"/>
      <c r="F65" s="519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574" t="str">
        <f>+Master!G253</f>
        <v>Plan ostvarenja budžeta</v>
      </c>
      <c r="C83" s="575"/>
      <c r="D83" s="575"/>
      <c r="E83" s="575"/>
      <c r="F83" s="575"/>
      <c r="G83" s="582">
        <v>2022</v>
      </c>
      <c r="H83" s="583"/>
      <c r="I83" s="583"/>
      <c r="J83" s="583"/>
      <c r="K83" s="583"/>
      <c r="L83" s="583"/>
      <c r="M83" s="583"/>
      <c r="N83" s="583"/>
      <c r="O83" s="583"/>
      <c r="P83" s="583"/>
      <c r="Q83" s="583"/>
      <c r="R83" s="584"/>
      <c r="S83" s="96" t="str">
        <f>+S7</f>
        <v>BDP</v>
      </c>
      <c r="T83" s="97">
        <v>5700400000</v>
      </c>
    </row>
    <row r="84" spans="1:26" ht="15.75" customHeight="1">
      <c r="B84" s="576"/>
      <c r="C84" s="577"/>
      <c r="D84" s="577"/>
      <c r="E84" s="577"/>
      <c r="F84" s="578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582" t="str">
        <f>+Master!G247</f>
        <v>Jan - Dec</v>
      </c>
      <c r="T84" s="584">
        <f>+T8</f>
        <v>0</v>
      </c>
    </row>
    <row r="85" spans="1:26" ht="13.5" thickBot="1">
      <c r="B85" s="579"/>
      <c r="C85" s="580"/>
      <c r="D85" s="580"/>
      <c r="E85" s="580"/>
      <c r="F85" s="581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548" t="str">
        <f>+VLOOKUP(LEFT($A86,LEN(A86)-1)*1,Master!$D$30:$G$226,4,FALSE)</f>
        <v>Prihodi budžeta</v>
      </c>
      <c r="C86" s="549"/>
      <c r="D86" s="549"/>
      <c r="E86" s="549"/>
      <c r="F86" s="549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572" t="str">
        <f>+VLOOKUP(LEFT($A87,LEN(A87)-1)*1,Master!$D$30:$G$226,4,FALSE)</f>
        <v>Porezi</v>
      </c>
      <c r="C87" s="573"/>
      <c r="D87" s="573"/>
      <c r="E87" s="573"/>
      <c r="F87" s="573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564" t="str">
        <f>+VLOOKUP(LEFT($A88,LEN(A88)-1)*1,Master!$D$30:$G$229,4,FALSE)</f>
        <v>Porez na dohodak fizičkih lica</v>
      </c>
      <c r="C88" s="565"/>
      <c r="D88" s="565"/>
      <c r="E88" s="565"/>
      <c r="F88" s="565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564" t="str">
        <f>+VLOOKUP(LEFT($A89,LEN(A89)-1)*1,Master!$D$30:$G$229,4,FALSE)</f>
        <v>Porez na dobit pravnih lica</v>
      </c>
      <c r="C89" s="565"/>
      <c r="D89" s="565"/>
      <c r="E89" s="565"/>
      <c r="F89" s="565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564" t="str">
        <f>+VLOOKUP(LEFT($A90,LEN(A90)-1)*1,Master!$D$30:$G$229,4,FALSE)</f>
        <v>Porez na promet nepokretnosti</v>
      </c>
      <c r="C90" s="565"/>
      <c r="D90" s="565"/>
      <c r="E90" s="565"/>
      <c r="F90" s="565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564" t="str">
        <f>+VLOOKUP(LEFT($A91,LEN(A91)-1)*1,Master!$D$30:$G$229,4,FALSE)</f>
        <v>Porez na dodatu vrijednost</v>
      </c>
      <c r="C91" s="565"/>
      <c r="D91" s="565"/>
      <c r="E91" s="565"/>
      <c r="F91" s="565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564" t="str">
        <f>+VLOOKUP(LEFT($A92,LEN(A92)-1)*1,Master!$D$30:$G$229,4,FALSE)</f>
        <v>Akcize</v>
      </c>
      <c r="C92" s="565"/>
      <c r="D92" s="565"/>
      <c r="E92" s="565"/>
      <c r="F92" s="565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564" t="str">
        <f>+VLOOKUP(LEFT($A93,LEN(A93)-1)*1,Master!$D$30:$G$229,4,FALSE)</f>
        <v>Porez na međunarodnu trgovinu i transakcije</v>
      </c>
      <c r="C93" s="565"/>
      <c r="D93" s="565"/>
      <c r="E93" s="565"/>
      <c r="F93" s="565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564" t="str">
        <f>+VLOOKUP(LEFT($A94,LEN(A94)-1)*1,Master!$D$30:$G$229,4,FALSE)</f>
        <v>Ostali državni porezi</v>
      </c>
      <c r="C94" s="565"/>
      <c r="D94" s="565"/>
      <c r="E94" s="565"/>
      <c r="F94" s="565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570" t="str">
        <f>+VLOOKUP(LEFT($A95,LEN(A95)-1)*1,Master!$D$30:$G$229,4,FALSE)</f>
        <v>Doprinosi</v>
      </c>
      <c r="C95" s="571"/>
      <c r="D95" s="571"/>
      <c r="E95" s="571"/>
      <c r="F95" s="571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564" t="str">
        <f>+VLOOKUP(LEFT($A96,LEN(A96)-1)*1,Master!$D$30:$G$229,4,FALSE)</f>
        <v>Doprinosi za penzijsko i invalidsko osiguranje</v>
      </c>
      <c r="C96" s="565"/>
      <c r="D96" s="565"/>
      <c r="E96" s="565"/>
      <c r="F96" s="565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564" t="str">
        <f>+VLOOKUP(LEFT($A97,LEN(A97)-1)*1,Master!$D$30:$G$229,4,FALSE)</f>
        <v>Doprinosi za zdravstveno osiguranje</v>
      </c>
      <c r="C97" s="565"/>
      <c r="D97" s="565"/>
      <c r="E97" s="565"/>
      <c r="F97" s="565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564" t="str">
        <f>+VLOOKUP(LEFT($A98,LEN(A98)-1)*1,Master!$D$30:$G$229,4,FALSE)</f>
        <v>Doprinosi za osiguranje od nezaposlenosti</v>
      </c>
      <c r="C98" s="565"/>
      <c r="D98" s="565"/>
      <c r="E98" s="565"/>
      <c r="F98" s="565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564" t="str">
        <f>+VLOOKUP(LEFT($A99,LEN(A99)-1)*1,Master!$D$30:$G$229,4,FALSE)</f>
        <v>Ostali doprinosi</v>
      </c>
      <c r="C99" s="565"/>
      <c r="D99" s="565"/>
      <c r="E99" s="565"/>
      <c r="F99" s="565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570" t="str">
        <f>+VLOOKUP(LEFT($A100,LEN(A100)-1)*1,Master!$D$30:$G$229,4,FALSE)</f>
        <v>Takse</v>
      </c>
      <c r="C100" s="571"/>
      <c r="D100" s="571"/>
      <c r="E100" s="571"/>
      <c r="F100" s="571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570" t="str">
        <f>+VLOOKUP(LEFT($A101,LEN(A101)-1)*1,Master!$D$30:$G$229,4,FALSE)</f>
        <v>Naknade</v>
      </c>
      <c r="C101" s="571"/>
      <c r="D101" s="571"/>
      <c r="E101" s="571"/>
      <c r="F101" s="571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570" t="str">
        <f>+VLOOKUP(LEFT($A102,LEN(A102)-1)*1,Master!$D$30:$G$229,4,FALSE)</f>
        <v>Ostali prihodi</v>
      </c>
      <c r="C102" s="571"/>
      <c r="D102" s="571"/>
      <c r="E102" s="571"/>
      <c r="F102" s="571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570" t="str">
        <f>+VLOOKUP(LEFT($A103,LEN(A103)-1)*1,Master!$D$30:$G$229,4,FALSE)</f>
        <v>Primici od otplate kredita i sredstva prenesena iz prethodne godine</v>
      </c>
      <c r="C103" s="571"/>
      <c r="D103" s="571"/>
      <c r="E103" s="571"/>
      <c r="F103" s="571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566" t="str">
        <f>+VLOOKUP(LEFT($A104,LEN(A104)-1)*1,Master!$D$30:$G$229,4,FALSE)</f>
        <v>Donacije i transferi</v>
      </c>
      <c r="C104" s="567"/>
      <c r="D104" s="567"/>
      <c r="E104" s="567"/>
      <c r="F104" s="567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548" t="str">
        <f>+VLOOKUP(LEFT($A105,LEN(A105)-1)*1,Master!$D$30:$G$229,4,FALSE)</f>
        <v>Izdaci budžeta</v>
      </c>
      <c r="C105" s="549"/>
      <c r="D105" s="549"/>
      <c r="E105" s="549"/>
      <c r="F105" s="549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568" t="str">
        <f>+VLOOKUP(LEFT($A106,LEN(A106)-1)*1,Master!$D$30:$G$229,4,FALSE)</f>
        <v>Tekući izdaci</v>
      </c>
      <c r="C106" s="569"/>
      <c r="D106" s="569"/>
      <c r="E106" s="569"/>
      <c r="F106" s="569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564" t="str">
        <f>+VLOOKUP(LEFT($A107,LEN(A107)-1)*1,Master!$D$30:$G$229,4,FALSE)</f>
        <v>Bruto zarade i doprinosi na teret poslodavca</v>
      </c>
      <c r="C107" s="565"/>
      <c r="D107" s="565"/>
      <c r="E107" s="565"/>
      <c r="F107" s="565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564" t="str">
        <f>+VLOOKUP(LEFT($A108,LEN(A108)-1)*1,Master!$D$30:$G$229,4,FALSE)</f>
        <v>Ostala lična primanja</v>
      </c>
      <c r="C108" s="565"/>
      <c r="D108" s="565"/>
      <c r="E108" s="565"/>
      <c r="F108" s="565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564" t="str">
        <f>+VLOOKUP(LEFT($A109,LEN(A109)-1)*1,Master!$D$30:$G$229,4,FALSE)</f>
        <v>Rashodi za materijal</v>
      </c>
      <c r="C109" s="565"/>
      <c r="D109" s="565"/>
      <c r="E109" s="565"/>
      <c r="F109" s="565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564" t="str">
        <f>+VLOOKUP(LEFT($A110,LEN(A110)-1)*1,Master!$D$30:$G$229,4,FALSE)</f>
        <v>Rashodi za usluge</v>
      </c>
      <c r="C110" s="565"/>
      <c r="D110" s="565"/>
      <c r="E110" s="565"/>
      <c r="F110" s="565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564" t="str">
        <f>+VLOOKUP(LEFT($A111,LEN(A111)-1)*1,Master!$D$30:$G$229,4,FALSE)</f>
        <v>Rashodi za tekuće održavanje</v>
      </c>
      <c r="C111" s="565"/>
      <c r="D111" s="565"/>
      <c r="E111" s="565"/>
      <c r="F111" s="565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564" t="str">
        <f>+VLOOKUP(LEFT($A112,LEN(A112)-1)*1,Master!$D$30:$G$229,4,FALSE)</f>
        <v>Kamate</v>
      </c>
      <c r="C112" s="565"/>
      <c r="D112" s="565"/>
      <c r="E112" s="565"/>
      <c r="F112" s="565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564" t="str">
        <f>+VLOOKUP(LEFT($A113,LEN(A113)-1)*1,Master!$D$30:$G$229,4,FALSE)</f>
        <v>Renta</v>
      </c>
      <c r="C113" s="565"/>
      <c r="D113" s="565"/>
      <c r="E113" s="565"/>
      <c r="F113" s="565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564" t="str">
        <f>+VLOOKUP(LEFT($A114,LEN(A114)-1)*1,Master!$D$30:$G$229,4,FALSE)</f>
        <v>Subvencije</v>
      </c>
      <c r="C114" s="565"/>
      <c r="D114" s="565"/>
      <c r="E114" s="565"/>
      <c r="F114" s="565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564" t="str">
        <f>+VLOOKUP(LEFT($A115,LEN(A115)-1)*1,Master!$D$30:$G$229,4,FALSE)</f>
        <v>Ostali izdaci</v>
      </c>
      <c r="C115" s="565"/>
      <c r="D115" s="565"/>
      <c r="E115" s="565"/>
      <c r="F115" s="565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560" t="str">
        <f>+VLOOKUP(LEFT($A116,LEN(A116)-1)*1,Master!$D$30:$G$229,4,FALSE)</f>
        <v>Transferi za socijalnu zaštitu</v>
      </c>
      <c r="C116" s="561"/>
      <c r="D116" s="561"/>
      <c r="E116" s="561"/>
      <c r="F116" s="561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564" t="str">
        <f>+VLOOKUP(LEFT($A117,LEN(A117)-1)*1,Master!$D$30:$G$229,4,FALSE)</f>
        <v>Prava iz oblasti socijalne zaštite</v>
      </c>
      <c r="C117" s="565"/>
      <c r="D117" s="565"/>
      <c r="E117" s="565"/>
      <c r="F117" s="565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564" t="str">
        <f>+VLOOKUP(LEFT($A118,LEN(A118)-1)*1,Master!$D$30:$G$229,4,FALSE)</f>
        <v>Sredstva za tehnološke viškove</v>
      </c>
      <c r="C118" s="565"/>
      <c r="D118" s="565"/>
      <c r="E118" s="565"/>
      <c r="F118" s="565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564" t="str">
        <f>+VLOOKUP(LEFT($A119,LEN(A119)-1)*1,Master!$D$30:$G$229,4,FALSE)</f>
        <v>Prava iz oblasti penzijskog i invalidskog osiguranja</v>
      </c>
      <c r="C119" s="565"/>
      <c r="D119" s="565"/>
      <c r="E119" s="565"/>
      <c r="F119" s="565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564" t="str">
        <f>+VLOOKUP(LEFT($A120,LEN(A120)-1)*1,Master!$D$30:$G$229,4,FALSE)</f>
        <v>Ostala prava iz oblasti zdravstvene zaštite</v>
      </c>
      <c r="C120" s="565"/>
      <c r="D120" s="565"/>
      <c r="E120" s="565"/>
      <c r="F120" s="565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564" t="str">
        <f>+VLOOKUP(LEFT($A121,LEN(A121)-1)*1,Master!$D$30:$G$229,4,FALSE)</f>
        <v>Ostala prava iz zdravstvenog osiguranja</v>
      </c>
      <c r="C121" s="565"/>
      <c r="D121" s="565"/>
      <c r="E121" s="565"/>
      <c r="F121" s="565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562" t="str">
        <f>+VLOOKUP(LEFT($A122,LEN(A122)-1)*1,Master!$D$30:$G$229,4,FALSE)</f>
        <v xml:space="preserve">Transferi institucijama, pojedincima, nevladinom i javnom sektoru </v>
      </c>
      <c r="C122" s="563"/>
      <c r="D122" s="563"/>
      <c r="E122" s="563"/>
      <c r="F122" s="563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562" t="str">
        <f>+VLOOKUP(LEFT($A123,LEN(A123)-1)*1,Master!$D$30:$G$229,4,FALSE)</f>
        <v>Kapitalni izdaci</v>
      </c>
      <c r="C123" s="563"/>
      <c r="D123" s="563"/>
      <c r="E123" s="563"/>
      <c r="F123" s="563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554" t="str">
        <f>+VLOOKUP(LEFT($A124,LEN(A124)-1)*1,Master!$D$30:$G$229,4,FALSE)</f>
        <v>Pozajmice i krediti</v>
      </c>
      <c r="C124" s="555"/>
      <c r="D124" s="555"/>
      <c r="E124" s="555"/>
      <c r="F124" s="555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554" t="str">
        <f>+VLOOKUP(LEFT($A125,LEN(A125)-1)*1,Master!$D$30:$G$229,4,FALSE)</f>
        <v>Rezerve</v>
      </c>
      <c r="C125" s="555"/>
      <c r="D125" s="555"/>
      <c r="E125" s="555"/>
      <c r="F125" s="555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554" t="str">
        <f>+VLOOKUP(LEFT($A126,LEN(A126)-1)*1,Master!$D$30:$G$229,4,FALSE)</f>
        <v>Otplata garancija</v>
      </c>
      <c r="C126" s="555"/>
      <c r="D126" s="555"/>
      <c r="E126" s="555"/>
      <c r="F126" s="555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554" t="str">
        <f>+VLOOKUP(LEFT($A127,LEN(A127)-1)*1,Master!$D$30:$G$229,4,FALSE)</f>
        <v>Otplata obaveza iz prethodnog perioda</v>
      </c>
      <c r="C127" s="555"/>
      <c r="D127" s="555"/>
      <c r="E127" s="555"/>
      <c r="F127" s="555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554" t="str">
        <f>+VLOOKUP(LEFT($A128,LEN(A128)-1)*1,Master!$D$30:$G$229,4,FALSE)</f>
        <v>Neto povećanje obaveza</v>
      </c>
      <c r="C128" s="555"/>
      <c r="D128" s="555"/>
      <c r="E128" s="555"/>
      <c r="F128" s="555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556" t="str">
        <f>+VLOOKUP(LEFT($A129,LEN(A129)-1)*1,Master!$D$30:$G$226,4,FALSE)</f>
        <v>Suficit / deficit</v>
      </c>
      <c r="C129" s="557"/>
      <c r="D129" s="557"/>
      <c r="E129" s="557"/>
      <c r="F129" s="557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558" t="str">
        <f>+VLOOKUP(LEFT($A130,LEN(A130)-1)*1,Master!$D$30:$G$226,4,FALSE)</f>
        <v>Primarni suficit/deficit</v>
      </c>
      <c r="C130" s="559"/>
      <c r="D130" s="559"/>
      <c r="E130" s="559"/>
      <c r="F130" s="559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560" t="str">
        <f>+VLOOKUP(LEFT($A131,LEN(A131)-1)*1,Master!$D$30:$G$226,4,FALSE)</f>
        <v>Otplata dugova</v>
      </c>
      <c r="C131" s="561"/>
      <c r="D131" s="561"/>
      <c r="E131" s="561"/>
      <c r="F131" s="561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552" t="str">
        <f>+VLOOKUP(LEFT($A132,LEN(A132)-1)*1,Master!$D$30:$G$226,4,FALSE)</f>
        <v>Otplata hartija od vrijednosti i kredita rezidentima</v>
      </c>
      <c r="C132" s="553"/>
      <c r="D132" s="553"/>
      <c r="E132" s="553"/>
      <c r="F132" s="553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554" t="str">
        <f>+VLOOKUP(LEFT($A133,LEN(A133)-1)*1,Master!$D$30:$G$226,4,FALSE)</f>
        <v>Otplata hartija od vrijednosti i kredita nerezidentima</v>
      </c>
      <c r="C133" s="555"/>
      <c r="D133" s="555"/>
      <c r="E133" s="555"/>
      <c r="F133" s="555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548" t="str">
        <f>+VLOOKUP(LEFT($A134,LEN(A134)-1)*1,Master!$D$30:$G$226,4,FALSE)</f>
        <v>Izdaci za kupovinu hartija od vrijednosti</v>
      </c>
      <c r="C134" s="549"/>
      <c r="D134" s="549"/>
      <c r="E134" s="549"/>
      <c r="F134" s="549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550" t="str">
        <f>+VLOOKUP(LEFT($A135,LEN(A135)-1)*1,Master!$D$30:$G$226,4,FALSE)</f>
        <v>Nedostajuća sredstva</v>
      </c>
      <c r="C135" s="551"/>
      <c r="D135" s="551"/>
      <c r="E135" s="551"/>
      <c r="F135" s="551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548" t="str">
        <f>+VLOOKUP(LEFT($A136,LEN(A136)-1)*1,Master!$D$30:$G$226,4,FALSE)</f>
        <v>Finansiranje</v>
      </c>
      <c r="C136" s="549"/>
      <c r="D136" s="549"/>
      <c r="E136" s="549"/>
      <c r="F136" s="549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552" t="str">
        <f>+VLOOKUP(LEFT($A137,LEN(A137)-1)*1,Master!$D$30:$G$226,4,FALSE)</f>
        <v>Pozajmice i krediti od domaćih izvora</v>
      </c>
      <c r="C137" s="553"/>
      <c r="D137" s="553"/>
      <c r="E137" s="553"/>
      <c r="F137" s="553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554" t="str">
        <f>+VLOOKUP(LEFT($A138,LEN(A138)-1)*1,Master!$D$30:$G$226,4,FALSE)</f>
        <v>Pozajmice i krediti od inostranih izvora</v>
      </c>
      <c r="C138" s="555"/>
      <c r="D138" s="555"/>
      <c r="E138" s="555"/>
      <c r="F138" s="555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554" t="str">
        <f>+VLOOKUP(LEFT($A139,LEN(A139)-1)*1,Master!$D$30:$G$226,4,FALSE)</f>
        <v>Primici od prodaje imovine</v>
      </c>
      <c r="C139" s="555"/>
      <c r="D139" s="555"/>
      <c r="E139" s="555"/>
      <c r="F139" s="555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28" t="str">
        <f>+Master!G252</f>
        <v>Ostvarenje budžeta</v>
      </c>
      <c r="C7" s="529"/>
      <c r="D7" s="529"/>
      <c r="E7" s="529"/>
      <c r="F7" s="529"/>
      <c r="G7" s="537">
        <v>2021</v>
      </c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41"/>
      <c r="S7" s="220" t="str">
        <f>+Master!G249</f>
        <v>BDP</v>
      </c>
      <c r="T7" s="221">
        <v>4955116000</v>
      </c>
    </row>
    <row r="8" spans="1:22" ht="16.5" customHeight="1">
      <c r="A8" s="129"/>
      <c r="B8" s="530"/>
      <c r="C8" s="531"/>
      <c r="D8" s="531"/>
      <c r="E8" s="531"/>
      <c r="F8" s="532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37" t="str">
        <f>+Master!G247</f>
        <v>Jan - Dec</v>
      </c>
      <c r="T8" s="541"/>
    </row>
    <row r="9" spans="1:22" ht="13.5" thickBot="1">
      <c r="A9" s="129"/>
      <c r="B9" s="533"/>
      <c r="C9" s="534"/>
      <c r="D9" s="534"/>
      <c r="E9" s="534"/>
      <c r="F9" s="535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496" t="str">
        <f>+VLOOKUP($A10,Master!$D$30:$G$226,4,FALSE)</f>
        <v>Prihodi budžeta</v>
      </c>
      <c r="C10" s="497"/>
      <c r="D10" s="497"/>
      <c r="E10" s="497"/>
      <c r="F10" s="497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498" t="str">
        <f>+VLOOKUP($A11,Master!$D$30:$G$226,4,FALSE)</f>
        <v>Porezi</v>
      </c>
      <c r="C11" s="499"/>
      <c r="D11" s="499"/>
      <c r="E11" s="499"/>
      <c r="F11" s="499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00" t="str">
        <f>+VLOOKUP($A12,Master!$D$30:$G$226,4,FALSE)</f>
        <v>Porez na dohodak fizičkih lica</v>
      </c>
      <c r="C12" s="501"/>
      <c r="D12" s="501"/>
      <c r="E12" s="501"/>
      <c r="F12" s="501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00" t="str">
        <f>+VLOOKUP($A13,Master!$D$30:$G$226,4,FALSE)</f>
        <v>Porez na dobit pravnih lica</v>
      </c>
      <c r="C13" s="501"/>
      <c r="D13" s="501"/>
      <c r="E13" s="501"/>
      <c r="F13" s="501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00" t="str">
        <f>+VLOOKUP($A14,Master!$D$30:$G$226,4,FALSE)</f>
        <v>Porez na promet nepokretnosti</v>
      </c>
      <c r="C14" s="501"/>
      <c r="D14" s="501"/>
      <c r="E14" s="501"/>
      <c r="F14" s="501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00" t="str">
        <f>+VLOOKUP($A15,Master!$D$30:$G$226,4,FALSE)</f>
        <v>Porez na dodatu vrijednost</v>
      </c>
      <c r="C15" s="501"/>
      <c r="D15" s="501"/>
      <c r="E15" s="501"/>
      <c r="F15" s="501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00" t="str">
        <f>+VLOOKUP($A16,Master!$D$30:$G$226,4,FALSE)</f>
        <v>Akcize</v>
      </c>
      <c r="C16" s="501"/>
      <c r="D16" s="501"/>
      <c r="E16" s="501"/>
      <c r="F16" s="501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00" t="str">
        <f>+VLOOKUP($A17,Master!$D$30:$G$226,4,FALSE)</f>
        <v>Porez na međunarodnu trgovinu i transakcije</v>
      </c>
      <c r="C17" s="501"/>
      <c r="D17" s="501"/>
      <c r="E17" s="501"/>
      <c r="F17" s="501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00" t="str">
        <f>+VLOOKUP($A18,Master!$D$30:$G$226,4,FALSE)</f>
        <v>Ostali državni porezi</v>
      </c>
      <c r="C18" s="501"/>
      <c r="D18" s="501"/>
      <c r="E18" s="501"/>
      <c r="F18" s="501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04" t="str">
        <f>+VLOOKUP($A19,Master!$D$30:$G$226,4,FALSE)</f>
        <v>Doprinosi</v>
      </c>
      <c r="C19" s="505"/>
      <c r="D19" s="505"/>
      <c r="E19" s="505"/>
      <c r="F19" s="505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00" t="str">
        <f>+VLOOKUP($A20,Master!$D$30:$G$226,4,FALSE)</f>
        <v>Doprinosi za penzijsko i invalidsko osiguranje</v>
      </c>
      <c r="C20" s="501"/>
      <c r="D20" s="501"/>
      <c r="E20" s="501"/>
      <c r="F20" s="501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00" t="str">
        <f>+VLOOKUP($A21,Master!$D$30:$G$226,4,FALSE)</f>
        <v>Doprinosi za zdravstveno osiguranje</v>
      </c>
      <c r="C21" s="501"/>
      <c r="D21" s="501"/>
      <c r="E21" s="501"/>
      <c r="F21" s="501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00" t="str">
        <f>+VLOOKUP($A22,Master!$D$30:$G$226,4,FALSE)</f>
        <v>Doprinosi za osiguranje od nezaposlenosti</v>
      </c>
      <c r="C22" s="501"/>
      <c r="D22" s="501"/>
      <c r="E22" s="501"/>
      <c r="F22" s="501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00" t="str">
        <f>+VLOOKUP($A23,Master!$D$30:$G$226,4,FALSE)</f>
        <v>Ostali doprinosi</v>
      </c>
      <c r="C23" s="501"/>
      <c r="D23" s="501"/>
      <c r="E23" s="501"/>
      <c r="F23" s="501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02" t="str">
        <f>+VLOOKUP($A24,Master!$D$30:$G$226,4,FALSE)</f>
        <v>Takse</v>
      </c>
      <c r="C24" s="503"/>
      <c r="D24" s="503"/>
      <c r="E24" s="503"/>
      <c r="F24" s="503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02" t="str">
        <f>+VLOOKUP($A25,Master!$D$30:$G$226,4,FALSE)</f>
        <v>Naknade</v>
      </c>
      <c r="C25" s="503"/>
      <c r="D25" s="503"/>
      <c r="E25" s="503"/>
      <c r="F25" s="503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02" t="str">
        <f>+VLOOKUP($A26,Master!$D$30:$G$226,4,FALSE)</f>
        <v>Ostali prihodi</v>
      </c>
      <c r="C26" s="503"/>
      <c r="D26" s="503"/>
      <c r="E26" s="503"/>
      <c r="F26" s="503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02" t="str">
        <f>+VLOOKUP($A27,Master!$D$30:$G$226,4,FALSE)</f>
        <v>Primici od otplate kredita i sredstva prenesena iz prethodne godine</v>
      </c>
      <c r="C27" s="503"/>
      <c r="D27" s="503"/>
      <c r="E27" s="503"/>
      <c r="F27" s="503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06" t="str">
        <f>+VLOOKUP($A28,Master!$D$30:$G$226,4,FALSE)</f>
        <v>Donacije i transferi</v>
      </c>
      <c r="C28" s="507"/>
      <c r="D28" s="507"/>
      <c r="E28" s="507"/>
      <c r="F28" s="507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08" t="str">
        <f>+VLOOKUP($A29,Master!$D$30:$G$226,4,FALSE)</f>
        <v>Izdaci budžeta</v>
      </c>
      <c r="C29" s="509"/>
      <c r="D29" s="509"/>
      <c r="E29" s="509"/>
      <c r="F29" s="509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12" t="str">
        <f>+VLOOKUP($A30,Master!$D$30:$G$226,4,FALSE)</f>
        <v>Tekući izdaci</v>
      </c>
      <c r="C30" s="513"/>
      <c r="D30" s="513"/>
      <c r="E30" s="513"/>
      <c r="F30" s="513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00" t="str">
        <f>+VLOOKUP($A31,Master!$D$30:$G$226,4,FALSE)</f>
        <v>Bruto zarade i doprinosi na teret poslodavca</v>
      </c>
      <c r="C31" s="501"/>
      <c r="D31" s="501"/>
      <c r="E31" s="501"/>
      <c r="F31" s="501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00" t="str">
        <f>+VLOOKUP($A32,Master!$D$30:$G$226,4,FALSE)</f>
        <v>Ostala lična primanja</v>
      </c>
      <c r="C32" s="501"/>
      <c r="D32" s="501"/>
      <c r="E32" s="501"/>
      <c r="F32" s="501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00" t="str">
        <f>+VLOOKUP($A33,Master!$D$30:$G$226,4,FALSE)</f>
        <v>Rashodi za materijal</v>
      </c>
      <c r="C33" s="501"/>
      <c r="D33" s="501"/>
      <c r="E33" s="501"/>
      <c r="F33" s="501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595" t="str">
        <f>+VLOOKUP($A34,Master!$D$30:$G$226,4,FALSE)</f>
        <v>Rashodi za usluge</v>
      </c>
      <c r="C34" s="596"/>
      <c r="D34" s="596"/>
      <c r="E34" s="596"/>
      <c r="F34" s="596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00" t="str">
        <f>+VLOOKUP($A35,Master!$D$30:$G$226,4,FALSE)</f>
        <v>Rashodi za tekuće održavanje</v>
      </c>
      <c r="C35" s="501"/>
      <c r="D35" s="501"/>
      <c r="E35" s="501"/>
      <c r="F35" s="501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00" t="str">
        <f>+VLOOKUP($A36,Master!$D$30:$G$226,4,FALSE)</f>
        <v>Kamate</v>
      </c>
      <c r="C36" s="501"/>
      <c r="D36" s="501"/>
      <c r="E36" s="501"/>
      <c r="F36" s="501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00" t="str">
        <f>+VLOOKUP($A37,Master!$D$30:$G$226,4,FALSE)</f>
        <v>Renta</v>
      </c>
      <c r="C37" s="501"/>
      <c r="D37" s="501"/>
      <c r="E37" s="501"/>
      <c r="F37" s="501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00" t="str">
        <f>+VLOOKUP($A38,Master!$D$30:$G$226,4,FALSE)</f>
        <v>Subvencije</v>
      </c>
      <c r="C38" s="501"/>
      <c r="D38" s="501"/>
      <c r="E38" s="501"/>
      <c r="F38" s="501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595" t="str">
        <f>+VLOOKUP($A39,Master!$D$30:$G$226,4,FALSE)</f>
        <v>Ostali izdaci</v>
      </c>
      <c r="C39" s="596"/>
      <c r="D39" s="596"/>
      <c r="E39" s="596"/>
      <c r="F39" s="596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16" t="str">
        <f>+VLOOKUP($A40,Master!$D$30:$G$226,4,FALSE)</f>
        <v>Transferi za socijalnu zaštitu</v>
      </c>
      <c r="C40" s="517"/>
      <c r="D40" s="517"/>
      <c r="E40" s="517"/>
      <c r="F40" s="517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00" t="str">
        <f>+VLOOKUP($A41,Master!$D$30:$G$226,4,FALSE)</f>
        <v>Prava iz oblasti socijalne zaštite</v>
      </c>
      <c r="C41" s="501"/>
      <c r="D41" s="501"/>
      <c r="E41" s="501"/>
      <c r="F41" s="501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00" t="str">
        <f>+VLOOKUP($A42,Master!$D$30:$G$226,4,FALSE)</f>
        <v>Sredstva za tehnološke viškove</v>
      </c>
      <c r="C42" s="501"/>
      <c r="D42" s="501"/>
      <c r="E42" s="501"/>
      <c r="F42" s="501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00" t="str">
        <f>+VLOOKUP($A43,Master!$D$30:$G$226,4,FALSE)</f>
        <v>Prava iz oblasti penzijskog i invalidskog osiguranja</v>
      </c>
      <c r="C43" s="501"/>
      <c r="D43" s="501"/>
      <c r="E43" s="501"/>
      <c r="F43" s="501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00" t="str">
        <f>+VLOOKUP($A44,Master!$D$30:$G$226,4,FALSE)</f>
        <v>Ostala prava iz oblasti zdravstvene zaštite</v>
      </c>
      <c r="C44" s="501"/>
      <c r="D44" s="501"/>
      <c r="E44" s="501"/>
      <c r="F44" s="501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591" t="str">
        <f>+VLOOKUP($A45,Master!$D$30:$G$226,4,FALSE)</f>
        <v>Ostala prava iz zdravstvenog osiguranja</v>
      </c>
      <c r="C45" s="592"/>
      <c r="D45" s="592"/>
      <c r="E45" s="592"/>
      <c r="F45" s="592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14" t="str">
        <f>+VLOOKUP($A46,Master!$D$30:$G$226,4,FALSE)</f>
        <v xml:space="preserve">Transferi institucijama, pojedincima, nevladinom i javnom sektoru </v>
      </c>
      <c r="C46" s="515"/>
      <c r="D46" s="515"/>
      <c r="E46" s="515"/>
      <c r="F46" s="515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14" t="str">
        <f>+VLOOKUP($A47,Master!$D$30:$G$226,4,FALSE)</f>
        <v>Kapitalni izdaci</v>
      </c>
      <c r="C47" s="515"/>
      <c r="D47" s="515"/>
      <c r="E47" s="515"/>
      <c r="F47" s="515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593" t="str">
        <f>+VLOOKUP($A48,Master!$D$30:$G$226,4,FALSE)</f>
        <v>Pozajmice i krediti</v>
      </c>
      <c r="C48" s="594"/>
      <c r="D48" s="594"/>
      <c r="E48" s="594"/>
      <c r="F48" s="594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585" t="str">
        <f>+VLOOKUP($A49,Master!$D$30:$G$226,4,FALSE)</f>
        <v>Rezerve</v>
      </c>
      <c r="C49" s="586"/>
      <c r="D49" s="586"/>
      <c r="E49" s="586"/>
      <c r="F49" s="586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20" t="str">
        <f>+VLOOKUP($A50,Master!$D$30:$G$226,4,FALSE)</f>
        <v>Otplata garancija</v>
      </c>
      <c r="C50" s="521"/>
      <c r="D50" s="521"/>
      <c r="E50" s="521"/>
      <c r="F50" s="521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587" t="str">
        <f>+VLOOKUP($A51,Master!$D$30:$G$226,4,TRUE)</f>
        <v>Otplata obaveza iz prethodnog perioda</v>
      </c>
      <c r="C51" s="588"/>
      <c r="D51" s="588"/>
      <c r="E51" s="588"/>
      <c r="F51" s="588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589" t="str">
        <f>+VLOOKUP($A52,Master!$D$30:$G$228,4,FALSE)</f>
        <v>Neto povećanje obaveza</v>
      </c>
      <c r="C52" s="590"/>
      <c r="D52" s="590"/>
      <c r="E52" s="590"/>
      <c r="F52" s="590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542" t="str">
        <f>+VLOOKUP($A56,Master!$D$30:$G$226,4,FALSE)</f>
        <v>Otplata hartija od vrijednosti i kredita rezidentima</v>
      </c>
      <c r="C56" s="543"/>
      <c r="D56" s="543"/>
      <c r="E56" s="543"/>
      <c r="F56" s="543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518" t="str">
        <f>+VLOOKUP($A57,Master!$D$30:$G$226,4,FALSE)</f>
        <v>Otplata hartija od vrijednosti i kredita nerezidentima</v>
      </c>
      <c r="C57" s="519"/>
      <c r="D57" s="519"/>
      <c r="E57" s="519"/>
      <c r="F57" s="519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10" t="str">
        <f>+VLOOKUP($A58,Master!$D$30:$G$226,4,FALSE)</f>
        <v>Izdaci za kupovinu hartija od vrijednosti</v>
      </c>
      <c r="C58" s="511"/>
      <c r="D58" s="511"/>
      <c r="E58" s="511"/>
      <c r="F58" s="511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544" t="str">
        <f>+VLOOKUP($A59,Master!$D$30:$G$226,4,FALSE)</f>
        <v>Nedostajuća sredstva</v>
      </c>
      <c r="C59" s="545"/>
      <c r="D59" s="545"/>
      <c r="E59" s="545"/>
      <c r="F59" s="545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08" t="str">
        <f>+VLOOKUP($A60,Master!$D$30:$G$226,4,FALSE)</f>
        <v>Finansiranje</v>
      </c>
      <c r="C60" s="509"/>
      <c r="D60" s="509"/>
      <c r="E60" s="509"/>
      <c r="F60" s="509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542" t="str">
        <f>+VLOOKUP($A61,Master!$D$30:$G$226,4,FALSE)</f>
        <v>Pozajmice i krediti od domaćih izvora</v>
      </c>
      <c r="C61" s="543"/>
      <c r="D61" s="543"/>
      <c r="E61" s="543"/>
      <c r="F61" s="543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518" t="str">
        <f>+VLOOKUP($A62,Master!$D$30:$G$226,4,FALSE)</f>
        <v>Pozajmice i krediti od inostranih izvora</v>
      </c>
      <c r="C62" s="519"/>
      <c r="D62" s="519"/>
      <c r="E62" s="519"/>
      <c r="F62" s="519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518" t="str">
        <f>+VLOOKUP($A63,Master!$D$30:$G$226,4,FALSE)</f>
        <v>Primici od prodaje imovine</v>
      </c>
      <c r="C63" s="519"/>
      <c r="D63" s="519"/>
      <c r="E63" s="519"/>
      <c r="F63" s="519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574" t="str">
        <f>+Master!G253</f>
        <v>Plan ostvarenja budžeta</v>
      </c>
      <c r="C81" s="575"/>
      <c r="D81" s="575"/>
      <c r="E81" s="575"/>
      <c r="F81" s="575"/>
      <c r="G81" s="582">
        <v>2021</v>
      </c>
      <c r="H81" s="583"/>
      <c r="I81" s="583"/>
      <c r="J81" s="583"/>
      <c r="K81" s="583"/>
      <c r="L81" s="583"/>
      <c r="M81" s="583"/>
      <c r="N81" s="583"/>
      <c r="O81" s="583"/>
      <c r="P81" s="583"/>
      <c r="Q81" s="583"/>
      <c r="R81" s="584"/>
      <c r="S81" s="96" t="str">
        <f>+S7</f>
        <v>BDP</v>
      </c>
      <c r="T81" s="97">
        <v>4636600000</v>
      </c>
    </row>
    <row r="82" spans="1:21" ht="15.75" customHeight="1">
      <c r="B82" s="576"/>
      <c r="C82" s="577"/>
      <c r="D82" s="577"/>
      <c r="E82" s="577"/>
      <c r="F82" s="578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582" t="str">
        <f>+Master!G247</f>
        <v>Jan - Dec</v>
      </c>
      <c r="T82" s="584">
        <f>+T8</f>
        <v>0</v>
      </c>
    </row>
    <row r="83" spans="1:21" ht="13.5" thickBot="1">
      <c r="B83" s="579"/>
      <c r="C83" s="580"/>
      <c r="D83" s="580"/>
      <c r="E83" s="580"/>
      <c r="F83" s="581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597" t="str">
        <f>+VLOOKUP(LEFT($A84,LEN(A84)-1)*1,Master!$D$30:$G$226,4,FALSE)</f>
        <v>Prihodi budžeta</v>
      </c>
      <c r="C84" s="598"/>
      <c r="D84" s="598"/>
      <c r="E84" s="598"/>
      <c r="F84" s="598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572" t="str">
        <f>+VLOOKUP(LEFT($A85,LEN(A85)-1)*1,Master!$D$30:$G$226,4,FALSE)</f>
        <v>Porezi</v>
      </c>
      <c r="C85" s="573"/>
      <c r="D85" s="573"/>
      <c r="E85" s="573"/>
      <c r="F85" s="573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564" t="str">
        <f>+VLOOKUP(LEFT($A86,LEN(A86)-1)*1,Master!$D$30:$G$229,4,FALSE)</f>
        <v>Porez na dohodak fizičkih lica</v>
      </c>
      <c r="C86" s="565"/>
      <c r="D86" s="565"/>
      <c r="E86" s="565"/>
      <c r="F86" s="565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564" t="str">
        <f>+VLOOKUP(LEFT($A87,LEN(A87)-1)*1,Master!$D$30:$G$229,4,FALSE)</f>
        <v>Porez na dobit pravnih lica</v>
      </c>
      <c r="C87" s="565"/>
      <c r="D87" s="565"/>
      <c r="E87" s="565"/>
      <c r="F87" s="565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564" t="str">
        <f>+VLOOKUP(LEFT($A88,LEN(A88)-1)*1,Master!$D$30:$G$229,4,FALSE)</f>
        <v>Porez na promet nepokretnosti</v>
      </c>
      <c r="C88" s="565"/>
      <c r="D88" s="565"/>
      <c r="E88" s="565"/>
      <c r="F88" s="565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564" t="str">
        <f>+VLOOKUP(LEFT($A89,LEN(A89)-1)*1,Master!$D$30:$G$229,4,FALSE)</f>
        <v>Porez na dodatu vrijednost</v>
      </c>
      <c r="C89" s="565"/>
      <c r="D89" s="565"/>
      <c r="E89" s="565"/>
      <c r="F89" s="565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564" t="str">
        <f>+VLOOKUP(LEFT($A90,LEN(A90)-1)*1,Master!$D$30:$G$229,4,FALSE)</f>
        <v>Akcize</v>
      </c>
      <c r="C90" s="565"/>
      <c r="D90" s="565"/>
      <c r="E90" s="565"/>
      <c r="F90" s="565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564" t="str">
        <f>+VLOOKUP(LEFT($A91,LEN(A91)-1)*1,Master!$D$30:$G$229,4,FALSE)</f>
        <v>Porez na međunarodnu trgovinu i transakcije</v>
      </c>
      <c r="C91" s="565"/>
      <c r="D91" s="565"/>
      <c r="E91" s="565"/>
      <c r="F91" s="565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564" t="str">
        <f>+VLOOKUP(LEFT($A92,LEN(A92)-1)*1,Master!$D$30:$G$229,4,FALSE)</f>
        <v>Ostali državni porezi</v>
      </c>
      <c r="C92" s="565"/>
      <c r="D92" s="565"/>
      <c r="E92" s="565"/>
      <c r="F92" s="565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599" t="str">
        <f>+VLOOKUP(LEFT($A93,LEN(A93)-1)*1,Master!$D$30:$G$229,4,FALSE)</f>
        <v>Doprinosi</v>
      </c>
      <c r="C93" s="600"/>
      <c r="D93" s="600"/>
      <c r="E93" s="600"/>
      <c r="F93" s="600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564" t="str">
        <f>+VLOOKUP(LEFT($A94,LEN(A94)-1)*1,Master!$D$30:$G$229,4,FALSE)</f>
        <v>Doprinosi za penzijsko i invalidsko osiguranje</v>
      </c>
      <c r="C94" s="565"/>
      <c r="D94" s="565"/>
      <c r="E94" s="565"/>
      <c r="F94" s="565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564" t="str">
        <f>+VLOOKUP(LEFT($A95,LEN(A95)-1)*1,Master!$D$30:$G$229,4,FALSE)</f>
        <v>Doprinosi za zdravstveno osiguranje</v>
      </c>
      <c r="C95" s="565"/>
      <c r="D95" s="565"/>
      <c r="E95" s="565"/>
      <c r="F95" s="565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564" t="str">
        <f>+VLOOKUP(LEFT($A96,LEN(A96)-1)*1,Master!$D$30:$G$229,4,FALSE)</f>
        <v>Doprinosi za osiguranje od nezaposlenosti</v>
      </c>
      <c r="C96" s="565"/>
      <c r="D96" s="565"/>
      <c r="E96" s="565"/>
      <c r="F96" s="565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564" t="str">
        <f>+VLOOKUP(LEFT($A97,LEN(A97)-1)*1,Master!$D$30:$G$229,4,FALSE)</f>
        <v>Ostali doprinosi</v>
      </c>
      <c r="C97" s="565"/>
      <c r="D97" s="565"/>
      <c r="E97" s="565"/>
      <c r="F97" s="565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570" t="str">
        <f>+VLOOKUP(LEFT($A98,LEN(A98)-1)*1,Master!$D$30:$G$229,4,FALSE)</f>
        <v>Takse</v>
      </c>
      <c r="C98" s="571"/>
      <c r="D98" s="571"/>
      <c r="E98" s="571"/>
      <c r="F98" s="571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570" t="str">
        <f>+VLOOKUP(LEFT($A99,LEN(A99)-1)*1,Master!$D$30:$G$229,4,FALSE)</f>
        <v>Naknade</v>
      </c>
      <c r="C99" s="571"/>
      <c r="D99" s="571"/>
      <c r="E99" s="571"/>
      <c r="F99" s="571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570" t="str">
        <f>+VLOOKUP(LEFT($A100,LEN(A100)-1)*1,Master!$D$30:$G$229,4,FALSE)</f>
        <v>Ostali prihodi</v>
      </c>
      <c r="C100" s="571"/>
      <c r="D100" s="571"/>
      <c r="E100" s="571"/>
      <c r="F100" s="571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570" t="str">
        <f>+VLOOKUP(LEFT($A101,LEN(A101)-1)*1,Master!$D$30:$G$229,4,FALSE)</f>
        <v>Primici od otplate kredita i sredstva prenesena iz prethodne godine</v>
      </c>
      <c r="C101" s="571"/>
      <c r="D101" s="571"/>
      <c r="E101" s="571"/>
      <c r="F101" s="571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566" t="str">
        <f>+VLOOKUP(LEFT($A102,LEN(A102)-1)*1,Master!$D$30:$G$229,4,FALSE)</f>
        <v>Donacije i transferi</v>
      </c>
      <c r="C102" s="567"/>
      <c r="D102" s="567"/>
      <c r="E102" s="567"/>
      <c r="F102" s="567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548" t="str">
        <f>+VLOOKUP(LEFT($A103,LEN(A103)-1)*1,Master!$D$30:$G$229,4,FALSE)</f>
        <v>Izdaci budžeta</v>
      </c>
      <c r="C103" s="549"/>
      <c r="D103" s="549"/>
      <c r="E103" s="549"/>
      <c r="F103" s="549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568" t="str">
        <f>+VLOOKUP(LEFT($A104,LEN(A104)-1)*1,Master!$D$30:$G$229,4,FALSE)</f>
        <v>Tekući izdaci</v>
      </c>
      <c r="C104" s="569"/>
      <c r="D104" s="569"/>
      <c r="E104" s="569"/>
      <c r="F104" s="569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564" t="str">
        <f>+VLOOKUP(LEFT($A105,LEN(A105)-1)*1,Master!$D$30:$G$229,4,FALSE)</f>
        <v>Bruto zarade i doprinosi na teret poslodavca</v>
      </c>
      <c r="C105" s="565"/>
      <c r="D105" s="565"/>
      <c r="E105" s="565"/>
      <c r="F105" s="565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564" t="str">
        <f>+VLOOKUP(LEFT($A106,LEN(A106)-1)*1,Master!$D$30:$G$229,4,FALSE)</f>
        <v>Ostala lična primanja</v>
      </c>
      <c r="C106" s="565"/>
      <c r="D106" s="565"/>
      <c r="E106" s="565"/>
      <c r="F106" s="565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564" t="str">
        <f>+VLOOKUP(LEFT($A107,LEN(A107)-1)*1,Master!$D$30:$G$229,4,FALSE)</f>
        <v>Rashodi za materijal</v>
      </c>
      <c r="C107" s="565"/>
      <c r="D107" s="565"/>
      <c r="E107" s="565"/>
      <c r="F107" s="565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564" t="str">
        <f>+VLOOKUP(LEFT($A108,LEN(A108)-1)*1,Master!$D$30:$G$229,4,FALSE)</f>
        <v>Rashodi za usluge</v>
      </c>
      <c r="C108" s="565"/>
      <c r="D108" s="565"/>
      <c r="E108" s="565"/>
      <c r="F108" s="565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564" t="str">
        <f>+VLOOKUP(LEFT($A109,LEN(A109)-1)*1,Master!$D$30:$G$229,4,FALSE)</f>
        <v>Rashodi za tekuće održavanje</v>
      </c>
      <c r="C109" s="565"/>
      <c r="D109" s="565"/>
      <c r="E109" s="565"/>
      <c r="F109" s="565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564" t="str">
        <f>+VLOOKUP(LEFT($A110,LEN(A110)-1)*1,Master!$D$30:$G$229,4,FALSE)</f>
        <v>Kamate</v>
      </c>
      <c r="C110" s="565"/>
      <c r="D110" s="565"/>
      <c r="E110" s="565"/>
      <c r="F110" s="565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564" t="str">
        <f>+VLOOKUP(LEFT($A111,LEN(A111)-1)*1,Master!$D$30:$G$229,4,FALSE)</f>
        <v>Renta</v>
      </c>
      <c r="C111" s="565"/>
      <c r="D111" s="565"/>
      <c r="E111" s="565"/>
      <c r="F111" s="565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564" t="str">
        <f>+VLOOKUP(LEFT($A112,LEN(A112)-1)*1,Master!$D$30:$G$229,4,FALSE)</f>
        <v>Subvencije</v>
      </c>
      <c r="C112" s="565"/>
      <c r="D112" s="565"/>
      <c r="E112" s="565"/>
      <c r="F112" s="565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564" t="str">
        <f>+VLOOKUP(LEFT($A113,LEN(A113)-1)*1,Master!$D$30:$G$229,4,FALSE)</f>
        <v>Ostali izdaci</v>
      </c>
      <c r="C113" s="565"/>
      <c r="D113" s="565"/>
      <c r="E113" s="565"/>
      <c r="F113" s="565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560" t="str">
        <f>+VLOOKUP(LEFT($A114,LEN(A114)-1)*1,Master!$D$30:$G$229,4,FALSE)</f>
        <v>Transferi za socijalnu zaštitu</v>
      </c>
      <c r="C114" s="561"/>
      <c r="D114" s="561"/>
      <c r="E114" s="561"/>
      <c r="F114" s="561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564" t="str">
        <f>+VLOOKUP(LEFT($A115,LEN(A115)-1)*1,Master!$D$30:$G$229,4,FALSE)</f>
        <v>Prava iz oblasti socijalne zaštite</v>
      </c>
      <c r="C115" s="565"/>
      <c r="D115" s="565"/>
      <c r="E115" s="565"/>
      <c r="F115" s="565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564" t="str">
        <f>+VLOOKUP(LEFT($A116,LEN(A116)-1)*1,Master!$D$30:$G$229,4,FALSE)</f>
        <v>Sredstva za tehnološke viškove</v>
      </c>
      <c r="C116" s="565"/>
      <c r="D116" s="565"/>
      <c r="E116" s="565"/>
      <c r="F116" s="565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564" t="str">
        <f>+VLOOKUP(LEFT($A117,LEN(A117)-1)*1,Master!$D$30:$G$229,4,FALSE)</f>
        <v>Prava iz oblasti penzijskog i invalidskog osiguranja</v>
      </c>
      <c r="C117" s="565"/>
      <c r="D117" s="565"/>
      <c r="E117" s="565"/>
      <c r="F117" s="565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564" t="str">
        <f>+VLOOKUP(LEFT($A118,LEN(A118)-1)*1,Master!$D$30:$G$229,4,FALSE)</f>
        <v>Ostala prava iz oblasti zdravstvene zaštite</v>
      </c>
      <c r="C118" s="565"/>
      <c r="D118" s="565"/>
      <c r="E118" s="565"/>
      <c r="F118" s="565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564" t="str">
        <f>+VLOOKUP(LEFT($A119,LEN(A119)-1)*1,Master!$D$30:$G$229,4,FALSE)</f>
        <v>Ostala prava iz zdravstvenog osiguranja</v>
      </c>
      <c r="C119" s="565"/>
      <c r="D119" s="565"/>
      <c r="E119" s="565"/>
      <c r="F119" s="565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562" t="str">
        <f>+VLOOKUP(LEFT($A120,LEN(A120)-1)*1,Master!$D$30:$G$229,4,FALSE)</f>
        <v xml:space="preserve">Transferi institucijama, pojedincima, nevladinom i javnom sektoru </v>
      </c>
      <c r="C120" s="563"/>
      <c r="D120" s="563"/>
      <c r="E120" s="563"/>
      <c r="F120" s="563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562" t="str">
        <f>+VLOOKUP(LEFT($A121,LEN(A121)-1)*1,Master!$D$30:$G$229,4,FALSE)</f>
        <v>Kapitalni izdaci</v>
      </c>
      <c r="C121" s="563"/>
      <c r="D121" s="563"/>
      <c r="E121" s="563"/>
      <c r="F121" s="563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554" t="str">
        <f>+VLOOKUP(LEFT($A122,LEN(A122)-1)*1,Master!$D$30:$G$229,4,FALSE)</f>
        <v>Pozajmice i krediti</v>
      </c>
      <c r="C122" s="555"/>
      <c r="D122" s="555"/>
      <c r="E122" s="555"/>
      <c r="F122" s="555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554" t="str">
        <f>+VLOOKUP(LEFT($A123,LEN(A123)-1)*1,Master!$D$30:$G$229,4,FALSE)</f>
        <v>Rezerve</v>
      </c>
      <c r="C123" s="555"/>
      <c r="D123" s="555"/>
      <c r="E123" s="555"/>
      <c r="F123" s="555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554" t="str">
        <f>+VLOOKUP(LEFT($A124,LEN(A124)-1)*1,Master!$D$30:$G$229,4,FALSE)</f>
        <v>Otplata garancija</v>
      </c>
      <c r="C124" s="555"/>
      <c r="D124" s="555"/>
      <c r="E124" s="555"/>
      <c r="F124" s="555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554" t="str">
        <f>+VLOOKUP(LEFT($A125,LEN(A125)-1)*1,Master!$D$30:$G$229,4,FALSE)</f>
        <v>Otplata obaveza iz prethodnog perioda</v>
      </c>
      <c r="C125" s="555"/>
      <c r="D125" s="555"/>
      <c r="E125" s="555"/>
      <c r="F125" s="555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554" t="str">
        <f>+VLOOKUP(LEFT($A126,LEN(A126)-1)*1,Master!$D$30:$G$229,4,FALSE)</f>
        <v>Neto povećanje obaveza</v>
      </c>
      <c r="C126" s="555"/>
      <c r="D126" s="555"/>
      <c r="E126" s="555"/>
      <c r="F126" s="555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556" t="str">
        <f>+VLOOKUP(LEFT($A127,LEN(A127)-1)*1,Master!$D$30:$G$226,4,FALSE)</f>
        <v>Suficit / deficit</v>
      </c>
      <c r="C127" s="557"/>
      <c r="D127" s="557"/>
      <c r="E127" s="557"/>
      <c r="F127" s="557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558" t="str">
        <f>+VLOOKUP(LEFT($A128,LEN(A128)-1)*1,Master!$D$30:$G$226,4,FALSE)</f>
        <v>Primarni suficit/deficit</v>
      </c>
      <c r="C128" s="559"/>
      <c r="D128" s="559"/>
      <c r="E128" s="559"/>
      <c r="F128" s="559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560" t="str">
        <f>+VLOOKUP(LEFT($A129,LEN(A129)-1)*1,Master!$D$30:$G$226,4,FALSE)</f>
        <v>Otplata dugova</v>
      </c>
      <c r="C129" s="561"/>
      <c r="D129" s="561"/>
      <c r="E129" s="561"/>
      <c r="F129" s="561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552" t="str">
        <f>+VLOOKUP(LEFT($A130,LEN(A130)-1)*1,Master!$D$30:$G$226,4,FALSE)</f>
        <v>Otplata hartija od vrijednosti i kredita rezidentima</v>
      </c>
      <c r="C130" s="553"/>
      <c r="D130" s="553"/>
      <c r="E130" s="553"/>
      <c r="F130" s="553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554" t="str">
        <f>+VLOOKUP(LEFT($A131,LEN(A131)-1)*1,Master!$D$30:$G$226,4,FALSE)</f>
        <v>Otplata hartija od vrijednosti i kredita nerezidentima</v>
      </c>
      <c r="C131" s="555"/>
      <c r="D131" s="555"/>
      <c r="E131" s="555"/>
      <c r="F131" s="555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548" t="str">
        <f>+VLOOKUP(LEFT($A132,LEN(A132)-1)*1,Master!$D$30:$G$226,4,FALSE)</f>
        <v>Izdaci za kupovinu hartija od vrijednosti</v>
      </c>
      <c r="C132" s="549"/>
      <c r="D132" s="549"/>
      <c r="E132" s="549"/>
      <c r="F132" s="549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550" t="str">
        <f>+VLOOKUP(LEFT($A133,LEN(A133)-1)*1,Master!$D$30:$G$226,4,FALSE)</f>
        <v>Nedostajuća sredstva</v>
      </c>
      <c r="C133" s="551"/>
      <c r="D133" s="551"/>
      <c r="E133" s="551"/>
      <c r="F133" s="551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548" t="str">
        <f>+VLOOKUP(LEFT($A134,LEN(A134)-1)*1,Master!$D$30:$G$226,4,FALSE)</f>
        <v>Finansiranje</v>
      </c>
      <c r="C134" s="549"/>
      <c r="D134" s="549"/>
      <c r="E134" s="549"/>
      <c r="F134" s="549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552" t="str">
        <f>+VLOOKUP(LEFT($A135,LEN(A135)-1)*1,Master!$D$30:$G$226,4,FALSE)</f>
        <v>Pozajmice i krediti od domaćih izvora</v>
      </c>
      <c r="C135" s="553"/>
      <c r="D135" s="553"/>
      <c r="E135" s="553"/>
      <c r="F135" s="553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554" t="str">
        <f>+VLOOKUP(LEFT($A136,LEN(A136)-1)*1,Master!$D$30:$G$226,4,FALSE)</f>
        <v>Pozajmice i krediti od inostranih izvora</v>
      </c>
      <c r="C136" s="555"/>
      <c r="D136" s="555"/>
      <c r="E136" s="555"/>
      <c r="F136" s="555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554" t="str">
        <f>+VLOOKUP(LEFT($A137,LEN(A137)-1)*1,Master!$D$30:$G$226,4,FALSE)</f>
        <v>Primici od prodaje imovine</v>
      </c>
      <c r="C137" s="555"/>
      <c r="D137" s="555"/>
      <c r="E137" s="555"/>
      <c r="F137" s="555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28" t="str">
        <f>+Master!G252</f>
        <v>Ostvarenje budžeta</v>
      </c>
      <c r="C7" s="529"/>
      <c r="D7" s="529"/>
      <c r="E7" s="529"/>
      <c r="F7" s="529"/>
      <c r="G7" s="537">
        <v>2020</v>
      </c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41"/>
      <c r="S7" s="220" t="str">
        <f>+Master!G249</f>
        <v>BDP</v>
      </c>
      <c r="T7" s="221">
        <v>4185600000</v>
      </c>
    </row>
    <row r="8" spans="1:20" ht="16.5" customHeight="1">
      <c r="A8" s="129"/>
      <c r="B8" s="530"/>
      <c r="C8" s="531"/>
      <c r="D8" s="531"/>
      <c r="E8" s="531"/>
      <c r="F8" s="532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537" t="str">
        <f>+Master!G247</f>
        <v>Jan - Dec</v>
      </c>
      <c r="T8" s="541"/>
    </row>
    <row r="9" spans="1:20" ht="13.5" thickBot="1">
      <c r="A9" s="129"/>
      <c r="B9" s="533"/>
      <c r="C9" s="534"/>
      <c r="D9" s="534"/>
      <c r="E9" s="534"/>
      <c r="F9" s="535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496" t="str">
        <f>+VLOOKUP($A10,Master!$D$30:$G$226,4,FALSE)</f>
        <v>Prihodi budžeta</v>
      </c>
      <c r="C10" s="497"/>
      <c r="D10" s="497"/>
      <c r="E10" s="497"/>
      <c r="F10" s="497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498" t="str">
        <f>+VLOOKUP($A11,Master!$D$30:$G$226,4,FALSE)</f>
        <v>Porezi</v>
      </c>
      <c r="C11" s="499"/>
      <c r="D11" s="499"/>
      <c r="E11" s="499"/>
      <c r="F11" s="499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00" t="str">
        <f>+VLOOKUP($A12,Master!$D$30:$G$226,4,FALSE)</f>
        <v>Porez na dohodak fizičkih lica</v>
      </c>
      <c r="C12" s="501"/>
      <c r="D12" s="501"/>
      <c r="E12" s="501"/>
      <c r="F12" s="501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00" t="str">
        <f>+VLOOKUP($A13,Master!$D$30:$G$226,4,FALSE)</f>
        <v>Porez na dobit pravnih lica</v>
      </c>
      <c r="C13" s="501"/>
      <c r="D13" s="501"/>
      <c r="E13" s="501"/>
      <c r="F13" s="501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00" t="str">
        <f>+VLOOKUP($A14,Master!$D$30:$G$226,4,FALSE)</f>
        <v>Porez na promet nepokretnosti</v>
      </c>
      <c r="C14" s="501"/>
      <c r="D14" s="501"/>
      <c r="E14" s="501"/>
      <c r="F14" s="501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00" t="str">
        <f>+VLOOKUP($A15,Master!$D$30:$G$226,4,FALSE)</f>
        <v>Porez na dodatu vrijednost</v>
      </c>
      <c r="C15" s="501"/>
      <c r="D15" s="501"/>
      <c r="E15" s="501"/>
      <c r="F15" s="501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00" t="str">
        <f>+VLOOKUP($A16,Master!$D$30:$G$226,4,FALSE)</f>
        <v>Akcize</v>
      </c>
      <c r="C16" s="501"/>
      <c r="D16" s="501"/>
      <c r="E16" s="501"/>
      <c r="F16" s="501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00" t="str">
        <f>+VLOOKUP($A17,Master!$D$30:$G$226,4,FALSE)</f>
        <v>Porez na međunarodnu trgovinu i transakcije</v>
      </c>
      <c r="C17" s="501"/>
      <c r="D17" s="501"/>
      <c r="E17" s="501"/>
      <c r="F17" s="501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00" t="str">
        <f>+VLOOKUP($A18,Master!$D$30:$G$226,4,FALSE)</f>
        <v>Ostali državni porezi</v>
      </c>
      <c r="C18" s="501"/>
      <c r="D18" s="501"/>
      <c r="E18" s="501"/>
      <c r="F18" s="501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04" t="str">
        <f>+VLOOKUP($A19,Master!$D$30:$G$226,4,FALSE)</f>
        <v>Doprinosi</v>
      </c>
      <c r="C19" s="505"/>
      <c r="D19" s="505"/>
      <c r="E19" s="505"/>
      <c r="F19" s="505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00" t="str">
        <f>+VLOOKUP($A20,Master!$D$30:$G$226,4,FALSE)</f>
        <v>Doprinosi za penzijsko i invalidsko osiguranje</v>
      </c>
      <c r="C20" s="501"/>
      <c r="D20" s="501"/>
      <c r="E20" s="501"/>
      <c r="F20" s="501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00" t="str">
        <f>+VLOOKUP($A21,Master!$D$30:$G$226,4,FALSE)</f>
        <v>Doprinosi za zdravstveno osiguranje</v>
      </c>
      <c r="C21" s="501"/>
      <c r="D21" s="501"/>
      <c r="E21" s="501"/>
      <c r="F21" s="501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00" t="str">
        <f>+VLOOKUP($A22,Master!$D$30:$G$226,4,FALSE)</f>
        <v>Doprinosi za osiguranje od nezaposlenosti</v>
      </c>
      <c r="C22" s="501"/>
      <c r="D22" s="501"/>
      <c r="E22" s="501"/>
      <c r="F22" s="501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00" t="str">
        <f>+VLOOKUP($A23,Master!$D$30:$G$226,4,FALSE)</f>
        <v>Ostali doprinosi</v>
      </c>
      <c r="C23" s="501"/>
      <c r="D23" s="501"/>
      <c r="E23" s="501"/>
      <c r="F23" s="501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02" t="str">
        <f>+VLOOKUP($A24,Master!$D$30:$G$226,4,FALSE)</f>
        <v>Takse</v>
      </c>
      <c r="C24" s="503"/>
      <c r="D24" s="503"/>
      <c r="E24" s="503"/>
      <c r="F24" s="503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02" t="str">
        <f>+VLOOKUP($A25,Master!$D$30:$G$226,4,FALSE)</f>
        <v>Naknade</v>
      </c>
      <c r="C25" s="503"/>
      <c r="D25" s="503"/>
      <c r="E25" s="503"/>
      <c r="F25" s="503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02" t="str">
        <f>+VLOOKUP($A26,Master!$D$30:$G$226,4,FALSE)</f>
        <v>Ostali prihodi</v>
      </c>
      <c r="C26" s="503"/>
      <c r="D26" s="503"/>
      <c r="E26" s="503"/>
      <c r="F26" s="503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02" t="str">
        <f>+VLOOKUP($A27,Master!$D$30:$G$226,4,FALSE)</f>
        <v>Primici od otplate kredita i sredstva prenesena iz prethodne godine</v>
      </c>
      <c r="C27" s="503"/>
      <c r="D27" s="503"/>
      <c r="E27" s="503"/>
      <c r="F27" s="503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06" t="str">
        <f>+VLOOKUP($A28,Master!$D$30:$G$226,4,FALSE)</f>
        <v>Donacije i transferi</v>
      </c>
      <c r="C28" s="507"/>
      <c r="D28" s="507"/>
      <c r="E28" s="507"/>
      <c r="F28" s="507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08" t="str">
        <f>+VLOOKUP($A29,Master!$D$30:$G$226,4,FALSE)</f>
        <v>Izdaci budžeta</v>
      </c>
      <c r="C29" s="509"/>
      <c r="D29" s="509"/>
      <c r="E29" s="509"/>
      <c r="F29" s="509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12" t="str">
        <f>+VLOOKUP($A30,Master!$D$30:$G$226,4,FALSE)</f>
        <v>Tekući izdaci</v>
      </c>
      <c r="C30" s="513"/>
      <c r="D30" s="513"/>
      <c r="E30" s="513"/>
      <c r="F30" s="513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00" t="str">
        <f>+VLOOKUP($A31,Master!$D$30:$G$226,4,FALSE)</f>
        <v>Bruto zarade i doprinosi na teret poslodavca</v>
      </c>
      <c r="C31" s="501"/>
      <c r="D31" s="501"/>
      <c r="E31" s="501"/>
      <c r="F31" s="501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00" t="str">
        <f>+VLOOKUP($A32,Master!$D$30:$G$226,4,FALSE)</f>
        <v>Ostala lična primanja</v>
      </c>
      <c r="C32" s="501"/>
      <c r="D32" s="501"/>
      <c r="E32" s="501"/>
      <c r="F32" s="501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00" t="str">
        <f>+VLOOKUP($A33,Master!$D$30:$G$226,4,FALSE)</f>
        <v>Rashodi za materijal</v>
      </c>
      <c r="C33" s="501"/>
      <c r="D33" s="501"/>
      <c r="E33" s="501"/>
      <c r="F33" s="501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595" t="str">
        <f>+VLOOKUP($A34,Master!$D$30:$G$226,4,FALSE)</f>
        <v>Rashodi za usluge</v>
      </c>
      <c r="C34" s="596"/>
      <c r="D34" s="596"/>
      <c r="E34" s="596"/>
      <c r="F34" s="596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00" t="str">
        <f>+VLOOKUP($A35,Master!$D$30:$G$226,4,FALSE)</f>
        <v>Rashodi za tekuće održavanje</v>
      </c>
      <c r="C35" s="501"/>
      <c r="D35" s="501"/>
      <c r="E35" s="501"/>
      <c r="F35" s="501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00" t="str">
        <f>+VLOOKUP($A36,Master!$D$30:$G$226,4,FALSE)</f>
        <v>Kamate</v>
      </c>
      <c r="C36" s="501"/>
      <c r="D36" s="501"/>
      <c r="E36" s="501"/>
      <c r="F36" s="501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00" t="str">
        <f>+VLOOKUP($A37,Master!$D$30:$G$226,4,FALSE)</f>
        <v>Renta</v>
      </c>
      <c r="C37" s="501"/>
      <c r="D37" s="501"/>
      <c r="E37" s="501"/>
      <c r="F37" s="501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00" t="str">
        <f>+VLOOKUP($A38,Master!$D$30:$G$226,4,FALSE)</f>
        <v>Subvencije</v>
      </c>
      <c r="C38" s="501"/>
      <c r="D38" s="501"/>
      <c r="E38" s="501"/>
      <c r="F38" s="501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595" t="str">
        <f>+VLOOKUP($A39,Master!$D$30:$G$226,4,FALSE)</f>
        <v>Ostali izdaci</v>
      </c>
      <c r="C39" s="596"/>
      <c r="D39" s="596"/>
      <c r="E39" s="596"/>
      <c r="F39" s="596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16" t="str">
        <f>+VLOOKUP($A40,Master!$D$30:$G$226,4,FALSE)</f>
        <v>Transferi za socijalnu zaštitu</v>
      </c>
      <c r="C40" s="517"/>
      <c r="D40" s="517"/>
      <c r="E40" s="517"/>
      <c r="F40" s="517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00" t="str">
        <f>+VLOOKUP($A41,Master!$D$30:$G$226,4,FALSE)</f>
        <v>Prava iz oblasti socijalne zaštite</v>
      </c>
      <c r="C41" s="501"/>
      <c r="D41" s="501"/>
      <c r="E41" s="501"/>
      <c r="F41" s="501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00" t="str">
        <f>+VLOOKUP($A42,Master!$D$30:$G$226,4,FALSE)</f>
        <v>Sredstva za tehnološke viškove</v>
      </c>
      <c r="C42" s="501"/>
      <c r="D42" s="501"/>
      <c r="E42" s="501"/>
      <c r="F42" s="501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00" t="str">
        <f>+VLOOKUP($A43,Master!$D$30:$G$226,4,FALSE)</f>
        <v>Prava iz oblasti penzijskog i invalidskog osiguranja</v>
      </c>
      <c r="C43" s="501"/>
      <c r="D43" s="501"/>
      <c r="E43" s="501"/>
      <c r="F43" s="501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00" t="str">
        <f>+VLOOKUP($A44,Master!$D$30:$G$226,4,FALSE)</f>
        <v>Ostala prava iz oblasti zdravstvene zaštite</v>
      </c>
      <c r="C44" s="501"/>
      <c r="D44" s="501"/>
      <c r="E44" s="501"/>
      <c r="F44" s="501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591" t="str">
        <f>+VLOOKUP($A45,Master!$D$30:$G$226,4,FALSE)</f>
        <v>Ostala prava iz zdravstvenog osiguranja</v>
      </c>
      <c r="C45" s="592"/>
      <c r="D45" s="592"/>
      <c r="E45" s="592"/>
      <c r="F45" s="592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14" t="str">
        <f>+VLOOKUP($A46,Master!$D$30:$G$226,4,FALSE)</f>
        <v xml:space="preserve">Transferi institucijama, pojedincima, nevladinom i javnom sektoru </v>
      </c>
      <c r="C46" s="515"/>
      <c r="D46" s="515"/>
      <c r="E46" s="515"/>
      <c r="F46" s="515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14" t="str">
        <f>+VLOOKUP($A47,Master!$D$30:$G$226,4,FALSE)</f>
        <v>Kapitalni izdaci</v>
      </c>
      <c r="C47" s="515"/>
      <c r="D47" s="515"/>
      <c r="E47" s="515"/>
      <c r="F47" s="515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593" t="str">
        <f>+VLOOKUP($A48,Master!$D$30:$G$226,4,FALSE)</f>
        <v>Pozajmice i krediti</v>
      </c>
      <c r="C48" s="594"/>
      <c r="D48" s="594"/>
      <c r="E48" s="594"/>
      <c r="F48" s="594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585" t="str">
        <f>+VLOOKUP($A49,Master!$D$30:$G$226,4,FALSE)</f>
        <v>Rezerve</v>
      </c>
      <c r="C49" s="586"/>
      <c r="D49" s="586"/>
      <c r="E49" s="586"/>
      <c r="F49" s="586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20" t="str">
        <f>+VLOOKUP($A50,Master!$D$30:$G$226,4,FALSE)</f>
        <v>Otplata garancija</v>
      </c>
      <c r="C50" s="521"/>
      <c r="D50" s="521"/>
      <c r="E50" s="521"/>
      <c r="F50" s="521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587" t="str">
        <f>+VLOOKUP($A51,Master!$D$30:$G$226,4,TRUE)</f>
        <v>Otplata obaveza iz prethodnog perioda</v>
      </c>
      <c r="C51" s="588"/>
      <c r="D51" s="588"/>
      <c r="E51" s="588"/>
      <c r="F51" s="588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589" t="str">
        <f>+VLOOKUP($A52,Master!$D$30:$G$228,4,FALSE)</f>
        <v>Neto povećanje obaveza</v>
      </c>
      <c r="C52" s="590"/>
      <c r="D52" s="590"/>
      <c r="E52" s="590"/>
      <c r="F52" s="590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22" t="str">
        <f>+VLOOKUP($A53,Master!$D$30:$G$226,4,FALSE)</f>
        <v>Suficit / deficit</v>
      </c>
      <c r="C53" s="523"/>
      <c r="D53" s="523"/>
      <c r="E53" s="523"/>
      <c r="F53" s="523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24" t="str">
        <f>+VLOOKUP($A54,Master!$D$30:$G$226,4,FALSE)</f>
        <v>Primarni suficit/deficit</v>
      </c>
      <c r="C54" s="525"/>
      <c r="D54" s="525"/>
      <c r="E54" s="525"/>
      <c r="F54" s="525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546" t="str">
        <f>+VLOOKUP($A55,Master!$D$30:$G$226,4,FALSE)</f>
        <v>Otplata dugova</v>
      </c>
      <c r="C55" s="547"/>
      <c r="D55" s="547"/>
      <c r="E55" s="547"/>
      <c r="F55" s="547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542" t="str">
        <f>+VLOOKUP($A56,Master!$D$30:$G$226,4,FALSE)</f>
        <v>Otplata hartija od vrijednosti i kredita rezidentima</v>
      </c>
      <c r="C56" s="543"/>
      <c r="D56" s="543"/>
      <c r="E56" s="543"/>
      <c r="F56" s="543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518" t="str">
        <f>+VLOOKUP($A57,Master!$D$30:$G$226,4,FALSE)</f>
        <v>Otplata hartija od vrijednosti i kredita nerezidentima</v>
      </c>
      <c r="C57" s="519"/>
      <c r="D57" s="519"/>
      <c r="E57" s="519"/>
      <c r="F57" s="519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10" t="str">
        <f>+VLOOKUP($A58,Master!$D$30:$G$226,4,FALSE)</f>
        <v>Izdaci za kupovinu hartija od vrijednosti</v>
      </c>
      <c r="C58" s="511"/>
      <c r="D58" s="511"/>
      <c r="E58" s="511"/>
      <c r="F58" s="511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544" t="str">
        <f>+VLOOKUP($A59,Master!$D$30:$G$226,4,FALSE)</f>
        <v>Nedostajuća sredstva</v>
      </c>
      <c r="C59" s="545"/>
      <c r="D59" s="545"/>
      <c r="E59" s="545"/>
      <c r="F59" s="545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08" t="str">
        <f>+VLOOKUP($A60,Master!$D$30:$G$226,4,FALSE)</f>
        <v>Finansiranje</v>
      </c>
      <c r="C60" s="509"/>
      <c r="D60" s="509"/>
      <c r="E60" s="509"/>
      <c r="F60" s="509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542" t="str">
        <f>+VLOOKUP($A61,Master!$D$30:$G$226,4,FALSE)</f>
        <v>Pozajmice i krediti od domaćih izvora</v>
      </c>
      <c r="C61" s="543"/>
      <c r="D61" s="543"/>
      <c r="E61" s="543"/>
      <c r="F61" s="543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518" t="str">
        <f>+VLOOKUP($A62,Master!$D$30:$G$226,4,FALSE)</f>
        <v>Pozajmice i krediti od inostranih izvora</v>
      </c>
      <c r="C62" s="519"/>
      <c r="D62" s="519"/>
      <c r="E62" s="519"/>
      <c r="F62" s="519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518" t="str">
        <f>+VLOOKUP($A63,Master!$D$30:$G$226,4,FALSE)</f>
        <v>Primici od prodaje imovine</v>
      </c>
      <c r="C63" s="519"/>
      <c r="D63" s="519"/>
      <c r="E63" s="519"/>
      <c r="F63" s="519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574" t="str">
        <f>+Master!G253</f>
        <v>Plan ostvarenja budžeta</v>
      </c>
      <c r="C100" s="575"/>
      <c r="D100" s="575"/>
      <c r="E100" s="575"/>
      <c r="F100" s="575"/>
      <c r="G100" s="582">
        <v>2020</v>
      </c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4"/>
      <c r="S100" s="96" t="str">
        <f>+S7</f>
        <v>BDP</v>
      </c>
      <c r="T100" s="97">
        <v>4607300000</v>
      </c>
    </row>
    <row r="101" spans="1:21" ht="15.75" customHeight="1">
      <c r="B101" s="576"/>
      <c r="C101" s="577"/>
      <c r="D101" s="577"/>
      <c r="E101" s="577"/>
      <c r="F101" s="578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582" t="str">
        <f>+Master!G247</f>
        <v>Jan - Dec</v>
      </c>
      <c r="T101" s="584">
        <f>+T8</f>
        <v>0</v>
      </c>
    </row>
    <row r="102" spans="1:21" ht="13.5" thickBot="1">
      <c r="B102" s="579"/>
      <c r="C102" s="580"/>
      <c r="D102" s="580"/>
      <c r="E102" s="580"/>
      <c r="F102" s="581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597" t="str">
        <f>+VLOOKUP(LEFT($A103,LEN(A103)-1)*1,Master!$D$30:$G$226,4,FALSE)</f>
        <v>Prihodi budžeta</v>
      </c>
      <c r="C103" s="598"/>
      <c r="D103" s="598"/>
      <c r="E103" s="598"/>
      <c r="F103" s="598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572" t="str">
        <f>+VLOOKUP(LEFT($A104,LEN(A104)-1)*1,Master!$D$30:$G$226,4,FALSE)</f>
        <v>Porezi</v>
      </c>
      <c r="C104" s="573"/>
      <c r="D104" s="573"/>
      <c r="E104" s="573"/>
      <c r="F104" s="573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564" t="str">
        <f>+VLOOKUP(LEFT($A105,LEN(A105)-1)*1,Master!$D$30:$G$229,4,FALSE)</f>
        <v>Porez na dohodak fizičkih lica</v>
      </c>
      <c r="C105" s="565"/>
      <c r="D105" s="565"/>
      <c r="E105" s="565"/>
      <c r="F105" s="565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564" t="str">
        <f>+VLOOKUP(LEFT($A106,LEN(A106)-1)*1,Master!$D$30:$G$229,4,FALSE)</f>
        <v>Porez na dobit pravnih lica</v>
      </c>
      <c r="C106" s="565"/>
      <c r="D106" s="565"/>
      <c r="E106" s="565"/>
      <c r="F106" s="565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564" t="str">
        <f>+VLOOKUP(LEFT($A107,LEN(A107)-1)*1,Master!$D$30:$G$229,4,FALSE)</f>
        <v>Porez na promet nepokretnosti</v>
      </c>
      <c r="C107" s="565"/>
      <c r="D107" s="565"/>
      <c r="E107" s="565"/>
      <c r="F107" s="565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564" t="str">
        <f>+VLOOKUP(LEFT($A108,LEN(A108)-1)*1,Master!$D$30:$G$229,4,FALSE)</f>
        <v>Porez na dodatu vrijednost</v>
      </c>
      <c r="C108" s="565"/>
      <c r="D108" s="565"/>
      <c r="E108" s="565"/>
      <c r="F108" s="565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564" t="str">
        <f>+VLOOKUP(LEFT($A109,LEN(A109)-1)*1,Master!$D$30:$G$229,4,FALSE)</f>
        <v>Akcize</v>
      </c>
      <c r="C109" s="565"/>
      <c r="D109" s="565"/>
      <c r="E109" s="565"/>
      <c r="F109" s="565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564" t="str">
        <f>+VLOOKUP(LEFT($A110,LEN(A110)-1)*1,Master!$D$30:$G$229,4,FALSE)</f>
        <v>Porez na međunarodnu trgovinu i transakcije</v>
      </c>
      <c r="C110" s="565"/>
      <c r="D110" s="565"/>
      <c r="E110" s="565"/>
      <c r="F110" s="565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564" t="str">
        <f>+VLOOKUP(LEFT($A111,LEN(A111)-1)*1,Master!$D$30:$G$229,4,FALSE)</f>
        <v>Ostali državni porezi</v>
      </c>
      <c r="C111" s="565"/>
      <c r="D111" s="565"/>
      <c r="E111" s="565"/>
      <c r="F111" s="565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599" t="str">
        <f>+VLOOKUP(LEFT($A112,LEN(A112)-1)*1,Master!$D$30:$G$229,4,FALSE)</f>
        <v>Doprinosi</v>
      </c>
      <c r="C112" s="600"/>
      <c r="D112" s="600"/>
      <c r="E112" s="600"/>
      <c r="F112" s="600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564" t="str">
        <f>+VLOOKUP(LEFT($A113,LEN(A113)-1)*1,Master!$D$30:$G$229,4,FALSE)</f>
        <v>Doprinosi za penzijsko i invalidsko osiguranje</v>
      </c>
      <c r="C113" s="565"/>
      <c r="D113" s="565"/>
      <c r="E113" s="565"/>
      <c r="F113" s="565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564" t="str">
        <f>+VLOOKUP(LEFT($A114,LEN(A114)-1)*1,Master!$D$30:$G$229,4,FALSE)</f>
        <v>Doprinosi za zdravstveno osiguranje</v>
      </c>
      <c r="C114" s="565"/>
      <c r="D114" s="565"/>
      <c r="E114" s="565"/>
      <c r="F114" s="565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564" t="str">
        <f>+VLOOKUP(LEFT($A115,LEN(A115)-1)*1,Master!$D$30:$G$229,4,FALSE)</f>
        <v>Doprinosi za osiguranje od nezaposlenosti</v>
      </c>
      <c r="C115" s="565"/>
      <c r="D115" s="565"/>
      <c r="E115" s="565"/>
      <c r="F115" s="565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564" t="str">
        <f>+VLOOKUP(LEFT($A116,LEN(A116)-1)*1,Master!$D$30:$G$229,4,FALSE)</f>
        <v>Ostali doprinosi</v>
      </c>
      <c r="C116" s="565"/>
      <c r="D116" s="565"/>
      <c r="E116" s="565"/>
      <c r="F116" s="565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570" t="str">
        <f>+VLOOKUP(LEFT($A117,LEN(A117)-1)*1,Master!$D$30:$G$229,4,FALSE)</f>
        <v>Takse</v>
      </c>
      <c r="C117" s="571"/>
      <c r="D117" s="571"/>
      <c r="E117" s="571"/>
      <c r="F117" s="571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570" t="str">
        <f>+VLOOKUP(LEFT($A118,LEN(A118)-1)*1,Master!$D$30:$G$229,4,FALSE)</f>
        <v>Naknade</v>
      </c>
      <c r="C118" s="571"/>
      <c r="D118" s="571"/>
      <c r="E118" s="571"/>
      <c r="F118" s="571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570" t="str">
        <f>+VLOOKUP(LEFT($A119,LEN(A119)-1)*1,Master!$D$30:$G$229,4,FALSE)</f>
        <v>Ostali prihodi</v>
      </c>
      <c r="C119" s="571"/>
      <c r="D119" s="571"/>
      <c r="E119" s="571"/>
      <c r="F119" s="571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570" t="str">
        <f>+VLOOKUP(LEFT($A120,LEN(A120)-1)*1,Master!$D$30:$G$229,4,FALSE)</f>
        <v>Primici od otplate kredita i sredstva prenesena iz prethodne godine</v>
      </c>
      <c r="C120" s="571"/>
      <c r="D120" s="571"/>
      <c r="E120" s="571"/>
      <c r="F120" s="571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566" t="str">
        <f>+VLOOKUP(LEFT($A121,LEN(A121)-1)*1,Master!$D$30:$G$229,4,FALSE)</f>
        <v>Donacije i transferi</v>
      </c>
      <c r="C121" s="567"/>
      <c r="D121" s="567"/>
      <c r="E121" s="567"/>
      <c r="F121" s="567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548" t="str">
        <f>+VLOOKUP(LEFT($A122,LEN(A122)-1)*1,Master!$D$30:$G$229,4,FALSE)</f>
        <v>Izdaci budžeta</v>
      </c>
      <c r="C122" s="549"/>
      <c r="D122" s="549"/>
      <c r="E122" s="549"/>
      <c r="F122" s="549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568" t="str">
        <f>+VLOOKUP(LEFT($A123,LEN(A123)-1)*1,Master!$D$30:$G$229,4,FALSE)</f>
        <v>Tekući izdaci</v>
      </c>
      <c r="C123" s="569"/>
      <c r="D123" s="569"/>
      <c r="E123" s="569"/>
      <c r="F123" s="569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564" t="str">
        <f>+VLOOKUP(LEFT($A124,LEN(A124)-1)*1,Master!$D$30:$G$229,4,FALSE)</f>
        <v>Bruto zarade i doprinosi na teret poslodavca</v>
      </c>
      <c r="C124" s="565"/>
      <c r="D124" s="565"/>
      <c r="E124" s="565"/>
      <c r="F124" s="565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564" t="str">
        <f>+VLOOKUP(LEFT($A125,LEN(A125)-1)*1,Master!$D$30:$G$229,4,FALSE)</f>
        <v>Ostala lična primanja</v>
      </c>
      <c r="C125" s="565"/>
      <c r="D125" s="565"/>
      <c r="E125" s="565"/>
      <c r="F125" s="565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564" t="str">
        <f>+VLOOKUP(LEFT($A126,LEN(A126)-1)*1,Master!$D$30:$G$229,4,FALSE)</f>
        <v>Rashodi za materijal</v>
      </c>
      <c r="C126" s="565"/>
      <c r="D126" s="565"/>
      <c r="E126" s="565"/>
      <c r="F126" s="565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564" t="str">
        <f>+VLOOKUP(LEFT($A127,LEN(A127)-1)*1,Master!$D$30:$G$229,4,FALSE)</f>
        <v>Rashodi za usluge</v>
      </c>
      <c r="C127" s="565"/>
      <c r="D127" s="565"/>
      <c r="E127" s="565"/>
      <c r="F127" s="565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564" t="str">
        <f>+VLOOKUP(LEFT($A128,LEN(A128)-1)*1,Master!$D$30:$G$229,4,FALSE)</f>
        <v>Rashodi za tekuće održavanje</v>
      </c>
      <c r="C128" s="565"/>
      <c r="D128" s="565"/>
      <c r="E128" s="565"/>
      <c r="F128" s="565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564" t="str">
        <f>+VLOOKUP(LEFT($A129,LEN(A129)-1)*1,Master!$D$30:$G$229,4,FALSE)</f>
        <v>Kamate</v>
      </c>
      <c r="C129" s="565"/>
      <c r="D129" s="565"/>
      <c r="E129" s="565"/>
      <c r="F129" s="565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564" t="str">
        <f>+VLOOKUP(LEFT($A130,LEN(A130)-1)*1,Master!$D$30:$G$229,4,FALSE)</f>
        <v>Renta</v>
      </c>
      <c r="C130" s="565"/>
      <c r="D130" s="565"/>
      <c r="E130" s="565"/>
      <c r="F130" s="565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564" t="str">
        <f>+VLOOKUP(LEFT($A131,LEN(A131)-1)*1,Master!$D$30:$G$229,4,FALSE)</f>
        <v>Subvencije</v>
      </c>
      <c r="C131" s="565"/>
      <c r="D131" s="565"/>
      <c r="E131" s="565"/>
      <c r="F131" s="565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564" t="str">
        <f>+VLOOKUP(LEFT($A132,LEN(A132)-1)*1,Master!$D$30:$G$229,4,FALSE)</f>
        <v>Ostali izdaci</v>
      </c>
      <c r="C132" s="565"/>
      <c r="D132" s="565"/>
      <c r="E132" s="565"/>
      <c r="F132" s="565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560" t="str">
        <f>+VLOOKUP(LEFT($A133,LEN(A133)-1)*1,Master!$D$30:$G$229,4,FALSE)</f>
        <v>Transferi za socijalnu zaštitu</v>
      </c>
      <c r="C133" s="561"/>
      <c r="D133" s="561"/>
      <c r="E133" s="561"/>
      <c r="F133" s="561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564" t="str">
        <f>+VLOOKUP(LEFT($A134,LEN(A134)-1)*1,Master!$D$30:$G$229,4,FALSE)</f>
        <v>Prava iz oblasti socijalne zaštite</v>
      </c>
      <c r="C134" s="565"/>
      <c r="D134" s="565"/>
      <c r="E134" s="565"/>
      <c r="F134" s="565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564" t="str">
        <f>+VLOOKUP(LEFT($A135,LEN(A135)-1)*1,Master!$D$30:$G$229,4,FALSE)</f>
        <v>Sredstva za tehnološke viškove</v>
      </c>
      <c r="C135" s="565"/>
      <c r="D135" s="565"/>
      <c r="E135" s="565"/>
      <c r="F135" s="565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564" t="str">
        <f>+VLOOKUP(LEFT($A136,LEN(A136)-1)*1,Master!$D$30:$G$229,4,FALSE)</f>
        <v>Prava iz oblasti penzijskog i invalidskog osiguranja</v>
      </c>
      <c r="C136" s="565"/>
      <c r="D136" s="565"/>
      <c r="E136" s="565"/>
      <c r="F136" s="565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564" t="str">
        <f>+VLOOKUP(LEFT($A137,LEN(A137)-1)*1,Master!$D$30:$G$229,4,FALSE)</f>
        <v>Ostala prava iz oblasti zdravstvene zaštite</v>
      </c>
      <c r="C137" s="565"/>
      <c r="D137" s="565"/>
      <c r="E137" s="565"/>
      <c r="F137" s="565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564" t="str">
        <f>+VLOOKUP(LEFT($A138,LEN(A138)-1)*1,Master!$D$30:$G$229,4,FALSE)</f>
        <v>Ostala prava iz zdravstvenog osiguranja</v>
      </c>
      <c r="C138" s="565"/>
      <c r="D138" s="565"/>
      <c r="E138" s="565"/>
      <c r="F138" s="565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562" t="str">
        <f>+VLOOKUP(LEFT($A139,LEN(A139)-1)*1,Master!$D$30:$G$229,4,FALSE)</f>
        <v xml:space="preserve">Transferi institucijama, pojedincima, nevladinom i javnom sektoru </v>
      </c>
      <c r="C139" s="563"/>
      <c r="D139" s="563"/>
      <c r="E139" s="563"/>
      <c r="F139" s="563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562" t="str">
        <f>+VLOOKUP(LEFT($A140,LEN(A140)-1)*1,Master!$D$30:$G$229,4,FALSE)</f>
        <v>Kapitalni izdaci</v>
      </c>
      <c r="C140" s="563"/>
      <c r="D140" s="563"/>
      <c r="E140" s="563"/>
      <c r="F140" s="563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554" t="str">
        <f>+VLOOKUP(LEFT($A141,LEN(A141)-1)*1,Master!$D$30:$G$229,4,FALSE)</f>
        <v>Pozajmice i krediti</v>
      </c>
      <c r="C141" s="555"/>
      <c r="D141" s="555"/>
      <c r="E141" s="555"/>
      <c r="F141" s="555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554" t="str">
        <f>+VLOOKUP(LEFT($A142,LEN(A142)-1)*1,Master!$D$30:$G$229,4,FALSE)</f>
        <v>Rezerve</v>
      </c>
      <c r="C142" s="555"/>
      <c r="D142" s="555"/>
      <c r="E142" s="555"/>
      <c r="F142" s="555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554" t="str">
        <f>+VLOOKUP(LEFT($A143,LEN(A143)-1)*1,Master!$D$30:$G$229,4,FALSE)</f>
        <v>Otplata garancija</v>
      </c>
      <c r="C143" s="555"/>
      <c r="D143" s="555"/>
      <c r="E143" s="555"/>
      <c r="F143" s="555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554" t="str">
        <f>+VLOOKUP(LEFT($A144,LEN(A144)-1)*1,Master!$D$30:$G$229,4,FALSE)</f>
        <v>Otplata obaveza iz prethodnog perioda</v>
      </c>
      <c r="C144" s="555"/>
      <c r="D144" s="555"/>
      <c r="E144" s="555"/>
      <c r="F144" s="555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554" t="str">
        <f>+VLOOKUP(LEFT($A145,LEN(A145)-1)*1,Master!$D$30:$G$229,4,FALSE)</f>
        <v>Neto povećanje obaveza</v>
      </c>
      <c r="C145" s="555"/>
      <c r="D145" s="555"/>
      <c r="E145" s="555"/>
      <c r="F145" s="555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556" t="str">
        <f>+VLOOKUP(LEFT($A146,LEN(A146)-1)*1,Master!$D$30:$G$226,4,FALSE)</f>
        <v>Suficit / deficit</v>
      </c>
      <c r="C146" s="557"/>
      <c r="D146" s="557"/>
      <c r="E146" s="557"/>
      <c r="F146" s="557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558" t="str">
        <f>+VLOOKUP(LEFT($A147,LEN(A147)-1)*1,Master!$D$30:$G$226,4,FALSE)</f>
        <v>Primarni suficit/deficit</v>
      </c>
      <c r="C147" s="559"/>
      <c r="D147" s="559"/>
      <c r="E147" s="559"/>
      <c r="F147" s="559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560" t="str">
        <f>+VLOOKUP(LEFT($A148,LEN(A148)-1)*1,Master!$D$30:$G$226,4,FALSE)</f>
        <v>Otplata dugova</v>
      </c>
      <c r="C148" s="561"/>
      <c r="D148" s="561"/>
      <c r="E148" s="561"/>
      <c r="F148" s="561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552" t="str">
        <f>+VLOOKUP(LEFT($A149,LEN(A149)-1)*1,Master!$D$30:$G$226,4,FALSE)</f>
        <v>Otplata hartija od vrijednosti i kredita rezidentima</v>
      </c>
      <c r="C149" s="553"/>
      <c r="D149" s="553"/>
      <c r="E149" s="553"/>
      <c r="F149" s="553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554" t="str">
        <f>+VLOOKUP(LEFT($A150,LEN(A150)-1)*1,Master!$D$30:$G$226,4,FALSE)</f>
        <v>Otplata hartija od vrijednosti i kredita nerezidentima</v>
      </c>
      <c r="C150" s="555"/>
      <c r="D150" s="555"/>
      <c r="E150" s="555"/>
      <c r="F150" s="555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548" t="str">
        <f>+VLOOKUP(LEFT($A151,LEN(A151)-1)*1,Master!$D$30:$G$226,4,FALSE)</f>
        <v>Izdaci za kupovinu hartija od vrijednosti</v>
      </c>
      <c r="C151" s="549"/>
      <c r="D151" s="549"/>
      <c r="E151" s="549"/>
      <c r="F151" s="549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550" t="str">
        <f>+VLOOKUP(LEFT($A152,LEN(A152)-1)*1,Master!$D$30:$G$226,4,FALSE)</f>
        <v>Nedostajuća sredstva</v>
      </c>
      <c r="C152" s="551"/>
      <c r="D152" s="551"/>
      <c r="E152" s="551"/>
      <c r="F152" s="551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548" t="str">
        <f>+VLOOKUP(LEFT($A153,LEN(A153)-1)*1,Master!$D$30:$G$226,4,FALSE)</f>
        <v>Finansiranje</v>
      </c>
      <c r="C153" s="549"/>
      <c r="D153" s="549"/>
      <c r="E153" s="549"/>
      <c r="F153" s="549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552" t="str">
        <f>+VLOOKUP(LEFT($A154,LEN(A154)-1)*1,Master!$D$30:$G$226,4,FALSE)</f>
        <v>Pozajmice i krediti od domaćih izvora</v>
      </c>
      <c r="C154" s="553"/>
      <c r="D154" s="553"/>
      <c r="E154" s="553"/>
      <c r="F154" s="553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554" t="str">
        <f>+VLOOKUP(LEFT($A155,LEN(A155)-1)*1,Master!$D$30:$G$226,4,FALSE)</f>
        <v>Pozajmice i krediti od inostranih izvora</v>
      </c>
      <c r="C155" s="555"/>
      <c r="D155" s="555"/>
      <c r="E155" s="555"/>
      <c r="F155" s="555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554" t="str">
        <f>+VLOOKUP(LEFT($A156,LEN(A156)-1)*1,Master!$D$30:$G$226,4,FALSE)</f>
        <v>Primici od prodaje imovine</v>
      </c>
      <c r="C156" s="555"/>
      <c r="D156" s="555"/>
      <c r="E156" s="555"/>
      <c r="F156" s="555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28" t="s">
        <v>553</v>
      </c>
      <c r="C7" s="529"/>
      <c r="D7" s="529"/>
      <c r="E7" s="529"/>
      <c r="F7" s="529"/>
      <c r="G7" s="537">
        <v>2019</v>
      </c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41"/>
      <c r="S7" s="220" t="s">
        <v>419</v>
      </c>
      <c r="T7" s="221">
        <v>4951000000</v>
      </c>
    </row>
    <row r="8" spans="1:20" ht="16.5" customHeight="1">
      <c r="A8" s="129"/>
      <c r="B8" s="530"/>
      <c r="C8" s="531"/>
      <c r="D8" s="531"/>
      <c r="E8" s="531"/>
      <c r="F8" s="532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37" t="s">
        <v>806</v>
      </c>
      <c r="T8" s="541"/>
    </row>
    <row r="9" spans="1:20" ht="13.5" thickBot="1">
      <c r="A9" s="129"/>
      <c r="B9" s="533"/>
      <c r="C9" s="534"/>
      <c r="D9" s="534"/>
      <c r="E9" s="534"/>
      <c r="F9" s="535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08" t="s">
        <v>680</v>
      </c>
      <c r="C10" s="509"/>
      <c r="D10" s="509"/>
      <c r="E10" s="509"/>
      <c r="F10" s="509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498" t="s">
        <v>21</v>
      </c>
      <c r="C11" s="499"/>
      <c r="D11" s="499"/>
      <c r="E11" s="499"/>
      <c r="F11" s="499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00" t="s">
        <v>23</v>
      </c>
      <c r="C12" s="501"/>
      <c r="D12" s="501"/>
      <c r="E12" s="501"/>
      <c r="F12" s="501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00" t="s">
        <v>25</v>
      </c>
      <c r="C13" s="501"/>
      <c r="D13" s="501"/>
      <c r="E13" s="501"/>
      <c r="F13" s="501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00" t="s">
        <v>27</v>
      </c>
      <c r="C14" s="501"/>
      <c r="D14" s="501"/>
      <c r="E14" s="501"/>
      <c r="F14" s="501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00" t="s">
        <v>29</v>
      </c>
      <c r="C15" s="501"/>
      <c r="D15" s="501"/>
      <c r="E15" s="501"/>
      <c r="F15" s="501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00" t="s">
        <v>31</v>
      </c>
      <c r="C16" s="501"/>
      <c r="D16" s="501"/>
      <c r="E16" s="501"/>
      <c r="F16" s="501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00" t="s">
        <v>33</v>
      </c>
      <c r="C17" s="501"/>
      <c r="D17" s="501"/>
      <c r="E17" s="501"/>
      <c r="F17" s="501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00" t="s">
        <v>721</v>
      </c>
      <c r="C18" s="501"/>
      <c r="D18" s="501"/>
      <c r="E18" s="501"/>
      <c r="F18" s="501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04" t="s">
        <v>37</v>
      </c>
      <c r="C19" s="505"/>
      <c r="D19" s="505"/>
      <c r="E19" s="505"/>
      <c r="F19" s="505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00" t="s">
        <v>39</v>
      </c>
      <c r="C20" s="501"/>
      <c r="D20" s="501"/>
      <c r="E20" s="501"/>
      <c r="F20" s="501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00" t="s">
        <v>41</v>
      </c>
      <c r="C21" s="501"/>
      <c r="D21" s="501"/>
      <c r="E21" s="501"/>
      <c r="F21" s="501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00" t="s">
        <v>43</v>
      </c>
      <c r="C22" s="501"/>
      <c r="D22" s="501"/>
      <c r="E22" s="501"/>
      <c r="F22" s="501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00" t="s">
        <v>45</v>
      </c>
      <c r="C23" s="501"/>
      <c r="D23" s="501"/>
      <c r="E23" s="501"/>
      <c r="F23" s="501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02" t="s">
        <v>47</v>
      </c>
      <c r="C24" s="503"/>
      <c r="D24" s="503"/>
      <c r="E24" s="503"/>
      <c r="F24" s="503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02" t="s">
        <v>61</v>
      </c>
      <c r="C25" s="503"/>
      <c r="D25" s="503"/>
      <c r="E25" s="503"/>
      <c r="F25" s="503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02" t="s">
        <v>81</v>
      </c>
      <c r="C26" s="503"/>
      <c r="D26" s="503"/>
      <c r="E26" s="503"/>
      <c r="F26" s="503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02" t="s">
        <v>99</v>
      </c>
      <c r="C27" s="503"/>
      <c r="D27" s="503"/>
      <c r="E27" s="503"/>
      <c r="F27" s="503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06" t="s">
        <v>105</v>
      </c>
      <c r="C28" s="507"/>
      <c r="D28" s="507"/>
      <c r="E28" s="507"/>
      <c r="F28" s="507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08" t="s">
        <v>801</v>
      </c>
      <c r="C29" s="509"/>
      <c r="D29" s="509"/>
      <c r="E29" s="509"/>
      <c r="F29" s="509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10" t="s">
        <v>120</v>
      </c>
      <c r="C30" s="511"/>
      <c r="D30" s="511"/>
      <c r="E30" s="511"/>
      <c r="F30" s="511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00" t="s">
        <v>122</v>
      </c>
      <c r="C31" s="501"/>
      <c r="D31" s="501"/>
      <c r="E31" s="501"/>
      <c r="F31" s="501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00" t="s">
        <v>133</v>
      </c>
      <c r="C32" s="501"/>
      <c r="D32" s="501"/>
      <c r="E32" s="501"/>
      <c r="F32" s="501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00" t="s">
        <v>148</v>
      </c>
      <c r="C33" s="501"/>
      <c r="D33" s="501"/>
      <c r="E33" s="501"/>
      <c r="F33" s="501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00" t="s">
        <v>162</v>
      </c>
      <c r="C34" s="501"/>
      <c r="D34" s="501"/>
      <c r="E34" s="501"/>
      <c r="F34" s="501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595" t="s">
        <v>182</v>
      </c>
      <c r="C35" s="596"/>
      <c r="D35" s="596"/>
      <c r="E35" s="596"/>
      <c r="F35" s="596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00" t="s">
        <v>190</v>
      </c>
      <c r="C36" s="501"/>
      <c r="D36" s="501"/>
      <c r="E36" s="501"/>
      <c r="F36" s="501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00" t="s">
        <v>196</v>
      </c>
      <c r="C37" s="501"/>
      <c r="D37" s="501"/>
      <c r="E37" s="501"/>
      <c r="F37" s="501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00" t="s">
        <v>204</v>
      </c>
      <c r="C38" s="501"/>
      <c r="D38" s="501"/>
      <c r="E38" s="501"/>
      <c r="F38" s="501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00" t="s">
        <v>212</v>
      </c>
      <c r="C39" s="501"/>
      <c r="D39" s="501"/>
      <c r="E39" s="501"/>
      <c r="F39" s="501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16" t="s">
        <v>230</v>
      </c>
      <c r="C40" s="517"/>
      <c r="D40" s="517"/>
      <c r="E40" s="517"/>
      <c r="F40" s="517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00" t="s">
        <v>232</v>
      </c>
      <c r="C41" s="501"/>
      <c r="D41" s="501"/>
      <c r="E41" s="501"/>
      <c r="F41" s="501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00" t="s">
        <v>248</v>
      </c>
      <c r="C42" s="501"/>
      <c r="D42" s="501"/>
      <c r="E42" s="501"/>
      <c r="F42" s="501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00" t="s">
        <v>259</v>
      </c>
      <c r="C43" s="501"/>
      <c r="D43" s="501"/>
      <c r="E43" s="501"/>
      <c r="F43" s="501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00" t="s">
        <v>274</v>
      </c>
      <c r="C44" s="501"/>
      <c r="D44" s="501"/>
      <c r="E44" s="501"/>
      <c r="F44" s="501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00" t="s">
        <v>278</v>
      </c>
      <c r="C45" s="501"/>
      <c r="D45" s="501"/>
      <c r="E45" s="501"/>
      <c r="F45" s="501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14" t="s">
        <v>286</v>
      </c>
      <c r="C46" s="515"/>
      <c r="D46" s="515"/>
      <c r="E46" s="515"/>
      <c r="F46" s="515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14" t="s">
        <v>320</v>
      </c>
      <c r="C47" s="515"/>
      <c r="D47" s="515"/>
      <c r="E47" s="515"/>
      <c r="F47" s="515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593" t="s">
        <v>113</v>
      </c>
      <c r="C48" s="594"/>
      <c r="D48" s="594"/>
      <c r="E48" s="594"/>
      <c r="F48" s="594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585" t="s">
        <v>366</v>
      </c>
      <c r="C49" s="586"/>
      <c r="D49" s="586"/>
      <c r="E49" s="586"/>
      <c r="F49" s="586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20" t="s">
        <v>359</v>
      </c>
      <c r="C50" s="521"/>
      <c r="D50" s="521"/>
      <c r="E50" s="521"/>
      <c r="F50" s="521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587" t="s">
        <v>794</v>
      </c>
      <c r="C51" s="588"/>
      <c r="D51" s="588"/>
      <c r="E51" s="588"/>
      <c r="F51" s="588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589" t="s">
        <v>684</v>
      </c>
      <c r="C52" s="590"/>
      <c r="D52" s="590"/>
      <c r="E52" s="590"/>
      <c r="F52" s="590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22" t="s">
        <v>545</v>
      </c>
      <c r="C53" s="523"/>
      <c r="D53" s="523"/>
      <c r="E53" s="523"/>
      <c r="F53" s="523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24" t="s">
        <v>792</v>
      </c>
      <c r="C54" s="525"/>
      <c r="D54" s="525"/>
      <c r="E54" s="525"/>
      <c r="F54" s="525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546" t="s">
        <v>352</v>
      </c>
      <c r="C55" s="547"/>
      <c r="D55" s="547"/>
      <c r="E55" s="547"/>
      <c r="F55" s="547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542" t="s">
        <v>355</v>
      </c>
      <c r="C56" s="543"/>
      <c r="D56" s="543"/>
      <c r="E56" s="543"/>
      <c r="F56" s="543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518" t="s">
        <v>357</v>
      </c>
      <c r="C57" s="519"/>
      <c r="D57" s="519"/>
      <c r="E57" s="519"/>
      <c r="F57" s="519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01" t="s">
        <v>336</v>
      </c>
      <c r="C58" s="602"/>
      <c r="D58" s="602"/>
      <c r="E58" s="602"/>
      <c r="F58" s="602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544" t="s">
        <v>543</v>
      </c>
      <c r="C59" s="545"/>
      <c r="D59" s="545"/>
      <c r="E59" s="545"/>
      <c r="F59" s="545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08" t="s">
        <v>544</v>
      </c>
      <c r="C60" s="509"/>
      <c r="D60" s="509"/>
      <c r="E60" s="509"/>
      <c r="F60" s="509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542" t="s">
        <v>114</v>
      </c>
      <c r="C61" s="543"/>
      <c r="D61" s="543"/>
      <c r="E61" s="543"/>
      <c r="F61" s="543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518" t="s">
        <v>116</v>
      </c>
      <c r="C62" s="519"/>
      <c r="D62" s="519"/>
      <c r="E62" s="519"/>
      <c r="F62" s="519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518" t="s">
        <v>93</v>
      </c>
      <c r="C63" s="519"/>
      <c r="D63" s="519"/>
      <c r="E63" s="519"/>
      <c r="F63" s="519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574" t="s">
        <v>551</v>
      </c>
      <c r="C100" s="575"/>
      <c r="D100" s="575"/>
      <c r="E100" s="575"/>
      <c r="F100" s="575"/>
      <c r="G100" s="582">
        <v>2019</v>
      </c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4"/>
      <c r="S100" s="96" t="str">
        <f>+S7</f>
        <v>BDP</v>
      </c>
      <c r="T100" s="97">
        <f>+T7</f>
        <v>4951000000</v>
      </c>
    </row>
    <row r="101" spans="1:21" ht="15.75" customHeight="1">
      <c r="B101" s="576"/>
      <c r="C101" s="577"/>
      <c r="D101" s="577"/>
      <c r="E101" s="577"/>
      <c r="F101" s="578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582" t="s">
        <v>806</v>
      </c>
      <c r="T101" s="584">
        <f>+T8</f>
        <v>0</v>
      </c>
    </row>
    <row r="102" spans="1:21" ht="13.5" thickBot="1">
      <c r="B102" s="579"/>
      <c r="C102" s="580"/>
      <c r="D102" s="580"/>
      <c r="E102" s="580"/>
      <c r="F102" s="581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597" t="s">
        <v>680</v>
      </c>
      <c r="C103" s="598"/>
      <c r="D103" s="598"/>
      <c r="E103" s="598"/>
      <c r="F103" s="598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572" t="s">
        <v>21</v>
      </c>
      <c r="C104" s="573"/>
      <c r="D104" s="573"/>
      <c r="E104" s="573"/>
      <c r="F104" s="573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564" t="s">
        <v>23</v>
      </c>
      <c r="C105" s="565"/>
      <c r="D105" s="565"/>
      <c r="E105" s="565"/>
      <c r="F105" s="565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564" t="s">
        <v>25</v>
      </c>
      <c r="C106" s="565"/>
      <c r="D106" s="565"/>
      <c r="E106" s="565"/>
      <c r="F106" s="565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564" t="s">
        <v>27</v>
      </c>
      <c r="C107" s="565"/>
      <c r="D107" s="565"/>
      <c r="E107" s="565"/>
      <c r="F107" s="565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564" t="s">
        <v>29</v>
      </c>
      <c r="C108" s="565"/>
      <c r="D108" s="565"/>
      <c r="E108" s="565"/>
      <c r="F108" s="565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564" t="s">
        <v>31</v>
      </c>
      <c r="C109" s="565"/>
      <c r="D109" s="565"/>
      <c r="E109" s="565"/>
      <c r="F109" s="565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564" t="s">
        <v>33</v>
      </c>
      <c r="C110" s="565"/>
      <c r="D110" s="565"/>
      <c r="E110" s="565"/>
      <c r="F110" s="565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564" t="s">
        <v>721</v>
      </c>
      <c r="C111" s="565"/>
      <c r="D111" s="565"/>
      <c r="E111" s="565"/>
      <c r="F111" s="565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599" t="s">
        <v>37</v>
      </c>
      <c r="C112" s="600"/>
      <c r="D112" s="600"/>
      <c r="E112" s="600"/>
      <c r="F112" s="600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564" t="s">
        <v>39</v>
      </c>
      <c r="C113" s="565"/>
      <c r="D113" s="565"/>
      <c r="E113" s="565"/>
      <c r="F113" s="565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564" t="s">
        <v>41</v>
      </c>
      <c r="C114" s="565"/>
      <c r="D114" s="565"/>
      <c r="E114" s="565"/>
      <c r="F114" s="565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564" t="s">
        <v>43</v>
      </c>
      <c r="C115" s="565"/>
      <c r="D115" s="565"/>
      <c r="E115" s="565"/>
      <c r="F115" s="565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564" t="s">
        <v>45</v>
      </c>
      <c r="C116" s="565"/>
      <c r="D116" s="565"/>
      <c r="E116" s="565"/>
      <c r="F116" s="565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570" t="s">
        <v>47</v>
      </c>
      <c r="C117" s="571"/>
      <c r="D117" s="571"/>
      <c r="E117" s="571"/>
      <c r="F117" s="571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570" t="s">
        <v>61</v>
      </c>
      <c r="C118" s="571"/>
      <c r="D118" s="571"/>
      <c r="E118" s="571"/>
      <c r="F118" s="571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570" t="s">
        <v>81</v>
      </c>
      <c r="C119" s="571"/>
      <c r="D119" s="571"/>
      <c r="E119" s="571"/>
      <c r="F119" s="571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570" t="s">
        <v>99</v>
      </c>
      <c r="C120" s="571"/>
      <c r="D120" s="571"/>
      <c r="E120" s="571"/>
      <c r="F120" s="571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566" t="s">
        <v>105</v>
      </c>
      <c r="C121" s="567"/>
      <c r="D121" s="567"/>
      <c r="E121" s="567"/>
      <c r="F121" s="567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548" t="s">
        <v>808</v>
      </c>
      <c r="C122" s="549"/>
      <c r="D122" s="549"/>
      <c r="E122" s="549"/>
      <c r="F122" s="549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03" t="s">
        <v>773</v>
      </c>
      <c r="C123" s="604"/>
      <c r="D123" s="604"/>
      <c r="E123" s="604"/>
      <c r="F123" s="604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568" t="e">
        <v>#REF!</v>
      </c>
      <c r="C124" s="569"/>
      <c r="D124" s="569"/>
      <c r="E124" s="569"/>
      <c r="F124" s="569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564" t="s">
        <v>122</v>
      </c>
      <c r="C125" s="565"/>
      <c r="D125" s="565"/>
      <c r="E125" s="565"/>
      <c r="F125" s="565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564" t="s">
        <v>133</v>
      </c>
      <c r="C126" s="565"/>
      <c r="D126" s="565"/>
      <c r="E126" s="565"/>
      <c r="F126" s="565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564" t="s">
        <v>148</v>
      </c>
      <c r="C127" s="565"/>
      <c r="D127" s="565"/>
      <c r="E127" s="565"/>
      <c r="F127" s="565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564" t="s">
        <v>162</v>
      </c>
      <c r="C128" s="565"/>
      <c r="D128" s="565"/>
      <c r="E128" s="565"/>
      <c r="F128" s="565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564" t="s">
        <v>182</v>
      </c>
      <c r="C129" s="565"/>
      <c r="D129" s="565"/>
      <c r="E129" s="565"/>
      <c r="F129" s="565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564" t="s">
        <v>190</v>
      </c>
      <c r="C130" s="565"/>
      <c r="D130" s="565"/>
      <c r="E130" s="565"/>
      <c r="F130" s="565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564" t="s">
        <v>196</v>
      </c>
      <c r="C131" s="565"/>
      <c r="D131" s="565"/>
      <c r="E131" s="565"/>
      <c r="F131" s="565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564" t="s">
        <v>204</v>
      </c>
      <c r="C132" s="565"/>
      <c r="D132" s="565"/>
      <c r="E132" s="565"/>
      <c r="F132" s="565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564" t="s">
        <v>212</v>
      </c>
      <c r="C133" s="565"/>
      <c r="D133" s="565"/>
      <c r="E133" s="565"/>
      <c r="F133" s="565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564" t="e">
        <v>#REF!</v>
      </c>
      <c r="C134" s="565"/>
      <c r="D134" s="565"/>
      <c r="E134" s="565"/>
      <c r="F134" s="565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560" t="s">
        <v>230</v>
      </c>
      <c r="C135" s="561"/>
      <c r="D135" s="561"/>
      <c r="E135" s="561"/>
      <c r="F135" s="561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564" t="s">
        <v>232</v>
      </c>
      <c r="C136" s="565"/>
      <c r="D136" s="565"/>
      <c r="E136" s="565"/>
      <c r="F136" s="565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564" t="s">
        <v>248</v>
      </c>
      <c r="C137" s="565"/>
      <c r="D137" s="565"/>
      <c r="E137" s="565"/>
      <c r="F137" s="565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564" t="s">
        <v>259</v>
      </c>
      <c r="C138" s="565"/>
      <c r="D138" s="565"/>
      <c r="E138" s="565"/>
      <c r="F138" s="565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564" t="s">
        <v>274</v>
      </c>
      <c r="C139" s="565"/>
      <c r="D139" s="565"/>
      <c r="E139" s="565"/>
      <c r="F139" s="565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564" t="s">
        <v>278</v>
      </c>
      <c r="C140" s="565"/>
      <c r="D140" s="565"/>
      <c r="E140" s="565"/>
      <c r="F140" s="565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562" t="s">
        <v>286</v>
      </c>
      <c r="C141" s="563"/>
      <c r="D141" s="563"/>
      <c r="E141" s="563"/>
      <c r="F141" s="563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562" t="s">
        <v>809</v>
      </c>
      <c r="C142" s="563"/>
      <c r="D142" s="563"/>
      <c r="E142" s="563"/>
      <c r="F142" s="563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554" t="s">
        <v>113</v>
      </c>
      <c r="C143" s="555"/>
      <c r="D143" s="555"/>
      <c r="E143" s="555"/>
      <c r="F143" s="555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554" t="s">
        <v>366</v>
      </c>
      <c r="C144" s="555"/>
      <c r="D144" s="555"/>
      <c r="E144" s="555"/>
      <c r="F144" s="555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554" t="s">
        <v>359</v>
      </c>
      <c r="C145" s="555"/>
      <c r="D145" s="555"/>
      <c r="E145" s="555"/>
      <c r="F145" s="555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554" t="s">
        <v>365</v>
      </c>
      <c r="C146" s="555"/>
      <c r="D146" s="555"/>
      <c r="E146" s="555"/>
      <c r="F146" s="555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05" t="s">
        <v>685</v>
      </c>
      <c r="C147" s="606"/>
      <c r="D147" s="606"/>
      <c r="E147" s="606"/>
      <c r="F147" s="606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556" t="s">
        <v>545</v>
      </c>
      <c r="C148" s="557"/>
      <c r="D148" s="557"/>
      <c r="E148" s="557"/>
      <c r="F148" s="557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558" t="s">
        <v>810</v>
      </c>
      <c r="C149" s="559"/>
      <c r="D149" s="559"/>
      <c r="E149" s="559"/>
      <c r="F149" s="559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560" t="s">
        <v>352</v>
      </c>
      <c r="C150" s="561"/>
      <c r="D150" s="561"/>
      <c r="E150" s="561"/>
      <c r="F150" s="561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552" t="s">
        <v>355</v>
      </c>
      <c r="C151" s="553"/>
      <c r="D151" s="553"/>
      <c r="E151" s="553"/>
      <c r="F151" s="553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554" t="s">
        <v>357</v>
      </c>
      <c r="C152" s="555"/>
      <c r="D152" s="555"/>
      <c r="E152" s="555"/>
      <c r="F152" s="555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01" t="s">
        <v>336</v>
      </c>
      <c r="C153" s="602"/>
      <c r="D153" s="602"/>
      <c r="E153" s="602"/>
      <c r="F153" s="602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550" t="s">
        <v>543</v>
      </c>
      <c r="C154" s="551"/>
      <c r="D154" s="551"/>
      <c r="E154" s="551"/>
      <c r="F154" s="551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548" t="s">
        <v>544</v>
      </c>
      <c r="C155" s="549"/>
      <c r="D155" s="549"/>
      <c r="E155" s="549"/>
      <c r="F155" s="549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552" t="s">
        <v>114</v>
      </c>
      <c r="C156" s="553"/>
      <c r="D156" s="553"/>
      <c r="E156" s="553"/>
      <c r="F156" s="553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554" t="s">
        <v>116</v>
      </c>
      <c r="C157" s="555"/>
      <c r="D157" s="555"/>
      <c r="E157" s="555"/>
      <c r="F157" s="555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554" t="s">
        <v>93</v>
      </c>
      <c r="C158" s="555"/>
      <c r="D158" s="555"/>
      <c r="E158" s="555"/>
      <c r="F158" s="555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28" t="s">
        <v>553</v>
      </c>
      <c r="C7" s="529"/>
      <c r="D7" s="529"/>
      <c r="E7" s="529"/>
      <c r="F7" s="529"/>
      <c r="G7" s="537">
        <v>2018</v>
      </c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41"/>
      <c r="S7" s="220" t="s">
        <v>419</v>
      </c>
      <c r="T7" s="221">
        <v>4663130000</v>
      </c>
    </row>
    <row r="8" spans="1:20" ht="16.5" customHeight="1">
      <c r="A8" s="129"/>
      <c r="B8" s="530"/>
      <c r="C8" s="531"/>
      <c r="D8" s="531"/>
      <c r="E8" s="531"/>
      <c r="F8" s="532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537" t="s">
        <v>806</v>
      </c>
      <c r="T8" s="541"/>
    </row>
    <row r="9" spans="1:20" ht="13.5" thickBot="1">
      <c r="A9" s="129"/>
      <c r="B9" s="533"/>
      <c r="C9" s="534"/>
      <c r="D9" s="534"/>
      <c r="E9" s="534"/>
      <c r="F9" s="535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496" t="s">
        <v>680</v>
      </c>
      <c r="C10" s="497"/>
      <c r="D10" s="497"/>
      <c r="E10" s="497"/>
      <c r="F10" s="497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498" t="s">
        <v>21</v>
      </c>
      <c r="C11" s="499"/>
      <c r="D11" s="499"/>
      <c r="E11" s="499"/>
      <c r="F11" s="499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00" t="s">
        <v>23</v>
      </c>
      <c r="C12" s="501"/>
      <c r="D12" s="501"/>
      <c r="E12" s="501"/>
      <c r="F12" s="501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00" t="s">
        <v>25</v>
      </c>
      <c r="C13" s="501"/>
      <c r="D13" s="501"/>
      <c r="E13" s="501"/>
      <c r="F13" s="501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00" t="s">
        <v>27</v>
      </c>
      <c r="C14" s="501"/>
      <c r="D14" s="501"/>
      <c r="E14" s="501"/>
      <c r="F14" s="501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00" t="s">
        <v>29</v>
      </c>
      <c r="C15" s="501"/>
      <c r="D15" s="501"/>
      <c r="E15" s="501"/>
      <c r="F15" s="501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00" t="s">
        <v>31</v>
      </c>
      <c r="C16" s="501"/>
      <c r="D16" s="501"/>
      <c r="E16" s="501"/>
      <c r="F16" s="501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00" t="s">
        <v>33</v>
      </c>
      <c r="C17" s="501"/>
      <c r="D17" s="501"/>
      <c r="E17" s="501"/>
      <c r="F17" s="501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00" t="s">
        <v>721</v>
      </c>
      <c r="C18" s="501"/>
      <c r="D18" s="501"/>
      <c r="E18" s="501"/>
      <c r="F18" s="501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04" t="s">
        <v>37</v>
      </c>
      <c r="C19" s="505"/>
      <c r="D19" s="505"/>
      <c r="E19" s="505"/>
      <c r="F19" s="505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00" t="s">
        <v>39</v>
      </c>
      <c r="C20" s="501"/>
      <c r="D20" s="501"/>
      <c r="E20" s="501"/>
      <c r="F20" s="501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00" t="s">
        <v>41</v>
      </c>
      <c r="C21" s="501"/>
      <c r="D21" s="501"/>
      <c r="E21" s="501"/>
      <c r="F21" s="501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00" t="s">
        <v>43</v>
      </c>
      <c r="C22" s="501"/>
      <c r="D22" s="501"/>
      <c r="E22" s="501"/>
      <c r="F22" s="501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00" t="s">
        <v>45</v>
      </c>
      <c r="C23" s="501"/>
      <c r="D23" s="501"/>
      <c r="E23" s="501"/>
      <c r="F23" s="501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02" t="s">
        <v>47</v>
      </c>
      <c r="C24" s="503"/>
      <c r="D24" s="503"/>
      <c r="E24" s="503"/>
      <c r="F24" s="503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02" t="s">
        <v>61</v>
      </c>
      <c r="C25" s="503"/>
      <c r="D25" s="503"/>
      <c r="E25" s="503"/>
      <c r="F25" s="503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02" t="s">
        <v>81</v>
      </c>
      <c r="C26" s="503"/>
      <c r="D26" s="503"/>
      <c r="E26" s="503"/>
      <c r="F26" s="503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02" t="s">
        <v>99</v>
      </c>
      <c r="C27" s="503"/>
      <c r="D27" s="503"/>
      <c r="E27" s="503"/>
      <c r="F27" s="503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06" t="s">
        <v>105</v>
      </c>
      <c r="C28" s="507"/>
      <c r="D28" s="507"/>
      <c r="E28" s="507"/>
      <c r="F28" s="507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08" t="s">
        <v>801</v>
      </c>
      <c r="C29" s="509"/>
      <c r="D29" s="509"/>
      <c r="E29" s="509"/>
      <c r="F29" s="509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10" t="s">
        <v>773</v>
      </c>
      <c r="C30" s="511"/>
      <c r="D30" s="511"/>
      <c r="E30" s="511"/>
      <c r="F30" s="511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12" t="s">
        <v>120</v>
      </c>
      <c r="C31" s="513"/>
      <c r="D31" s="513"/>
      <c r="E31" s="513"/>
      <c r="F31" s="513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00" t="s">
        <v>122</v>
      </c>
      <c r="C32" s="501"/>
      <c r="D32" s="501"/>
      <c r="E32" s="501"/>
      <c r="F32" s="501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00" t="s">
        <v>133</v>
      </c>
      <c r="C33" s="501"/>
      <c r="D33" s="501"/>
      <c r="E33" s="501"/>
      <c r="F33" s="501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00" t="s">
        <v>148</v>
      </c>
      <c r="C34" s="501"/>
      <c r="D34" s="501"/>
      <c r="E34" s="501"/>
      <c r="F34" s="501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00" t="s">
        <v>162</v>
      </c>
      <c r="C35" s="501"/>
      <c r="D35" s="501"/>
      <c r="E35" s="501"/>
      <c r="F35" s="501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00" t="s">
        <v>182</v>
      </c>
      <c r="C36" s="501"/>
      <c r="D36" s="501"/>
      <c r="E36" s="501"/>
      <c r="F36" s="501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00" t="s">
        <v>190</v>
      </c>
      <c r="C37" s="501"/>
      <c r="D37" s="501"/>
      <c r="E37" s="501"/>
      <c r="F37" s="501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00" t="s">
        <v>196</v>
      </c>
      <c r="C38" s="501"/>
      <c r="D38" s="501"/>
      <c r="E38" s="501"/>
      <c r="F38" s="501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00" t="s">
        <v>204</v>
      </c>
      <c r="C39" s="501"/>
      <c r="D39" s="501"/>
      <c r="E39" s="501"/>
      <c r="F39" s="501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00" t="s">
        <v>212</v>
      </c>
      <c r="C40" s="501"/>
      <c r="D40" s="501"/>
      <c r="E40" s="501"/>
      <c r="F40" s="501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00" t="s">
        <v>802</v>
      </c>
      <c r="C41" s="501"/>
      <c r="D41" s="501"/>
      <c r="E41" s="501"/>
      <c r="F41" s="501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16" t="s">
        <v>230</v>
      </c>
      <c r="C42" s="517"/>
      <c r="D42" s="517"/>
      <c r="E42" s="517"/>
      <c r="F42" s="517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00" t="s">
        <v>232</v>
      </c>
      <c r="C43" s="501"/>
      <c r="D43" s="501"/>
      <c r="E43" s="501"/>
      <c r="F43" s="501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00" t="s">
        <v>248</v>
      </c>
      <c r="C44" s="501"/>
      <c r="D44" s="501"/>
      <c r="E44" s="501"/>
      <c r="F44" s="501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00" t="s">
        <v>259</v>
      </c>
      <c r="C45" s="501"/>
      <c r="D45" s="501"/>
      <c r="E45" s="501"/>
      <c r="F45" s="501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00" t="s">
        <v>274</v>
      </c>
      <c r="C46" s="501"/>
      <c r="D46" s="501"/>
      <c r="E46" s="501"/>
      <c r="F46" s="501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07" t="s">
        <v>278</v>
      </c>
      <c r="C47" s="608"/>
      <c r="D47" s="608"/>
      <c r="E47" s="608"/>
      <c r="F47" s="608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14" t="s">
        <v>286</v>
      </c>
      <c r="C48" s="515"/>
      <c r="D48" s="515"/>
      <c r="E48" s="515"/>
      <c r="F48" s="515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14" t="s">
        <v>320</v>
      </c>
      <c r="C49" s="515"/>
      <c r="D49" s="515"/>
      <c r="E49" s="515"/>
      <c r="F49" s="515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593" t="s">
        <v>113</v>
      </c>
      <c r="C50" s="594"/>
      <c r="D50" s="594"/>
      <c r="E50" s="594"/>
      <c r="F50" s="594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518" t="s">
        <v>366</v>
      </c>
      <c r="C51" s="519"/>
      <c r="D51" s="519"/>
      <c r="E51" s="519"/>
      <c r="F51" s="519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20" t="s">
        <v>359</v>
      </c>
      <c r="C52" s="521"/>
      <c r="D52" s="521"/>
      <c r="E52" s="521"/>
      <c r="F52" s="521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587" t="s">
        <v>794</v>
      </c>
      <c r="C53" s="588"/>
      <c r="D53" s="588"/>
      <c r="E53" s="588"/>
      <c r="F53" s="588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589" t="s">
        <v>684</v>
      </c>
      <c r="C54" s="590"/>
      <c r="D54" s="590"/>
      <c r="E54" s="590"/>
      <c r="F54" s="590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22" t="s">
        <v>545</v>
      </c>
      <c r="C55" s="523"/>
      <c r="D55" s="523"/>
      <c r="E55" s="523"/>
      <c r="F55" s="523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24" t="s">
        <v>793</v>
      </c>
      <c r="C57" s="525"/>
      <c r="D57" s="525"/>
      <c r="E57" s="525"/>
      <c r="F57" s="525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546" t="s">
        <v>352</v>
      </c>
      <c r="C58" s="547"/>
      <c r="D58" s="547"/>
      <c r="E58" s="547"/>
      <c r="F58" s="547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542" t="s">
        <v>355</v>
      </c>
      <c r="C59" s="543"/>
      <c r="D59" s="543"/>
      <c r="E59" s="543"/>
      <c r="F59" s="543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518" t="s">
        <v>357</v>
      </c>
      <c r="C60" s="519"/>
      <c r="D60" s="519"/>
      <c r="E60" s="519"/>
      <c r="F60" s="519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09" t="s">
        <v>336</v>
      </c>
      <c r="C61" s="610"/>
      <c r="D61" s="610"/>
      <c r="E61" s="610"/>
      <c r="F61" s="610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544" t="s">
        <v>543</v>
      </c>
      <c r="C62" s="545"/>
      <c r="D62" s="545"/>
      <c r="E62" s="545"/>
      <c r="F62" s="545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08" t="s">
        <v>544</v>
      </c>
      <c r="C63" s="509"/>
      <c r="D63" s="509"/>
      <c r="E63" s="509"/>
      <c r="F63" s="509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542" t="s">
        <v>114</v>
      </c>
      <c r="C64" s="543"/>
      <c r="D64" s="543"/>
      <c r="E64" s="543"/>
      <c r="F64" s="543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518" t="s">
        <v>116</v>
      </c>
      <c r="C65" s="519"/>
      <c r="D65" s="519"/>
      <c r="E65" s="519"/>
      <c r="F65" s="519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518" t="s">
        <v>93</v>
      </c>
      <c r="C66" s="519"/>
      <c r="D66" s="519"/>
      <c r="E66" s="519"/>
      <c r="F66" s="519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574" t="s">
        <v>551</v>
      </c>
      <c r="C103" s="575"/>
      <c r="D103" s="575"/>
      <c r="E103" s="575"/>
      <c r="F103" s="575"/>
      <c r="G103" s="582">
        <v>2018</v>
      </c>
      <c r="H103" s="583"/>
      <c r="I103" s="583"/>
      <c r="J103" s="583"/>
      <c r="K103" s="583"/>
      <c r="L103" s="583"/>
      <c r="M103" s="583"/>
      <c r="N103" s="583"/>
      <c r="O103" s="583"/>
      <c r="P103" s="583"/>
      <c r="Q103" s="583"/>
      <c r="R103" s="584"/>
      <c r="S103" s="96" t="str">
        <f>+S7</f>
        <v>BDP</v>
      </c>
      <c r="T103" s="97">
        <f>+T7</f>
        <v>4663130000</v>
      </c>
    </row>
    <row r="104" spans="1:21" ht="15.75" customHeight="1">
      <c r="B104" s="576"/>
      <c r="C104" s="577"/>
      <c r="D104" s="577"/>
      <c r="E104" s="577"/>
      <c r="F104" s="578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582" t="s">
        <v>806</v>
      </c>
      <c r="T104" s="584">
        <f>+T8</f>
        <v>0</v>
      </c>
    </row>
    <row r="105" spans="1:21" ht="13.5" thickBot="1">
      <c r="B105" s="579"/>
      <c r="C105" s="580"/>
      <c r="D105" s="580"/>
      <c r="E105" s="580"/>
      <c r="F105" s="581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597" t="s">
        <v>680</v>
      </c>
      <c r="C106" s="598"/>
      <c r="D106" s="598"/>
      <c r="E106" s="598"/>
      <c r="F106" s="598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572" t="s">
        <v>21</v>
      </c>
      <c r="C107" s="573"/>
      <c r="D107" s="573"/>
      <c r="E107" s="573"/>
      <c r="F107" s="573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564" t="s">
        <v>23</v>
      </c>
      <c r="C108" s="565"/>
      <c r="D108" s="565"/>
      <c r="E108" s="565"/>
      <c r="F108" s="565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564" t="s">
        <v>25</v>
      </c>
      <c r="C109" s="565"/>
      <c r="D109" s="565"/>
      <c r="E109" s="565"/>
      <c r="F109" s="565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564" t="s">
        <v>27</v>
      </c>
      <c r="C110" s="565"/>
      <c r="D110" s="565"/>
      <c r="E110" s="565"/>
      <c r="F110" s="565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564" t="s">
        <v>29</v>
      </c>
      <c r="C111" s="565"/>
      <c r="D111" s="565"/>
      <c r="E111" s="565"/>
      <c r="F111" s="565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564" t="s">
        <v>31</v>
      </c>
      <c r="C112" s="565"/>
      <c r="D112" s="565"/>
      <c r="E112" s="565"/>
      <c r="F112" s="565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564" t="s">
        <v>33</v>
      </c>
      <c r="C113" s="565"/>
      <c r="D113" s="565"/>
      <c r="E113" s="565"/>
      <c r="F113" s="565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564" t="s">
        <v>721</v>
      </c>
      <c r="C114" s="565"/>
      <c r="D114" s="565"/>
      <c r="E114" s="565"/>
      <c r="F114" s="565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599" t="s">
        <v>37</v>
      </c>
      <c r="C115" s="600"/>
      <c r="D115" s="600"/>
      <c r="E115" s="600"/>
      <c r="F115" s="600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564" t="s">
        <v>39</v>
      </c>
      <c r="C116" s="565"/>
      <c r="D116" s="565"/>
      <c r="E116" s="565"/>
      <c r="F116" s="565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564" t="s">
        <v>41</v>
      </c>
      <c r="C117" s="565"/>
      <c r="D117" s="565"/>
      <c r="E117" s="565"/>
      <c r="F117" s="565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564" t="s">
        <v>43</v>
      </c>
      <c r="C118" s="565"/>
      <c r="D118" s="565"/>
      <c r="E118" s="565"/>
      <c r="F118" s="565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564" t="s">
        <v>45</v>
      </c>
      <c r="C119" s="565"/>
      <c r="D119" s="565"/>
      <c r="E119" s="565"/>
      <c r="F119" s="565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570" t="s">
        <v>47</v>
      </c>
      <c r="C120" s="571"/>
      <c r="D120" s="571"/>
      <c r="E120" s="571"/>
      <c r="F120" s="571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570" t="s">
        <v>61</v>
      </c>
      <c r="C121" s="571"/>
      <c r="D121" s="571"/>
      <c r="E121" s="571"/>
      <c r="F121" s="571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570" t="s">
        <v>81</v>
      </c>
      <c r="C122" s="571"/>
      <c r="D122" s="571"/>
      <c r="E122" s="571"/>
      <c r="F122" s="571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570" t="s">
        <v>99</v>
      </c>
      <c r="C123" s="571"/>
      <c r="D123" s="571"/>
      <c r="E123" s="571"/>
      <c r="F123" s="571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566" t="s">
        <v>105</v>
      </c>
      <c r="C124" s="567"/>
      <c r="D124" s="567"/>
      <c r="E124" s="567"/>
      <c r="F124" s="567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548" t="s">
        <v>808</v>
      </c>
      <c r="C125" s="549"/>
      <c r="D125" s="549"/>
      <c r="E125" s="549"/>
      <c r="F125" s="549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03" t="s">
        <v>773</v>
      </c>
      <c r="C126" s="604"/>
      <c r="D126" s="604"/>
      <c r="E126" s="604"/>
      <c r="F126" s="604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568" t="s">
        <v>120</v>
      </c>
      <c r="C127" s="569"/>
      <c r="D127" s="569"/>
      <c r="E127" s="569"/>
      <c r="F127" s="569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564" t="s">
        <v>122</v>
      </c>
      <c r="C128" s="565"/>
      <c r="D128" s="565"/>
      <c r="E128" s="565"/>
      <c r="F128" s="565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564" t="s">
        <v>133</v>
      </c>
      <c r="C129" s="565"/>
      <c r="D129" s="565"/>
      <c r="E129" s="565"/>
      <c r="F129" s="565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564" t="s">
        <v>148</v>
      </c>
      <c r="C130" s="565"/>
      <c r="D130" s="565"/>
      <c r="E130" s="565"/>
      <c r="F130" s="565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564" t="s">
        <v>162</v>
      </c>
      <c r="C131" s="565"/>
      <c r="D131" s="565"/>
      <c r="E131" s="565"/>
      <c r="F131" s="565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564" t="s">
        <v>182</v>
      </c>
      <c r="C132" s="565"/>
      <c r="D132" s="565"/>
      <c r="E132" s="565"/>
      <c r="F132" s="565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564" t="s">
        <v>190</v>
      </c>
      <c r="C133" s="565"/>
      <c r="D133" s="565"/>
      <c r="E133" s="565"/>
      <c r="F133" s="565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564" t="s">
        <v>196</v>
      </c>
      <c r="C134" s="565"/>
      <c r="D134" s="565"/>
      <c r="E134" s="565"/>
      <c r="F134" s="565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564" t="s">
        <v>204</v>
      </c>
      <c r="C135" s="565"/>
      <c r="D135" s="565"/>
      <c r="E135" s="565"/>
      <c r="F135" s="565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564" t="s">
        <v>212</v>
      </c>
      <c r="C136" s="565"/>
      <c r="D136" s="565"/>
      <c r="E136" s="565"/>
      <c r="F136" s="565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564" t="s">
        <v>802</v>
      </c>
      <c r="C137" s="565"/>
      <c r="D137" s="565"/>
      <c r="E137" s="565"/>
      <c r="F137" s="565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560" t="s">
        <v>230</v>
      </c>
      <c r="C138" s="561"/>
      <c r="D138" s="561"/>
      <c r="E138" s="561"/>
      <c r="F138" s="561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564" t="s">
        <v>232</v>
      </c>
      <c r="C139" s="565"/>
      <c r="D139" s="565"/>
      <c r="E139" s="565"/>
      <c r="F139" s="565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564" t="s">
        <v>248</v>
      </c>
      <c r="C140" s="565"/>
      <c r="D140" s="565"/>
      <c r="E140" s="565"/>
      <c r="F140" s="565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564" t="s">
        <v>259</v>
      </c>
      <c r="C141" s="565"/>
      <c r="D141" s="565"/>
      <c r="E141" s="565"/>
      <c r="F141" s="565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564" t="s">
        <v>274</v>
      </c>
      <c r="C142" s="565"/>
      <c r="D142" s="565"/>
      <c r="E142" s="565"/>
      <c r="F142" s="565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564" t="s">
        <v>278</v>
      </c>
      <c r="C143" s="565"/>
      <c r="D143" s="565"/>
      <c r="E143" s="565"/>
      <c r="F143" s="565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562" t="s">
        <v>286</v>
      </c>
      <c r="C144" s="563"/>
      <c r="D144" s="563"/>
      <c r="E144" s="563"/>
      <c r="F144" s="563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562" t="s">
        <v>809</v>
      </c>
      <c r="C145" s="563"/>
      <c r="D145" s="563"/>
      <c r="E145" s="563"/>
      <c r="F145" s="563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554" t="s">
        <v>113</v>
      </c>
      <c r="C146" s="555"/>
      <c r="D146" s="555"/>
      <c r="E146" s="555"/>
      <c r="F146" s="555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554" t="s">
        <v>366</v>
      </c>
      <c r="C147" s="555"/>
      <c r="D147" s="555"/>
      <c r="E147" s="555"/>
      <c r="F147" s="555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554" t="s">
        <v>359</v>
      </c>
      <c r="C148" s="555"/>
      <c r="D148" s="555"/>
      <c r="E148" s="555"/>
      <c r="F148" s="555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556" t="s">
        <v>545</v>
      </c>
      <c r="C150" s="557"/>
      <c r="D150" s="557"/>
      <c r="E150" s="557"/>
      <c r="F150" s="557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558" t="s">
        <v>810</v>
      </c>
      <c r="C151" s="559"/>
      <c r="D151" s="559"/>
      <c r="E151" s="559"/>
      <c r="F151" s="559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560" t="s">
        <v>352</v>
      </c>
      <c r="C152" s="561"/>
      <c r="D152" s="561"/>
      <c r="E152" s="561"/>
      <c r="F152" s="561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552" t="s">
        <v>355</v>
      </c>
      <c r="C153" s="553"/>
      <c r="D153" s="553"/>
      <c r="E153" s="553"/>
      <c r="F153" s="553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554" t="s">
        <v>357</v>
      </c>
      <c r="C154" s="555"/>
      <c r="D154" s="555"/>
      <c r="E154" s="555"/>
      <c r="F154" s="555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554" t="s">
        <v>365</v>
      </c>
      <c r="C155" s="555"/>
      <c r="D155" s="555"/>
      <c r="E155" s="555"/>
      <c r="F155" s="555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550" t="s">
        <v>543</v>
      </c>
      <c r="C157" s="551"/>
      <c r="D157" s="551"/>
      <c r="E157" s="551"/>
      <c r="F157" s="551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548" t="s">
        <v>544</v>
      </c>
      <c r="C158" s="549"/>
      <c r="D158" s="549"/>
      <c r="E158" s="549"/>
      <c r="F158" s="549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552" t="s">
        <v>114</v>
      </c>
      <c r="C159" s="553"/>
      <c r="D159" s="553"/>
      <c r="E159" s="553"/>
      <c r="F159" s="553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554" t="s">
        <v>116</v>
      </c>
      <c r="C160" s="555"/>
      <c r="D160" s="555"/>
      <c r="E160" s="555"/>
      <c r="F160" s="555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554" t="s">
        <v>93</v>
      </c>
      <c r="C161" s="555"/>
      <c r="D161" s="555"/>
      <c r="E161" s="555"/>
      <c r="F161" s="555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Analitika - 2014</vt:lpstr>
      <vt:lpstr>Pregled</vt:lpstr>
      <vt:lpstr>Analitika 2023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Gordana Stanisic</cp:lastModifiedBy>
  <cp:lastPrinted>2024-02-02T11:11:28Z</cp:lastPrinted>
  <dcterms:created xsi:type="dcterms:W3CDTF">2014-09-15T13:41:17Z</dcterms:created>
  <dcterms:modified xsi:type="dcterms:W3CDTF">2024-02-05T14:19:33Z</dcterms:modified>
</cp:coreProperties>
</file>