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615" yWindow="1515" windowWidth="11670" windowHeight="9060" tabRatio="883"/>
  </bookViews>
  <sheets>
    <sheet name="Analitics tab 2014" sheetId="16" r:id="rId1"/>
    <sheet name="2014 - plan" sheetId="29" r:id="rId2"/>
    <sheet name="2014 - execution " sheetId="31" r:id="rId3"/>
    <sheet name="2013 - execution" sheetId="15" r:id="rId4"/>
    <sheet name="2013 - plan" sheetId="14" state="hidden" r:id="rId5"/>
    <sheet name="2012 - execution " sheetId="26" r:id="rId6"/>
    <sheet name="2012 - plan" sheetId="22" state="hidden" r:id="rId7"/>
    <sheet name="Public debt tab" sheetId="18" r:id="rId8"/>
    <sheet name="MasterSheet" sheetId="13" r:id="rId9"/>
  </sheets>
  <externalReferences>
    <externalReference r:id="rId10"/>
    <externalReference r:id="rId11"/>
  </externalReferences>
  <definedNames>
    <definedName name="_END94" localSheetId="6">#REF!</definedName>
    <definedName name="_iva1" localSheetId="5" hidden="1">{#N/A,#N/A,FALSE,"CB";#N/A,#N/A,FALSE,"CMB";#N/A,#N/A,FALSE,"NBFI"}</definedName>
    <definedName name="_iva1" hidden="1">{#N/A,#N/A,FALSE,"CB";#N/A,#N/A,FALSE,"CMB";#N/A,#N/A,FALSE,"NBFI"}</definedName>
    <definedName name="_iva2" localSheetId="5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6" hidden="1">#REF!</definedName>
    <definedName name="_Regression_Out" localSheetId="2" hidden="1">#REF!</definedName>
    <definedName name="_Regression_Out" localSheetId="1" hidden="1">#REF!</definedName>
    <definedName name="_Regression_Out" hidden="1">#REF!</definedName>
    <definedName name="_Regression_X" localSheetId="6" hidden="1">#REF!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Regression_Y" localSheetId="6" hidden="1">#REF!</definedName>
    <definedName name="_Regression_Y" localSheetId="2" hidden="1">#REF!</definedName>
    <definedName name="_Regression_Y" localSheetId="1" hidden="1">#REF!</definedName>
    <definedName name="_Regression_Y" hidden="1">#REF!</definedName>
    <definedName name="_SUM2" localSheetId="6">#REF!</definedName>
    <definedName name="_tab1" localSheetId="6">#REF!</definedName>
    <definedName name="_tab10" localSheetId="6">#REF!</definedName>
    <definedName name="_tab11" localSheetId="6">#REF!</definedName>
    <definedName name="_tab12" localSheetId="6">#REF!</definedName>
    <definedName name="_tab13" localSheetId="6">#REF!</definedName>
    <definedName name="_tab14" localSheetId="6">#REF!</definedName>
    <definedName name="_tab15" localSheetId="6">#REF!</definedName>
    <definedName name="_tab16" localSheetId="6">#REF!</definedName>
    <definedName name="_tab17" localSheetId="6">#REF!</definedName>
    <definedName name="_tab18" localSheetId="6">#REF!</definedName>
    <definedName name="_tab19" localSheetId="6">#REF!</definedName>
    <definedName name="_tab20" localSheetId="6">#REF!</definedName>
    <definedName name="_tab21" localSheetId="6">#REF!</definedName>
    <definedName name="_tab22" localSheetId="6">#REF!</definedName>
    <definedName name="_tab23" localSheetId="6">#REF!</definedName>
    <definedName name="_tab24" localSheetId="6">#REF!</definedName>
    <definedName name="_tab25" localSheetId="6">#REF!</definedName>
    <definedName name="_tab26" localSheetId="6">#REF!</definedName>
    <definedName name="_tab27" localSheetId="6">#REF!</definedName>
    <definedName name="_tab28" localSheetId="6">#REF!</definedName>
    <definedName name="_tab29" localSheetId="6">#REF!</definedName>
    <definedName name="_tab3" localSheetId="6">#REF!</definedName>
    <definedName name="_tab30" localSheetId="6">#REF!</definedName>
    <definedName name="_tab31" localSheetId="6">#REF!</definedName>
    <definedName name="_tab32" localSheetId="6">#REF!</definedName>
    <definedName name="_tab34" localSheetId="6">#REF!</definedName>
    <definedName name="_tab35" localSheetId="6">#REF!</definedName>
    <definedName name="_tab36" localSheetId="6">#REF!</definedName>
    <definedName name="_tab37" localSheetId="6">#REF!</definedName>
    <definedName name="_tab38" localSheetId="6">#REF!</definedName>
    <definedName name="_tab39" localSheetId="6">#REF!</definedName>
    <definedName name="_tab4" localSheetId="6">#REF!</definedName>
    <definedName name="_tab41" localSheetId="6">#REF!</definedName>
    <definedName name="_tab42" localSheetId="6">#REF!</definedName>
    <definedName name="_tab43" localSheetId="6">#REF!</definedName>
    <definedName name="_tab44" localSheetId="6">#REF!</definedName>
    <definedName name="_tab49" localSheetId="6">#REF!</definedName>
    <definedName name="_tab5" localSheetId="6">#REF!</definedName>
    <definedName name="_tab7" localSheetId="6">#REF!</definedName>
    <definedName name="_tab8" localSheetId="6">#REF!</definedName>
    <definedName name="_tab9" localSheetId="6">#REF!</definedName>
    <definedName name="_WB2" localSheetId="6">#REF!</definedName>
    <definedName name="Batumi_debt" localSheetId="6">[1]debt_sust!#REF!</definedName>
    <definedName name="BCA" localSheetId="6">#REF!</definedName>
    <definedName name="BCA_NGDP" localSheetId="6">#REF!</definedName>
    <definedName name="BE" localSheetId="6">#REF!</definedName>
    <definedName name="BEA" localSheetId="6">#REF!</definedName>
    <definedName name="BED" localSheetId="6">#REF!</definedName>
    <definedName name="BEI" localSheetId="6">#REF!</definedName>
    <definedName name="BER" localSheetId="6">#REF!</definedName>
    <definedName name="BF" localSheetId="6">#REF!</definedName>
    <definedName name="BFD" localSheetId="6">#REF!</definedName>
    <definedName name="BFDA" localSheetId="6">#REF!</definedName>
    <definedName name="BFDI" localSheetId="6">#REF!</definedName>
    <definedName name="BFDIL" localSheetId="6">#REF!</definedName>
    <definedName name="BFL_D" localSheetId="6">#REF!</definedName>
    <definedName name="BFO" localSheetId="6">#REF!</definedName>
    <definedName name="BFOA" localSheetId="6">#REF!</definedName>
    <definedName name="BFOAG" localSheetId="6">#REF!</definedName>
    <definedName name="BFOL" localSheetId="6">#REF!</definedName>
    <definedName name="BFOL_B" localSheetId="6">#REF!</definedName>
    <definedName name="BFOL_G" localSheetId="6">#REF!</definedName>
    <definedName name="BFOL_L" localSheetId="6">#REF!</definedName>
    <definedName name="BFOL_O" localSheetId="6">#REF!</definedName>
    <definedName name="BFOL_S" localSheetId="6">#REF!</definedName>
    <definedName name="BFOLB" localSheetId="6">#REF!</definedName>
    <definedName name="BFOLG_L" localSheetId="6">#REF!</definedName>
    <definedName name="BFP" localSheetId="6">#REF!</definedName>
    <definedName name="BFPA" localSheetId="6">#REF!</definedName>
    <definedName name="BFPAG" localSheetId="6">#REF!</definedName>
    <definedName name="BFPL" localSheetId="6">#REF!</definedName>
    <definedName name="BFPLBN" localSheetId="6">#REF!</definedName>
    <definedName name="BFPLD" localSheetId="6">#REF!</definedName>
    <definedName name="BFPLD_G" localSheetId="6">#REF!</definedName>
    <definedName name="BFPLE" localSheetId="6">#REF!</definedName>
    <definedName name="BFPLE_G" localSheetId="6">#REF!</definedName>
    <definedName name="BFPLMM" localSheetId="6">#REF!</definedName>
    <definedName name="BFRA" localSheetId="6">#REF!</definedName>
    <definedName name="BFUND" localSheetId="6">#REF!</definedName>
    <definedName name="BGS" localSheetId="6">#REF!</definedName>
    <definedName name="BI" localSheetId="6">#REF!</definedName>
    <definedName name="BIP" localSheetId="6">#REF!</definedName>
    <definedName name="BK" localSheetId="6">#REF!</definedName>
    <definedName name="BKFA" localSheetId="6">#REF!</definedName>
    <definedName name="BM" localSheetId="6">#REF!</definedName>
    <definedName name="BMG" localSheetId="6">#REF!</definedName>
    <definedName name="BMII" localSheetId="6">#REF!</definedName>
    <definedName name="BMII_7" localSheetId="6">#REF!</definedName>
    <definedName name="BMS" localSheetId="6">#REF!</definedName>
    <definedName name="BOP" localSheetId="6">#REF!</definedName>
    <definedName name="BRASS" localSheetId="6">#REF!</definedName>
    <definedName name="BTR" localSheetId="6">#REF!</definedName>
    <definedName name="BTRG" localSheetId="6">#REF!</definedName>
    <definedName name="BX" localSheetId="6">#REF!</definedName>
    <definedName name="BXG" localSheetId="6">#REF!</definedName>
    <definedName name="BXS" localSheetId="6">#REF!</definedName>
    <definedName name="CCODE" localSheetId="6">#REF!</definedName>
    <definedName name="chart4" localSheetId="5" hidden="1">{#N/A,#N/A,FALSE,"CB";#N/A,#N/A,FALSE,"CMB";#N/A,#N/A,FALSE,"NBFI"}</definedName>
    <definedName name="chart4" hidden="1">{#N/A,#N/A,FALSE,"CB";#N/A,#N/A,FALSE,"CMB";#N/A,#N/A,FALSE,"NBFI"}</definedName>
    <definedName name="ChartA" localSheetId="5" hidden="1">{#N/A,#N/A,FALSE,"CB";#N/A,#N/A,FALSE,"CMB";#N/A,#N/A,FALSE,"NBFI"}</definedName>
    <definedName name="ChartA" hidden="1">{#N/A,#N/A,FALSE,"CB";#N/A,#N/A,FALSE,"CMB";#N/A,#N/A,FALSE,"NBFI"}</definedName>
    <definedName name="Chartvel" localSheetId="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K5.1" localSheetId="6">#REF!</definedName>
    <definedName name="CPF" localSheetId="6">#REF!</definedName>
    <definedName name="CPI_Core" localSheetId="6">#REF!</definedName>
    <definedName name="CPI_NAT_monthly" localSheetId="6">#REF!</definedName>
    <definedName name="D" localSheetId="6">#REF!</definedName>
    <definedName name="D_B" localSheetId="6">#REF!</definedName>
    <definedName name="D_G" localSheetId="6">#REF!</definedName>
    <definedName name="D_Ind" localSheetId="6">#REF!</definedName>
    <definedName name="D_L" localSheetId="6">#REF!</definedName>
    <definedName name="D_O" localSheetId="6">#REF!</definedName>
    <definedName name="D_S" localSheetId="6">#REF!</definedName>
    <definedName name="D_SRM" localSheetId="6">#REF!</definedName>
    <definedName name="D_SY" localSheetId="6">#REF!</definedName>
    <definedName name="DA" localSheetId="6">#REF!</definedName>
    <definedName name="DATES" localSheetId="6">#REF!</definedName>
    <definedName name="Dates1" localSheetId="6">#REF!</definedName>
    <definedName name="dateweo" localSheetId="6">#REF!</definedName>
    <definedName name="DB" localSheetId="6">#REF!</definedName>
    <definedName name="DE" localSheetId="5" hidden="1">{#N/A,#N/A,FALSE,"CREDIT"}</definedName>
    <definedName name="DE" hidden="1">{#N/A,#N/A,FALSE,"CREDIT"}</definedName>
    <definedName name="DEFL" localSheetId="6">#REF!</definedName>
    <definedName name="DG" localSheetId="6">#REF!</definedName>
    <definedName name="DG_S" localSheetId="6">#REF!</definedName>
    <definedName name="DO" localSheetId="6">#REF!</definedName>
    <definedName name="DS" localSheetId="6">#REF!</definedName>
    <definedName name="DSA_Assumptions" localSheetId="6">#REF!</definedName>
    <definedName name="DSI" localSheetId="6">#REF!</definedName>
    <definedName name="DSP" localSheetId="6">#REF!</definedName>
    <definedName name="DSPG" localSheetId="6">#REF!</definedName>
    <definedName name="E" localSheetId="5" hidden="1">{#N/A,#N/A,FALSE,"DEPO"}</definedName>
    <definedName name="E" hidden="1">{#N/A,#N/A,FALSE,"DEPO"}</definedName>
    <definedName name="EBRD" localSheetId="6">#REF!</definedName>
    <definedName name="EDNA" localSheetId="6">#REF!</definedName>
    <definedName name="EDSSDESCRIPTOR" localSheetId="6">#REF!</definedName>
    <definedName name="EDSSFILE" localSheetId="6">#REF!</definedName>
    <definedName name="EDSSNAME" localSheetId="6">#REF!</definedName>
    <definedName name="EDSSTABLES" localSheetId="6">#REF!</definedName>
    <definedName name="EDSSTIME" localSheetId="6">#REF!</definedName>
    <definedName name="EEE" localSheetId="5" hidden="1">{#N/A,#N/A,FALSE,"EXCISE"}</definedName>
    <definedName name="EEE" hidden="1">{#N/A,#N/A,FALSE,"EXCISE"}</definedName>
    <definedName name="EISCODE" localSheetId="6">#REF!</definedName>
    <definedName name="empty" localSheetId="6">#REF!</definedName>
    <definedName name="ert" localSheetId="6">#REF!</definedName>
    <definedName name="ESAF_QUAR_GDP" localSheetId="6">#REF!</definedName>
    <definedName name="F" localSheetId="5" hidden="1">{#N/A,#N/A,FALSE,"CB";#N/A,#N/A,FALSE,"CMB";#N/A,#N/A,FALSE,"NBFI"}</definedName>
    <definedName name="F" hidden="1">{#N/A,#N/A,FALSE,"CB";#N/A,#N/A,FALSE,"CMB";#N/A,#N/A,FALSE,"NBFI"}</definedName>
    <definedName name="Feb_98" localSheetId="6">#REF!</definedName>
    <definedName name="FFF" localSheetId="5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fis_98" localSheetId="6">#REF!</definedName>
    <definedName name="fis_gdp" localSheetId="6">#REF!</definedName>
    <definedName name="fis_lari" localSheetId="6">#REF!</definedName>
    <definedName name="Fisc" localSheetId="6">#REF!</definedName>
    <definedName name="framework_macro" localSheetId="6">#REF!</definedName>
    <definedName name="framework_macro_new" localSheetId="6">#REF!</definedName>
    <definedName name="framework_monetary" localSheetId="6">#REF!</definedName>
    <definedName name="H" localSheetId="5" hidden="1">{#N/A,#N/A,FALSE,"BANKS"}</definedName>
    <definedName name="H" hidden="1">{#N/A,#N/A,FALSE,"BANKS"}</definedName>
    <definedName name="hello" localSheetId="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M" localSheetId="6">#REF!</definedName>
    <definedName name="IMF" localSheetId="6">#REF!</definedName>
    <definedName name="INDUST1" localSheetId="6">#REF!</definedName>
    <definedName name="INDUST2" localSheetId="6">#REF!</definedName>
    <definedName name="iva" localSheetId="5" hidden="1">{#N/A,#N/A,FALSE,"CB";#N/A,#N/A,FALSE,"CMB";#N/A,#N/A,FALSE,"NBFI"}</definedName>
    <definedName name="iva" hidden="1">{#N/A,#N/A,FALSE,"CB";#N/A,#N/A,FALSE,"CMB";#N/A,#N/A,FALSE,"NBFI"}</definedName>
    <definedName name="jan" localSheetId="5" hidden="1">{#N/A,#N/A,FALSE,"CB";#N/A,#N/A,FALSE,"CMB";#N/A,#N/A,FALSE,"NBFI"}</definedName>
    <definedName name="jan" hidden="1">{#N/A,#N/A,FALSE,"CB";#N/A,#N/A,FALSE,"CMB";#N/A,#N/A,FALSE,"NBFI"}</definedName>
    <definedName name="last_978" localSheetId="6">#REF!</definedName>
    <definedName name="MACRO_ASSUMP_2006" localSheetId="6">#REF!</definedName>
    <definedName name="MCV_B" localSheetId="6">#REF!</definedName>
    <definedName name="MCV_B1" localSheetId="6">#REF!</definedName>
    <definedName name="MCV_D" localSheetId="6">#REF!</definedName>
    <definedName name="MCV_D1" localSheetId="6">#REF!</definedName>
    <definedName name="MCV_T" localSheetId="6">#REF!</definedName>
    <definedName name="MCV_T1" localSheetId="6">#REF!</definedName>
    <definedName name="NAMES" localSheetId="6">#REF!</definedName>
    <definedName name="nameweo" localSheetId="6">#REF!</definedName>
    <definedName name="nominal" localSheetId="6">#REF!</definedName>
    <definedName name="Paym_Cap" localSheetId="6">#REF!</definedName>
    <definedName name="Payroll" localSheetId="6">#REF!</definedName>
    <definedName name="pchBM" localSheetId="6">#REF!</definedName>
    <definedName name="pchBMG" localSheetId="6">#REF!</definedName>
    <definedName name="pchBX" localSheetId="6">#REF!</definedName>
    <definedName name="pchBXG" localSheetId="6">#REF!</definedName>
    <definedName name="PCPI" localSheetId="6">#REF!</definedName>
    <definedName name="PFP" localSheetId="6">#REF!</definedName>
    <definedName name="pfp_table1" localSheetId="6">#REF!</definedName>
    <definedName name="PRICE" localSheetId="6">#REF!</definedName>
    <definedName name="PRICETAB" localSheetId="6">#REF!</definedName>
    <definedName name="_xlnm.Print_Titles" localSheetId="6">#REF!,#REF!</definedName>
    <definedName name="PRMONTH" localSheetId="6">#REF!</definedName>
    <definedName name="PRYEAR" localSheetId="6">#REF!</definedName>
    <definedName name="Q_5" localSheetId="6">#REF!</definedName>
    <definedName name="Q_6" localSheetId="6">#REF!</definedName>
    <definedName name="Q_7" localSheetId="6">#REF!</definedName>
    <definedName name="qqq" localSheetId="5" hidden="1">{#N/A,#N/A,FALSE,"EXTRABUDGT"}</definedName>
    <definedName name="qqq" hidden="1">{#N/A,#N/A,FALSE,"EXTRABUDGT"}</definedName>
    <definedName name="qwe" localSheetId="6">#REF!</definedName>
    <definedName name="rangename" localSheetId="6">[2]documentation!#REF!</definedName>
    <definedName name="RED_BOP" localSheetId="6">#REF!</definedName>
    <definedName name="red_cpi" localSheetId="6">#REF!</definedName>
    <definedName name="RED_D" localSheetId="6">#REF!</definedName>
    <definedName name="RED_DS" localSheetId="6">#REF!</definedName>
    <definedName name="red_gdp_exp" localSheetId="6">#REF!</definedName>
    <definedName name="red_govt_empl" localSheetId="6">#REF!</definedName>
    <definedName name="RED_NATCPI" localSheetId="6">#REF!</definedName>
    <definedName name="RED_TBCPI" localSheetId="6">#REF!</definedName>
    <definedName name="RED_TRD" localSheetId="6">#REF!</definedName>
    <definedName name="REGISTERALL" localSheetId="6">#REF!</definedName>
    <definedName name="right" localSheetId="6">#REF!</definedName>
    <definedName name="rindex" localSheetId="6">#REF!</definedName>
    <definedName name="rter" localSheetId="6">#REF!</definedName>
    <definedName name="SA_Tab" localSheetId="6">#REF!</definedName>
    <definedName name="sampletable" localSheetId="6">#REF!</definedName>
    <definedName name="sdf" localSheetId="6">#REF!</definedName>
    <definedName name="sds_gdp_exp_lari" localSheetId="6">#REF!</definedName>
    <definedName name="sds_gdp_origin" localSheetId="6">#REF!</definedName>
    <definedName name="sds_gpd_exp_gdp" localSheetId="6">#REF!</definedName>
    <definedName name="SECTORS" localSheetId="6">#REF!</definedName>
    <definedName name="SEI" localSheetId="6">#REF!</definedName>
    <definedName name="STFQTAB" localSheetId="6">#REF!</definedName>
    <definedName name="sum" localSheetId="6">#REF!</definedName>
    <definedName name="tab4b" localSheetId="6">#REF!</definedName>
    <definedName name="tabletemplate" localSheetId="6">#REF!</definedName>
    <definedName name="TM" localSheetId="6">#REF!</definedName>
    <definedName name="TM_D" localSheetId="6">#REF!</definedName>
    <definedName name="TM_Dpch" localSheetId="6">#REF!</definedName>
    <definedName name="TM_R" localSheetId="6">#REF!</definedName>
    <definedName name="TM_Rpch" localSheetId="6">#REF!</definedName>
    <definedName name="TMG" localSheetId="6">#REF!</definedName>
    <definedName name="TMG_D" localSheetId="6">#REF!</definedName>
    <definedName name="TMG_Dpch" localSheetId="6">#REF!</definedName>
    <definedName name="TMG_R" localSheetId="6">#REF!</definedName>
    <definedName name="TMG_Rpch" localSheetId="6">#REF!</definedName>
    <definedName name="TMGO" localSheetId="6">#REF!</definedName>
    <definedName name="TMGO_D" localSheetId="6">#REF!</definedName>
    <definedName name="TMGO_Dpch" localSheetId="6">#REF!</definedName>
    <definedName name="TMGO_R" localSheetId="6">#REF!</definedName>
    <definedName name="TMGO_Rpch" localSheetId="6">#REF!</definedName>
    <definedName name="TMGXO" localSheetId="6">#REF!</definedName>
    <definedName name="TMGXO_D" localSheetId="6">#REF!</definedName>
    <definedName name="TMGXO_Dpch" localSheetId="6">#REF!</definedName>
    <definedName name="TMGXO_R" localSheetId="6">#REF!</definedName>
    <definedName name="TMGXO_Rpch" localSheetId="6">#REF!</definedName>
    <definedName name="TMS" localSheetId="6">#REF!</definedName>
    <definedName name="Trade" localSheetId="6">#REF!</definedName>
    <definedName name="TX" localSheetId="6">#REF!</definedName>
    <definedName name="TX_D" localSheetId="6">#REF!</definedName>
    <definedName name="TX_Dpch" localSheetId="6">#REF!</definedName>
    <definedName name="TX_R" localSheetId="6">#REF!</definedName>
    <definedName name="TX_Rpch" localSheetId="6">#REF!</definedName>
    <definedName name="TXG" localSheetId="6">#REF!</definedName>
    <definedName name="TXG_D" localSheetId="6">#REF!</definedName>
    <definedName name="TXG_Dpch" localSheetId="6">#REF!</definedName>
    <definedName name="TXG_R" localSheetId="6">#REF!</definedName>
    <definedName name="TXG_Rpch" localSheetId="6">#REF!</definedName>
    <definedName name="TXGO" localSheetId="6">#REF!</definedName>
    <definedName name="TXGO_D" localSheetId="6">#REF!</definedName>
    <definedName name="TXGO_Dpch" localSheetId="6">#REF!</definedName>
    <definedName name="TXGO_R" localSheetId="6">#REF!</definedName>
    <definedName name="TXGO_Rpch" localSheetId="6">#REF!</definedName>
    <definedName name="TXGXO" localSheetId="6">#REF!</definedName>
    <definedName name="TXGXO_D" localSheetId="6">#REF!</definedName>
    <definedName name="TXGXO_Dpch" localSheetId="6">#REF!</definedName>
    <definedName name="TXGXO_R" localSheetId="6">#REF!</definedName>
    <definedName name="TXGXO_Rpch" localSheetId="6">#REF!</definedName>
    <definedName name="TXS" localSheetId="6">#REF!</definedName>
    <definedName name="uio" localSheetId="6">#REF!</definedName>
    <definedName name="unemp_96Q3" localSheetId="6">#REF!</definedName>
    <definedName name="unemp_96Q4" localSheetId="6">#REF!</definedName>
    <definedName name="unemp_97Q1" localSheetId="6">#REF!</definedName>
    <definedName name="unemp_97Q2" localSheetId="6">#REF!</definedName>
    <definedName name="unemp_nat" localSheetId="6">#REF!</definedName>
    <definedName name="unemp_urbrural" localSheetId="6">#REF!</definedName>
    <definedName name="USERNAME" localSheetId="6">#REF!</definedName>
    <definedName name="wage_govt_sector" localSheetId="6">#REF!</definedName>
    <definedName name="WEO" localSheetId="6">#REF!</definedName>
    <definedName name="WPCP33_D" localSheetId="6">#REF!</definedName>
    <definedName name="WPCP33pch" localSheetId="6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TERST." localSheetId="5" hidden="1">{#N/A,#N/A,FALSE,"INTERST"}</definedName>
    <definedName name="wrn.INTERST." hidden="1">{#N/A,#N/A,FALSE,"INTERST"}</definedName>
    <definedName name="wrn.MAIN." localSheetId="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5" hidden="1">{#N/A,#N/A,FALSE,"CB";#N/A,#N/A,FALSE,"CMB";#N/A,#N/A,FALSE,"NBFI"}</definedName>
    <definedName name="wrn.MIT." hidden="1">{#N/A,#N/A,FALSE,"CB";#N/A,#N/A,FALSE,"CMB";#N/A,#N/A,FALSE,"NBFI"}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ff._.Report._.Tables." localSheetId="5" hidden="1">{#N/A,#N/A,FALSE,"SRFSYS";#N/A,#N/A,FALSE,"SRBSYS"}</definedName>
    <definedName name="wrn.Staff._.Report._.Tables." hidden="1">{#N/A,#N/A,FALSE,"SRFSYS";#N/A,#N/A,FALSE,"SRBSYS"}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xxWRS_10" localSheetId="6">#REF!</definedName>
    <definedName name="xxWRS_6" localSheetId="6">#REF!</definedName>
    <definedName name="xxWRS_7" localSheetId="6">#REF!</definedName>
    <definedName name="xxWRS_8" localSheetId="6">#REF!</definedName>
    <definedName name="xxWRS_9" localSheetId="6">#REF!</definedName>
    <definedName name="Years" localSheetId="6">#REF!</definedName>
    <definedName name="yyy" localSheetId="5" hidden="1">{#N/A,#N/A,FALSE,"MS"}</definedName>
    <definedName name="yyy" hidden="1">{#N/A,#N/A,FALSE,"MS"}</definedName>
    <definedName name="yyyyy" localSheetId="5" hidden="1">{#N/A,#N/A,FALSE,"INTERST"}</definedName>
    <definedName name="yyyyy" hidden="1">{#N/A,#N/A,FALSE,"INTERST"}</definedName>
  </definedNames>
  <calcPr calcId="125725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P98" i="16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O19" i="26" l="1"/>
  <c r="N19"/>
  <c r="M19"/>
  <c r="L19"/>
  <c r="K19"/>
  <c r="J19"/>
  <c r="I19"/>
  <c r="H19"/>
  <c r="G19"/>
  <c r="F19"/>
  <c r="E19"/>
  <c r="D19"/>
  <c r="D19" i="15"/>
  <c r="D19" i="29"/>
  <c r="O19" i="15"/>
  <c r="N19"/>
  <c r="M19"/>
  <c r="L19"/>
  <c r="K19"/>
  <c r="J19"/>
  <c r="I19"/>
  <c r="H19"/>
  <c r="G19"/>
  <c r="F19"/>
  <c r="E19"/>
  <c r="O19" i="31"/>
  <c r="N19"/>
  <c r="M19"/>
  <c r="L19"/>
  <c r="K19"/>
  <c r="J19"/>
  <c r="I19"/>
  <c r="H19"/>
  <c r="O19" i="29"/>
  <c r="N19"/>
  <c r="M19"/>
  <c r="L19"/>
  <c r="K19"/>
  <c r="J19"/>
  <c r="I19"/>
  <c r="H19"/>
  <c r="G19"/>
  <c r="F19"/>
  <c r="E19"/>
  <c r="D69" i="31"/>
  <c r="E69"/>
  <c r="F69"/>
  <c r="Y81"/>
  <c r="Y82"/>
  <c r="H15" i="18" l="1"/>
  <c r="Z42"/>
  <c r="X42"/>
  <c r="V42"/>
  <c r="T42"/>
  <c r="R42"/>
  <c r="P42"/>
  <c r="N42"/>
  <c r="L42"/>
  <c r="J42"/>
  <c r="H42"/>
  <c r="F42"/>
  <c r="D42"/>
  <c r="O75" i="15"/>
  <c r="N75"/>
  <c r="M75"/>
  <c r="L75"/>
  <c r="K75"/>
  <c r="J75"/>
  <c r="I75"/>
  <c r="H75"/>
  <c r="G75"/>
  <c r="F75"/>
  <c r="E75"/>
  <c r="D75"/>
  <c r="O69"/>
  <c r="N69"/>
  <c r="M69"/>
  <c r="L69"/>
  <c r="K69"/>
  <c r="J69"/>
  <c r="I69"/>
  <c r="H69"/>
  <c r="G69"/>
  <c r="F69"/>
  <c r="E69"/>
  <c r="D69"/>
  <c r="O55"/>
  <c r="N55"/>
  <c r="M55"/>
  <c r="L55"/>
  <c r="K55"/>
  <c r="J55"/>
  <c r="I55"/>
  <c r="H55"/>
  <c r="G55"/>
  <c r="F55"/>
  <c r="E55"/>
  <c r="D55"/>
  <c r="O54"/>
  <c r="N54"/>
  <c r="M54"/>
  <c r="L54"/>
  <c r="K54"/>
  <c r="J54"/>
  <c r="I54"/>
  <c r="H54"/>
  <c r="G54"/>
  <c r="F54"/>
  <c r="E54"/>
  <c r="D54"/>
  <c r="O52"/>
  <c r="O53" s="1"/>
  <c r="N52"/>
  <c r="N53" s="1"/>
  <c r="M52"/>
  <c r="M53" s="1"/>
  <c r="L52"/>
  <c r="L53" s="1"/>
  <c r="K52"/>
  <c r="K53" s="1"/>
  <c r="J52"/>
  <c r="J53" s="1"/>
  <c r="I52"/>
  <c r="I53" s="1"/>
  <c r="H52"/>
  <c r="H53" s="1"/>
  <c r="G52"/>
  <c r="G53" s="1"/>
  <c r="F52"/>
  <c r="E52"/>
  <c r="E53" s="1"/>
  <c r="D52"/>
  <c r="O20"/>
  <c r="N20"/>
  <c r="M20"/>
  <c r="L20"/>
  <c r="K20"/>
  <c r="J20"/>
  <c r="I20"/>
  <c r="H20"/>
  <c r="G20"/>
  <c r="F20"/>
  <c r="E20"/>
  <c r="D20"/>
  <c r="M22" i="18"/>
  <c r="M21"/>
  <c r="M20"/>
  <c r="K22"/>
  <c r="K21"/>
  <c r="K20"/>
  <c r="I22"/>
  <c r="I21"/>
  <c r="I20"/>
  <c r="D53" i="15" l="1"/>
  <c r="F53"/>
  <c r="AA43" i="18"/>
  <c r="Y44"/>
  <c r="Y42"/>
  <c r="W43"/>
  <c r="U44"/>
  <c r="U42"/>
  <c r="S43"/>
  <c r="Q44"/>
  <c r="Q42"/>
  <c r="O43"/>
  <c r="M44"/>
  <c r="M42"/>
  <c r="K43"/>
  <c r="I44"/>
  <c r="I42"/>
  <c r="G43"/>
  <c r="E44"/>
  <c r="E42"/>
  <c r="AA44"/>
  <c r="AA42"/>
  <c r="Y43"/>
  <c r="W44"/>
  <c r="W42"/>
  <c r="U43"/>
  <c r="S44"/>
  <c r="S42"/>
  <c r="Q43"/>
  <c r="O44"/>
  <c r="O42"/>
  <c r="M43"/>
  <c r="K44"/>
  <c r="K42"/>
  <c r="I43"/>
  <c r="G44"/>
  <c r="G42"/>
  <c r="E43"/>
  <c r="I18" i="16"/>
  <c r="P97" i="29"/>
  <c r="P51"/>
  <c r="P96"/>
  <c r="P95"/>
  <c r="R97" i="16" l="1"/>
  <c r="R96"/>
  <c r="R92"/>
  <c r="R90"/>
  <c r="R84"/>
  <c r="R82"/>
  <c r="O81"/>
  <c r="O79"/>
  <c r="O77"/>
  <c r="R76"/>
  <c r="R68"/>
  <c r="R66"/>
  <c r="R64"/>
  <c r="R62"/>
  <c r="R61"/>
  <c r="R60"/>
  <c r="R58"/>
  <c r="R57"/>
  <c r="R56"/>
  <c r="O46"/>
  <c r="O44"/>
  <c r="O42"/>
  <c r="O40"/>
  <c r="O36"/>
  <c r="O34"/>
  <c r="O32"/>
  <c r="O30"/>
  <c r="O26"/>
  <c r="O24"/>
  <c r="O22"/>
  <c r="O55" i="31"/>
  <c r="O54" s="1"/>
  <c r="N55"/>
  <c r="N54" s="1"/>
  <c r="M55"/>
  <c r="M54" s="1"/>
  <c r="L55"/>
  <c r="L54" s="1"/>
  <c r="K55"/>
  <c r="K54" s="1"/>
  <c r="J55"/>
  <c r="J54" s="1"/>
  <c r="I55"/>
  <c r="I54" s="1"/>
  <c r="H55"/>
  <c r="H54" s="1"/>
  <c r="G55"/>
  <c r="G54" s="1"/>
  <c r="F55"/>
  <c r="E55"/>
  <c r="E54" s="1"/>
  <c r="D55"/>
  <c r="D54" s="1"/>
  <c r="O69"/>
  <c r="N69"/>
  <c r="M69"/>
  <c r="L69"/>
  <c r="K69"/>
  <c r="J69"/>
  <c r="I69"/>
  <c r="H69"/>
  <c r="G69"/>
  <c r="O75"/>
  <c r="N75"/>
  <c r="M75"/>
  <c r="L75"/>
  <c r="K75"/>
  <c r="J75"/>
  <c r="I75"/>
  <c r="H75"/>
  <c r="G75"/>
  <c r="F75"/>
  <c r="E75"/>
  <c r="D75"/>
  <c r="O89"/>
  <c r="N89"/>
  <c r="M89"/>
  <c r="L89"/>
  <c r="K89"/>
  <c r="J89"/>
  <c r="I89"/>
  <c r="H89"/>
  <c r="G89"/>
  <c r="F89"/>
  <c r="E89"/>
  <c r="D45"/>
  <c r="D38"/>
  <c r="D33"/>
  <c r="D28"/>
  <c r="D20"/>
  <c r="R91" i="16"/>
  <c r="R83"/>
  <c r="R78"/>
  <c r="R74"/>
  <c r="R72"/>
  <c r="R70"/>
  <c r="R65"/>
  <c r="P97" i="31"/>
  <c r="F97" i="16" s="1"/>
  <c r="P51" i="31"/>
  <c r="F51" i="16" s="1"/>
  <c r="P96" i="31"/>
  <c r="F96" i="16" s="1"/>
  <c r="P95" i="31"/>
  <c r="F95" i="16" s="1"/>
  <c r="P92" i="31"/>
  <c r="F92" i="16" s="1"/>
  <c r="P91" i="31"/>
  <c r="F91" i="16" s="1"/>
  <c r="P90" i="31"/>
  <c r="F90" i="16" s="1"/>
  <c r="P86" i="31"/>
  <c r="F86" i="16" s="1"/>
  <c r="P85" i="31"/>
  <c r="F85" i="16" s="1"/>
  <c r="P84" i="31"/>
  <c r="F84" i="16" s="1"/>
  <c r="P83" i="31"/>
  <c r="F83" i="16" s="1"/>
  <c r="P82" i="31"/>
  <c r="F82" i="16" s="1"/>
  <c r="P81" i="31"/>
  <c r="F81" i="16" s="1"/>
  <c r="P80" i="31"/>
  <c r="F80" i="16" s="1"/>
  <c r="P79" i="31"/>
  <c r="F79" i="16" s="1"/>
  <c r="P78" i="31"/>
  <c r="F78" i="16" s="1"/>
  <c r="P77" i="31"/>
  <c r="F77" i="16" s="1"/>
  <c r="P76" i="31"/>
  <c r="F76" i="16" s="1"/>
  <c r="P74" i="31"/>
  <c r="F74" i="16" s="1"/>
  <c r="P73" i="31"/>
  <c r="F73" i="16" s="1"/>
  <c r="P72" i="31"/>
  <c r="F72" i="16" s="1"/>
  <c r="P71" i="31"/>
  <c r="F71" i="16" s="1"/>
  <c r="P70" i="31"/>
  <c r="F70" i="16" s="1"/>
  <c r="P68" i="31"/>
  <c r="F68" i="16" s="1"/>
  <c r="P67" i="31"/>
  <c r="F67" i="16" s="1"/>
  <c r="P66" i="31"/>
  <c r="F66" i="16" s="1"/>
  <c r="P65" i="31"/>
  <c r="F65" i="16" s="1"/>
  <c r="P64" i="31"/>
  <c r="F64" i="16" s="1"/>
  <c r="P63" i="31"/>
  <c r="F63" i="16" s="1"/>
  <c r="P62" i="31"/>
  <c r="F62" i="16" s="1"/>
  <c r="P61" i="31"/>
  <c r="F61" i="16" s="1"/>
  <c r="P60" i="31"/>
  <c r="F60" i="16" s="1"/>
  <c r="P59" i="31"/>
  <c r="F59" i="16" s="1"/>
  <c r="P58" i="31"/>
  <c r="F58" i="16" s="1"/>
  <c r="P57" i="31"/>
  <c r="F57" i="16" s="1"/>
  <c r="P56" i="31"/>
  <c r="F56" i="16" s="1"/>
  <c r="P18"/>
  <c r="R86"/>
  <c r="O80"/>
  <c r="O78"/>
  <c r="R49"/>
  <c r="R47"/>
  <c r="R43"/>
  <c r="R41"/>
  <c r="R39"/>
  <c r="R37"/>
  <c r="R35"/>
  <c r="R31"/>
  <c r="R29"/>
  <c r="R27"/>
  <c r="R25"/>
  <c r="R23"/>
  <c r="R21"/>
  <c r="Q97" i="29"/>
  <c r="Q51"/>
  <c r="Q96"/>
  <c r="Q95"/>
  <c r="Q86"/>
  <c r="Q80"/>
  <c r="D19" i="31" l="1"/>
  <c r="G52"/>
  <c r="G53" s="1"/>
  <c r="I52"/>
  <c r="I53" s="1"/>
  <c r="K52"/>
  <c r="K53" s="1"/>
  <c r="M52"/>
  <c r="M53" s="1"/>
  <c r="O52"/>
  <c r="O53" s="1"/>
  <c r="H52"/>
  <c r="H53" s="1"/>
  <c r="J52"/>
  <c r="J53" s="1"/>
  <c r="L52"/>
  <c r="L53" s="1"/>
  <c r="N52"/>
  <c r="N53" s="1"/>
  <c r="F54"/>
  <c r="R55" i="16"/>
  <c r="R51"/>
  <c r="P75" i="31"/>
  <c r="F75" i="16" s="1"/>
  <c r="E52" i="31"/>
  <c r="R59" i="16"/>
  <c r="R63"/>
  <c r="R67"/>
  <c r="D52" i="31"/>
  <c r="D53" s="1"/>
  <c r="P54"/>
  <c r="F54" i="16" s="1"/>
  <c r="R75"/>
  <c r="R48"/>
  <c r="R50"/>
  <c r="R71"/>
  <c r="R73"/>
  <c r="P55" i="31"/>
  <c r="F55" i="16" s="1"/>
  <c r="P69" i="31"/>
  <c r="F69" i="16" s="1"/>
  <c r="R69"/>
  <c r="R22"/>
  <c r="R24"/>
  <c r="R26"/>
  <c r="R30"/>
  <c r="R32"/>
  <c r="R34"/>
  <c r="R36"/>
  <c r="R40"/>
  <c r="R42"/>
  <c r="R44"/>
  <c r="R46"/>
  <c r="O21"/>
  <c r="O23"/>
  <c r="O25"/>
  <c r="O27"/>
  <c r="O29"/>
  <c r="O31"/>
  <c r="O35"/>
  <c r="O37"/>
  <c r="O39"/>
  <c r="O41"/>
  <c r="O43"/>
  <c r="O48"/>
  <c r="O50"/>
  <c r="O55"/>
  <c r="O57"/>
  <c r="O59"/>
  <c r="O61"/>
  <c r="O63"/>
  <c r="O65"/>
  <c r="O67"/>
  <c r="O69"/>
  <c r="O71"/>
  <c r="O73"/>
  <c r="O75"/>
  <c r="O83"/>
  <c r="O86"/>
  <c r="O90"/>
  <c r="O92"/>
  <c r="O47"/>
  <c r="O49"/>
  <c r="O56"/>
  <c r="O58"/>
  <c r="O60"/>
  <c r="O62"/>
  <c r="O64"/>
  <c r="O66"/>
  <c r="O68"/>
  <c r="O70"/>
  <c r="O72"/>
  <c r="O74"/>
  <c r="O76"/>
  <c r="O82"/>
  <c r="O84"/>
  <c r="O91"/>
  <c r="F52" i="31" l="1"/>
  <c r="D87"/>
  <c r="E53"/>
  <c r="D14"/>
  <c r="P29"/>
  <c r="F29" i="16" s="1"/>
  <c r="P30" i="31"/>
  <c r="F30" i="16" s="1"/>
  <c r="P31" i="31"/>
  <c r="F31" i="16" s="1"/>
  <c r="P32" i="31"/>
  <c r="F32" i="16" s="1"/>
  <c r="P34" i="31"/>
  <c r="F34" i="16" s="1"/>
  <c r="P35" i="31"/>
  <c r="F35" i="16" s="1"/>
  <c r="P36" i="31"/>
  <c r="F36" i="16" s="1"/>
  <c r="P37" i="31"/>
  <c r="F37" i="16" s="1"/>
  <c r="P39" i="31"/>
  <c r="F39" i="16" s="1"/>
  <c r="P40" i="31"/>
  <c r="F40" i="16" s="1"/>
  <c r="P41" i="31"/>
  <c r="F41" i="16" s="1"/>
  <c r="P42" i="31"/>
  <c r="F42" i="16" s="1"/>
  <c r="P43" i="31"/>
  <c r="F43" i="16" s="1"/>
  <c r="P44" i="31"/>
  <c r="F44" i="16" s="1"/>
  <c r="P46" i="31"/>
  <c r="F46" i="16" s="1"/>
  <c r="P47" i="31"/>
  <c r="F47" i="16" s="1"/>
  <c r="P48" i="31"/>
  <c r="F48" i="16" s="1"/>
  <c r="P49" i="31"/>
  <c r="F49" i="16" s="1"/>
  <c r="P50" i="31"/>
  <c r="F50" i="16" s="1"/>
  <c r="P21" i="31"/>
  <c r="F21" i="16" s="1"/>
  <c r="P22" i="31"/>
  <c r="F22" i="16" s="1"/>
  <c r="P23" i="31"/>
  <c r="F23" i="16" s="1"/>
  <c r="P24" i="31"/>
  <c r="F24" i="16" s="1"/>
  <c r="P25" i="31"/>
  <c r="F25" i="16" s="1"/>
  <c r="P26" i="31"/>
  <c r="F26" i="16" s="1"/>
  <c r="P27" i="31"/>
  <c r="F27" i="16" s="1"/>
  <c r="K38" i="31"/>
  <c r="L38"/>
  <c r="M38"/>
  <c r="N38"/>
  <c r="O38"/>
  <c r="J38"/>
  <c r="F53" l="1"/>
  <c r="R53" i="16" s="1"/>
  <c r="O52"/>
  <c r="O54"/>
  <c r="R54"/>
  <c r="P52" i="31"/>
  <c r="F52" i="16" s="1"/>
  <c r="C99" i="31"/>
  <c r="C98"/>
  <c r="X97"/>
  <c r="C97"/>
  <c r="X51"/>
  <c r="C51"/>
  <c r="X96"/>
  <c r="C96"/>
  <c r="X95"/>
  <c r="C95"/>
  <c r="C94"/>
  <c r="C93"/>
  <c r="X92"/>
  <c r="C92"/>
  <c r="X91"/>
  <c r="C91"/>
  <c r="X90"/>
  <c r="C90"/>
  <c r="D89"/>
  <c r="C89"/>
  <c r="C88"/>
  <c r="C87"/>
  <c r="X85"/>
  <c r="C85"/>
  <c r="S84"/>
  <c r="R84"/>
  <c r="T84" s="1"/>
  <c r="C84"/>
  <c r="S83"/>
  <c r="R83"/>
  <c r="X83"/>
  <c r="C83"/>
  <c r="S82"/>
  <c r="R82"/>
  <c r="C82"/>
  <c r="S81"/>
  <c r="R81"/>
  <c r="T81" s="1"/>
  <c r="X81"/>
  <c r="C81"/>
  <c r="S79"/>
  <c r="R79"/>
  <c r="T79" s="1"/>
  <c r="C79"/>
  <c r="S78"/>
  <c r="R78"/>
  <c r="X78"/>
  <c r="C78"/>
  <c r="S77"/>
  <c r="R77"/>
  <c r="C77"/>
  <c r="S76"/>
  <c r="R76"/>
  <c r="T76" s="1"/>
  <c r="X76"/>
  <c r="C76"/>
  <c r="R75"/>
  <c r="C75"/>
  <c r="S74"/>
  <c r="R74"/>
  <c r="X74"/>
  <c r="C74"/>
  <c r="S73"/>
  <c r="R73"/>
  <c r="C73"/>
  <c r="S72"/>
  <c r="R72"/>
  <c r="X72"/>
  <c r="C72"/>
  <c r="S71"/>
  <c r="R71"/>
  <c r="C71"/>
  <c r="S70"/>
  <c r="R70"/>
  <c r="X70"/>
  <c r="C70"/>
  <c r="R69"/>
  <c r="X69"/>
  <c r="C69"/>
  <c r="S68"/>
  <c r="R68"/>
  <c r="X68"/>
  <c r="C68"/>
  <c r="S67"/>
  <c r="R67"/>
  <c r="X67"/>
  <c r="C67"/>
  <c r="S66"/>
  <c r="R66"/>
  <c r="X66"/>
  <c r="C66"/>
  <c r="S65"/>
  <c r="R65"/>
  <c r="X65"/>
  <c r="C65"/>
  <c r="S64"/>
  <c r="R64"/>
  <c r="X64"/>
  <c r="C64"/>
  <c r="S63"/>
  <c r="R63"/>
  <c r="X63"/>
  <c r="C63"/>
  <c r="S62"/>
  <c r="R62"/>
  <c r="T62" s="1"/>
  <c r="X62"/>
  <c r="C62"/>
  <c r="S61"/>
  <c r="R61"/>
  <c r="T61" s="1"/>
  <c r="X61"/>
  <c r="C61"/>
  <c r="S60"/>
  <c r="R60"/>
  <c r="T60" s="1"/>
  <c r="X60"/>
  <c r="C60"/>
  <c r="S59"/>
  <c r="R59"/>
  <c r="X59"/>
  <c r="C59"/>
  <c r="S58"/>
  <c r="R58"/>
  <c r="X58"/>
  <c r="C58"/>
  <c r="S57"/>
  <c r="R57"/>
  <c r="X57"/>
  <c r="C57"/>
  <c r="S56"/>
  <c r="R56"/>
  <c r="T56" s="1"/>
  <c r="X56"/>
  <c r="C56"/>
  <c r="X55"/>
  <c r="C55"/>
  <c r="X54"/>
  <c r="C54"/>
  <c r="C53"/>
  <c r="W52"/>
  <c r="C52"/>
  <c r="X50"/>
  <c r="C50"/>
  <c r="X49"/>
  <c r="C49"/>
  <c r="C48"/>
  <c r="X47"/>
  <c r="C47"/>
  <c r="X46"/>
  <c r="C46"/>
  <c r="O45"/>
  <c r="N45"/>
  <c r="M45"/>
  <c r="L45"/>
  <c r="K45"/>
  <c r="J45"/>
  <c r="I45"/>
  <c r="H45"/>
  <c r="G45"/>
  <c r="F45"/>
  <c r="E45"/>
  <c r="C45"/>
  <c r="C44"/>
  <c r="X43"/>
  <c r="C43"/>
  <c r="X42"/>
  <c r="C42"/>
  <c r="X41"/>
  <c r="C41"/>
  <c r="C40"/>
  <c r="X39"/>
  <c r="C39"/>
  <c r="I38"/>
  <c r="H38"/>
  <c r="G38"/>
  <c r="F38"/>
  <c r="E38"/>
  <c r="C38"/>
  <c r="X37"/>
  <c r="C37"/>
  <c r="C36"/>
  <c r="X35"/>
  <c r="C35"/>
  <c r="X34"/>
  <c r="C34"/>
  <c r="O33"/>
  <c r="N33"/>
  <c r="M33"/>
  <c r="L33"/>
  <c r="K33"/>
  <c r="J33"/>
  <c r="I33"/>
  <c r="H33"/>
  <c r="G33"/>
  <c r="F33"/>
  <c r="E33"/>
  <c r="C33"/>
  <c r="C32"/>
  <c r="X31"/>
  <c r="C31"/>
  <c r="X30"/>
  <c r="C30"/>
  <c r="X29"/>
  <c r="C29"/>
  <c r="O28"/>
  <c r="N28"/>
  <c r="M28"/>
  <c r="L28"/>
  <c r="K28"/>
  <c r="J28"/>
  <c r="I28"/>
  <c r="H28"/>
  <c r="G28"/>
  <c r="F28"/>
  <c r="E28"/>
  <c r="C28"/>
  <c r="X27"/>
  <c r="C27"/>
  <c r="X26"/>
  <c r="C26"/>
  <c r="X25"/>
  <c r="C25"/>
  <c r="C24"/>
  <c r="X23"/>
  <c r="C23"/>
  <c r="X22"/>
  <c r="C22"/>
  <c r="X21"/>
  <c r="C21"/>
  <c r="O20"/>
  <c r="N20"/>
  <c r="M20"/>
  <c r="L20"/>
  <c r="K20"/>
  <c r="J20"/>
  <c r="I20"/>
  <c r="H20"/>
  <c r="G20"/>
  <c r="F20"/>
  <c r="E20"/>
  <c r="C20"/>
  <c r="K87"/>
  <c r="C19"/>
  <c r="O18"/>
  <c r="N18"/>
  <c r="M18"/>
  <c r="L18"/>
  <c r="K18"/>
  <c r="J18"/>
  <c r="I18"/>
  <c r="H18"/>
  <c r="G18"/>
  <c r="F18"/>
  <c r="E18"/>
  <c r="D18"/>
  <c r="C17"/>
  <c r="C14"/>
  <c r="D8"/>
  <c r="D7"/>
  <c r="O53" i="16" l="1"/>
  <c r="R52" i="31"/>
  <c r="P53"/>
  <c r="F53" i="16" s="1"/>
  <c r="X52" i="31"/>
  <c r="R52" i="16"/>
  <c r="G19" i="31"/>
  <c r="R20" i="16"/>
  <c r="F19" i="31"/>
  <c r="E19"/>
  <c r="K88"/>
  <c r="K93"/>
  <c r="K98" s="1"/>
  <c r="K94" s="1"/>
  <c r="F87"/>
  <c r="P28"/>
  <c r="F28" i="16" s="1"/>
  <c r="T63" i="31"/>
  <c r="T64"/>
  <c r="T65"/>
  <c r="T71"/>
  <c r="T72"/>
  <c r="X53"/>
  <c r="P45"/>
  <c r="F45" i="16" s="1"/>
  <c r="P38" i="31"/>
  <c r="F38" i="16" s="1"/>
  <c r="F88" i="31"/>
  <c r="P89"/>
  <c r="F89" i="16" s="1"/>
  <c r="O87" i="31"/>
  <c r="P20"/>
  <c r="P33"/>
  <c r="G87"/>
  <c r="T57"/>
  <c r="T59"/>
  <c r="T66"/>
  <c r="T67"/>
  <c r="T68"/>
  <c r="T70"/>
  <c r="T73"/>
  <c r="T74"/>
  <c r="T77"/>
  <c r="T78"/>
  <c r="T82"/>
  <c r="T83"/>
  <c r="T58"/>
  <c r="R54"/>
  <c r="R55"/>
  <c r="R53"/>
  <c r="R85"/>
  <c r="X45"/>
  <c r="M87"/>
  <c r="L87"/>
  <c r="X28"/>
  <c r="J87"/>
  <c r="N87"/>
  <c r="I87"/>
  <c r="X38"/>
  <c r="H87"/>
  <c r="E87"/>
  <c r="X48"/>
  <c r="X71"/>
  <c r="X73"/>
  <c r="X75"/>
  <c r="X77"/>
  <c r="X79"/>
  <c r="X82"/>
  <c r="X84"/>
  <c r="X24"/>
  <c r="X32"/>
  <c r="X36"/>
  <c r="X40"/>
  <c r="X44"/>
  <c r="F93" l="1"/>
  <c r="E88"/>
  <c r="E93"/>
  <c r="E98" s="1"/>
  <c r="N88"/>
  <c r="N93"/>
  <c r="N98" s="1"/>
  <c r="N94" s="1"/>
  <c r="M88"/>
  <c r="M93"/>
  <c r="M98" s="1"/>
  <c r="M94" s="1"/>
  <c r="O88"/>
  <c r="O93"/>
  <c r="O98" s="1"/>
  <c r="O94" s="1"/>
  <c r="H93"/>
  <c r="H98" s="1"/>
  <c r="H94" s="1"/>
  <c r="H88"/>
  <c r="I88"/>
  <c r="I93"/>
  <c r="I98" s="1"/>
  <c r="I94" s="1"/>
  <c r="J88"/>
  <c r="J93"/>
  <c r="J98" s="1"/>
  <c r="J94" s="1"/>
  <c r="L88"/>
  <c r="L93"/>
  <c r="L98" s="1"/>
  <c r="L94" s="1"/>
  <c r="G88"/>
  <c r="G93"/>
  <c r="G98" s="1"/>
  <c r="G94" s="1"/>
  <c r="P87"/>
  <c r="F87" i="16" s="1"/>
  <c r="F98" i="31"/>
  <c r="X33"/>
  <c r="F33" i="16"/>
  <c r="X20" i="31"/>
  <c r="F20" i="16"/>
  <c r="E94" i="31"/>
  <c r="X89"/>
  <c r="P19"/>
  <c r="D88"/>
  <c r="D93"/>
  <c r="O45" i="29"/>
  <c r="N45"/>
  <c r="M45"/>
  <c r="L45"/>
  <c r="K45"/>
  <c r="J45"/>
  <c r="I45"/>
  <c r="H45"/>
  <c r="G45"/>
  <c r="F45"/>
  <c r="O45" i="16" s="1"/>
  <c r="E45" i="29"/>
  <c r="D45"/>
  <c r="O38"/>
  <c r="N38"/>
  <c r="M38"/>
  <c r="L38"/>
  <c r="K38"/>
  <c r="J38"/>
  <c r="I38"/>
  <c r="H38"/>
  <c r="G38"/>
  <c r="F38"/>
  <c r="O38" i="16" s="1"/>
  <c r="E38" i="29"/>
  <c r="D38"/>
  <c r="O33"/>
  <c r="N33"/>
  <c r="M33"/>
  <c r="L33"/>
  <c r="K33"/>
  <c r="J33"/>
  <c r="I33"/>
  <c r="H33"/>
  <c r="G33"/>
  <c r="F33"/>
  <c r="O33" i="16" s="1"/>
  <c r="E33" i="29"/>
  <c r="D33"/>
  <c r="O28"/>
  <c r="N28"/>
  <c r="M28"/>
  <c r="L28"/>
  <c r="K28"/>
  <c r="J28"/>
  <c r="I28"/>
  <c r="H28"/>
  <c r="G28"/>
  <c r="F28"/>
  <c r="O28" i="16" s="1"/>
  <c r="E28" i="29"/>
  <c r="D28"/>
  <c r="O20"/>
  <c r="N20"/>
  <c r="M20"/>
  <c r="L20"/>
  <c r="K20"/>
  <c r="J20"/>
  <c r="I20"/>
  <c r="H20"/>
  <c r="G20"/>
  <c r="F20"/>
  <c r="E20"/>
  <c r="D20"/>
  <c r="C99"/>
  <c r="C98"/>
  <c r="C97"/>
  <c r="C51"/>
  <c r="C96"/>
  <c r="C95"/>
  <c r="C94"/>
  <c r="C93"/>
  <c r="P92"/>
  <c r="Q92" s="1"/>
  <c r="C92"/>
  <c r="P91"/>
  <c r="Q91" s="1"/>
  <c r="C91"/>
  <c r="P90"/>
  <c r="Q90" s="1"/>
  <c r="C90"/>
  <c r="O89"/>
  <c r="N89"/>
  <c r="M89"/>
  <c r="L89"/>
  <c r="K89"/>
  <c r="J89"/>
  <c r="I89"/>
  <c r="H89"/>
  <c r="G89"/>
  <c r="F89"/>
  <c r="O89" i="16" s="1"/>
  <c r="E89" i="29"/>
  <c r="D89"/>
  <c r="C89"/>
  <c r="C88"/>
  <c r="C87"/>
  <c r="P85"/>
  <c r="Q85" s="1"/>
  <c r="C85"/>
  <c r="P84"/>
  <c r="Q84" s="1"/>
  <c r="C84"/>
  <c r="P83"/>
  <c r="Q83" s="1"/>
  <c r="C83"/>
  <c r="P82"/>
  <c r="Q82" s="1"/>
  <c r="C82"/>
  <c r="P81"/>
  <c r="Q81" s="1"/>
  <c r="C81"/>
  <c r="P79"/>
  <c r="Q79" s="1"/>
  <c r="C79"/>
  <c r="P78"/>
  <c r="Q78" s="1"/>
  <c r="C78"/>
  <c r="P77"/>
  <c r="Q77" s="1"/>
  <c r="C77"/>
  <c r="P76"/>
  <c r="Q76" s="1"/>
  <c r="C76"/>
  <c r="C75"/>
  <c r="P74"/>
  <c r="Q74" s="1"/>
  <c r="C74"/>
  <c r="P73"/>
  <c r="Q73" s="1"/>
  <c r="C73"/>
  <c r="P72"/>
  <c r="Q72" s="1"/>
  <c r="C72"/>
  <c r="P71"/>
  <c r="Q71" s="1"/>
  <c r="C71"/>
  <c r="P70"/>
  <c r="Q70" s="1"/>
  <c r="C70"/>
  <c r="C69"/>
  <c r="P68"/>
  <c r="Q68" s="1"/>
  <c r="P67"/>
  <c r="Q67" s="1"/>
  <c r="C67"/>
  <c r="P66"/>
  <c r="Q66" s="1"/>
  <c r="C66"/>
  <c r="P65"/>
  <c r="Q65" s="1"/>
  <c r="C65"/>
  <c r="P64"/>
  <c r="Q64" s="1"/>
  <c r="C64"/>
  <c r="P63"/>
  <c r="Q63" s="1"/>
  <c r="C63"/>
  <c r="P62"/>
  <c r="Q62" s="1"/>
  <c r="C62"/>
  <c r="P61"/>
  <c r="Q61" s="1"/>
  <c r="C61"/>
  <c r="P60"/>
  <c r="Q60" s="1"/>
  <c r="C60"/>
  <c r="P59"/>
  <c r="Q59" s="1"/>
  <c r="C59"/>
  <c r="P58"/>
  <c r="Q58" s="1"/>
  <c r="C58"/>
  <c r="P57"/>
  <c r="Q57" s="1"/>
  <c r="C57"/>
  <c r="P56"/>
  <c r="Q56" s="1"/>
  <c r="C56"/>
  <c r="C55"/>
  <c r="C54"/>
  <c r="C53"/>
  <c r="C52"/>
  <c r="P50"/>
  <c r="Q50" s="1"/>
  <c r="C50"/>
  <c r="P49"/>
  <c r="Q49" s="1"/>
  <c r="C49"/>
  <c r="P48"/>
  <c r="Q48" s="1"/>
  <c r="C48"/>
  <c r="P47"/>
  <c r="Q47" s="1"/>
  <c r="C47"/>
  <c r="P46"/>
  <c r="Q46" s="1"/>
  <c r="C46"/>
  <c r="P45"/>
  <c r="Q45" s="1"/>
  <c r="C45"/>
  <c r="P44"/>
  <c r="Q44" s="1"/>
  <c r="C44"/>
  <c r="P43"/>
  <c r="Q43" s="1"/>
  <c r="C43"/>
  <c r="P42"/>
  <c r="Q42" s="1"/>
  <c r="C42"/>
  <c r="P41"/>
  <c r="Q41" s="1"/>
  <c r="C41"/>
  <c r="P40"/>
  <c r="Q40" s="1"/>
  <c r="C40"/>
  <c r="P39"/>
  <c r="Q39" s="1"/>
  <c r="C39"/>
  <c r="P38"/>
  <c r="Q38" s="1"/>
  <c r="C38"/>
  <c r="P37"/>
  <c r="Q37" s="1"/>
  <c r="C37"/>
  <c r="P36"/>
  <c r="Q36" s="1"/>
  <c r="C36"/>
  <c r="P35"/>
  <c r="Q35" s="1"/>
  <c r="C35"/>
  <c r="P34"/>
  <c r="Q34" s="1"/>
  <c r="C34"/>
  <c r="P33"/>
  <c r="Q33" s="1"/>
  <c r="C33"/>
  <c r="P32"/>
  <c r="Q32" s="1"/>
  <c r="C32"/>
  <c r="P31"/>
  <c r="Q31" s="1"/>
  <c r="C31"/>
  <c r="P30"/>
  <c r="Q30" s="1"/>
  <c r="C30"/>
  <c r="P29"/>
  <c r="Q29" s="1"/>
  <c r="C29"/>
  <c r="P28"/>
  <c r="Q28" s="1"/>
  <c r="C28"/>
  <c r="P27"/>
  <c r="Q27" s="1"/>
  <c r="C27"/>
  <c r="P26"/>
  <c r="Q26" s="1"/>
  <c r="C26"/>
  <c r="P25"/>
  <c r="Q25" s="1"/>
  <c r="C25"/>
  <c r="P24"/>
  <c r="Q24" s="1"/>
  <c r="C24"/>
  <c r="P23"/>
  <c r="Q23" s="1"/>
  <c r="C23"/>
  <c r="P22"/>
  <c r="Q22" s="1"/>
  <c r="C22"/>
  <c r="P21"/>
  <c r="Q21" s="1"/>
  <c r="C21"/>
  <c r="P20"/>
  <c r="Q20" s="1"/>
  <c r="C20"/>
  <c r="C19"/>
  <c r="P18"/>
  <c r="O18"/>
  <c r="N18"/>
  <c r="M18"/>
  <c r="L18"/>
  <c r="K18"/>
  <c r="J18"/>
  <c r="I18"/>
  <c r="H18"/>
  <c r="G18"/>
  <c r="F18"/>
  <c r="E18"/>
  <c r="D18"/>
  <c r="C14"/>
  <c r="F9"/>
  <c r="G8"/>
  <c r="F22" i="18"/>
  <c r="F20"/>
  <c r="F21"/>
  <c r="X87" i="31" l="1"/>
  <c r="O19" i="16"/>
  <c r="O20"/>
  <c r="F94" i="31"/>
  <c r="X19"/>
  <c r="F19" i="16"/>
  <c r="D98" i="31"/>
  <c r="P93"/>
  <c r="F93" i="16" s="1"/>
  <c r="P88" i="31"/>
  <c r="E87" i="29"/>
  <c r="E93" s="1"/>
  <c r="E98" s="1"/>
  <c r="G87"/>
  <c r="I87"/>
  <c r="K87"/>
  <c r="M87"/>
  <c r="O87"/>
  <c r="P19"/>
  <c r="Q19" s="1"/>
  <c r="P54"/>
  <c r="Q54" s="1"/>
  <c r="P75"/>
  <c r="Q75" s="1"/>
  <c r="P55"/>
  <c r="Q55" s="1"/>
  <c r="P89"/>
  <c r="Q89" s="1"/>
  <c r="Q19" i="31"/>
  <c r="E88" i="29"/>
  <c r="G93"/>
  <c r="G98" s="1"/>
  <c r="G94" s="1"/>
  <c r="G88"/>
  <c r="I93"/>
  <c r="I98" s="1"/>
  <c r="I94" s="1"/>
  <c r="I88"/>
  <c r="K93"/>
  <c r="K98" s="1"/>
  <c r="K94" s="1"/>
  <c r="K88"/>
  <c r="M93"/>
  <c r="M98" s="1"/>
  <c r="M94" s="1"/>
  <c r="M88"/>
  <c r="O93"/>
  <c r="O98" s="1"/>
  <c r="O94" s="1"/>
  <c r="O88"/>
  <c r="P52"/>
  <c r="Q52" s="1"/>
  <c r="D87"/>
  <c r="F87"/>
  <c r="O87" i="16" s="1"/>
  <c r="H87" i="29"/>
  <c r="J87"/>
  <c r="L87"/>
  <c r="N87"/>
  <c r="P69"/>
  <c r="Q69" s="1"/>
  <c r="X93" i="31" l="1"/>
  <c r="E94" i="29"/>
  <c r="X88" i="31"/>
  <c r="F88" i="16"/>
  <c r="D94" i="31"/>
  <c r="P98"/>
  <c r="N93" i="29"/>
  <c r="N98" s="1"/>
  <c r="N94" s="1"/>
  <c r="N88"/>
  <c r="L93"/>
  <c r="L98" s="1"/>
  <c r="L94" s="1"/>
  <c r="L88"/>
  <c r="J93"/>
  <c r="J98" s="1"/>
  <c r="J94" s="1"/>
  <c r="J88"/>
  <c r="H93"/>
  <c r="H98" s="1"/>
  <c r="H94" s="1"/>
  <c r="H88"/>
  <c r="F93"/>
  <c r="F88"/>
  <c r="O88" i="16" s="1"/>
  <c r="D93" i="29"/>
  <c r="D88"/>
  <c r="P87"/>
  <c r="Q87" s="1"/>
  <c r="P53"/>
  <c r="Q53" s="1"/>
  <c r="F98" l="1"/>
  <c r="O93" i="16"/>
  <c r="P88" i="29"/>
  <c r="Q88" s="1"/>
  <c r="X98" i="31"/>
  <c r="F98" i="16"/>
  <c r="P94" i="31"/>
  <c r="D98" i="29"/>
  <c r="P93"/>
  <c r="Q93" s="1"/>
  <c r="F94" l="1"/>
  <c r="O98" i="16"/>
  <c r="X94" i="31"/>
  <c r="F94" i="16"/>
  <c r="O94"/>
  <c r="P98" i="29"/>
  <c r="Q98" s="1"/>
  <c r="D94"/>
  <c r="P94" l="1"/>
  <c r="Q94" s="1"/>
  <c r="Q85" i="26"/>
  <c r="O55"/>
  <c r="O54" s="1"/>
  <c r="O52" s="1"/>
  <c r="N55"/>
  <c r="N54" s="1"/>
  <c r="N52" s="1"/>
  <c r="M55"/>
  <c r="M54" s="1"/>
  <c r="M52" s="1"/>
  <c r="L55"/>
  <c r="L54" s="1"/>
  <c r="L52" s="1"/>
  <c r="K55"/>
  <c r="K54" s="1"/>
  <c r="K52" s="1"/>
  <c r="J55"/>
  <c r="J54" s="1"/>
  <c r="J52" s="1"/>
  <c r="I55"/>
  <c r="I54" s="1"/>
  <c r="I52" s="1"/>
  <c r="H55"/>
  <c r="H54" s="1"/>
  <c r="H52" s="1"/>
  <c r="G55"/>
  <c r="G54" s="1"/>
  <c r="G52" s="1"/>
  <c r="F55"/>
  <c r="F54" s="1"/>
  <c r="F52" s="1"/>
  <c r="E55"/>
  <c r="E54" s="1"/>
  <c r="E52" s="1"/>
  <c r="D55"/>
  <c r="D54" s="1"/>
  <c r="P67"/>
  <c r="Q67" s="1"/>
  <c r="O69"/>
  <c r="N69"/>
  <c r="M69"/>
  <c r="L69"/>
  <c r="K69"/>
  <c r="J69"/>
  <c r="I69"/>
  <c r="H69"/>
  <c r="G69"/>
  <c r="F69"/>
  <c r="E69"/>
  <c r="D69"/>
  <c r="O75"/>
  <c r="N75"/>
  <c r="M75"/>
  <c r="L75"/>
  <c r="K75"/>
  <c r="J75"/>
  <c r="I75"/>
  <c r="H75"/>
  <c r="G75"/>
  <c r="F75"/>
  <c r="E75"/>
  <c r="D75"/>
  <c r="I88"/>
  <c r="D88"/>
  <c r="O20"/>
  <c r="N20"/>
  <c r="M20"/>
  <c r="L20"/>
  <c r="K20"/>
  <c r="J20"/>
  <c r="I20"/>
  <c r="H20"/>
  <c r="G20"/>
  <c r="F20"/>
  <c r="E20"/>
  <c r="D20"/>
  <c r="O28"/>
  <c r="N28"/>
  <c r="M28"/>
  <c r="L28"/>
  <c r="K28"/>
  <c r="J28"/>
  <c r="I28"/>
  <c r="H28"/>
  <c r="G28"/>
  <c r="F28"/>
  <c r="E28"/>
  <c r="D28"/>
  <c r="O33"/>
  <c r="N33"/>
  <c r="M33"/>
  <c r="L33"/>
  <c r="K33"/>
  <c r="J33"/>
  <c r="I33"/>
  <c r="H33"/>
  <c r="G33"/>
  <c r="F33"/>
  <c r="E33"/>
  <c r="D33"/>
  <c r="O38"/>
  <c r="N38"/>
  <c r="M38"/>
  <c r="L38"/>
  <c r="K38"/>
  <c r="J38"/>
  <c r="I38"/>
  <c r="H38"/>
  <c r="G38"/>
  <c r="F38"/>
  <c r="E38"/>
  <c r="D38"/>
  <c r="O45"/>
  <c r="N45"/>
  <c r="M45"/>
  <c r="L45"/>
  <c r="K45"/>
  <c r="J45"/>
  <c r="I45"/>
  <c r="H45"/>
  <c r="G45"/>
  <c r="F45"/>
  <c r="E45"/>
  <c r="D45"/>
  <c r="D52" l="1"/>
  <c r="D53" s="1"/>
  <c r="N53"/>
  <c r="N86"/>
  <c r="L53"/>
  <c r="L86"/>
  <c r="J53"/>
  <c r="J86"/>
  <c r="H53"/>
  <c r="H86"/>
  <c r="F53"/>
  <c r="F86"/>
  <c r="O53"/>
  <c r="O86"/>
  <c r="M53"/>
  <c r="M86"/>
  <c r="K53"/>
  <c r="K86"/>
  <c r="I53"/>
  <c r="I86"/>
  <c r="G53"/>
  <c r="G86"/>
  <c r="E53"/>
  <c r="E86"/>
  <c r="C68" i="15"/>
  <c r="O89"/>
  <c r="N89"/>
  <c r="D86" i="26" l="1"/>
  <c r="O45" i="15"/>
  <c r="O38"/>
  <c r="O33"/>
  <c r="O28"/>
  <c r="D14" i="22"/>
  <c r="K18" i="16" l="1"/>
  <c r="D14" i="15"/>
  <c r="Q95" i="16"/>
  <c r="Q91"/>
  <c r="Q76"/>
  <c r="Q78"/>
  <c r="Q58"/>
  <c r="Q49"/>
  <c r="Q71"/>
  <c r="Q23"/>
  <c r="Q25"/>
  <c r="Q27"/>
  <c r="N45" i="15"/>
  <c r="N38"/>
  <c r="N33"/>
  <c r="N28"/>
  <c r="P85"/>
  <c r="E45"/>
  <c r="F45"/>
  <c r="R45" i="16" s="1"/>
  <c r="G45" i="15"/>
  <c r="H45"/>
  <c r="I45"/>
  <c r="J45"/>
  <c r="K45"/>
  <c r="L45"/>
  <c r="M45"/>
  <c r="D45"/>
  <c r="E38"/>
  <c r="F38"/>
  <c r="R38" i="16" s="1"/>
  <c r="G38" i="15"/>
  <c r="H38"/>
  <c r="I38"/>
  <c r="J38"/>
  <c r="K38"/>
  <c r="L38"/>
  <c r="M38"/>
  <c r="D38"/>
  <c r="E33"/>
  <c r="F33"/>
  <c r="R33" i="16" s="1"/>
  <c r="G33" i="15"/>
  <c r="H33"/>
  <c r="I33"/>
  <c r="J33"/>
  <c r="K33"/>
  <c r="L33"/>
  <c r="M33"/>
  <c r="D33"/>
  <c r="E28"/>
  <c r="F28"/>
  <c r="G28"/>
  <c r="H28"/>
  <c r="I28"/>
  <c r="J28"/>
  <c r="K28"/>
  <c r="L28"/>
  <c r="M28"/>
  <c r="D28"/>
  <c r="E87"/>
  <c r="H87"/>
  <c r="I87"/>
  <c r="L87"/>
  <c r="M87"/>
  <c r="M89"/>
  <c r="L89"/>
  <c r="K89"/>
  <c r="J89"/>
  <c r="I89"/>
  <c r="H89"/>
  <c r="G89"/>
  <c r="F89"/>
  <c r="R89" i="16" s="1"/>
  <c r="E89" i="15"/>
  <c r="D89"/>
  <c r="R18" i="16"/>
  <c r="D20" i="14"/>
  <c r="D28"/>
  <c r="D33"/>
  <c r="D38"/>
  <c r="D45"/>
  <c r="Q35" i="16"/>
  <c r="N73"/>
  <c r="N50"/>
  <c r="N26"/>
  <c r="P43" i="15"/>
  <c r="D54" i="14"/>
  <c r="S55" i="31" s="1"/>
  <c r="T55" s="1"/>
  <c r="D68" i="14"/>
  <c r="S69" i="31" s="1"/>
  <c r="T69" s="1"/>
  <c r="D74" i="14"/>
  <c r="S75" i="31" s="1"/>
  <c r="T75" s="1"/>
  <c r="D86" i="14"/>
  <c r="L20"/>
  <c r="L28"/>
  <c r="L33"/>
  <c r="L38"/>
  <c r="L45"/>
  <c r="P21" i="15"/>
  <c r="P22"/>
  <c r="P23"/>
  <c r="P24"/>
  <c r="P25"/>
  <c r="P26"/>
  <c r="P27"/>
  <c r="P29"/>
  <c r="P30"/>
  <c r="P31"/>
  <c r="P32"/>
  <c r="P34"/>
  <c r="P35"/>
  <c r="P36"/>
  <c r="P37"/>
  <c r="P39"/>
  <c r="P40"/>
  <c r="P41"/>
  <c r="P42"/>
  <c r="P44"/>
  <c r="P46"/>
  <c r="P47"/>
  <c r="P48"/>
  <c r="P49"/>
  <c r="P50"/>
  <c r="E20" i="14"/>
  <c r="F20"/>
  <c r="G20"/>
  <c r="H20"/>
  <c r="I20"/>
  <c r="J20"/>
  <c r="K20"/>
  <c r="E28"/>
  <c r="F28"/>
  <c r="G28"/>
  <c r="H28"/>
  <c r="I28"/>
  <c r="J28"/>
  <c r="K28"/>
  <c r="E33"/>
  <c r="F33"/>
  <c r="G33"/>
  <c r="H33"/>
  <c r="I33"/>
  <c r="J33"/>
  <c r="K33"/>
  <c r="E38"/>
  <c r="F38"/>
  <c r="G38"/>
  <c r="H38"/>
  <c r="I38"/>
  <c r="J38"/>
  <c r="K38"/>
  <c r="E45"/>
  <c r="F45"/>
  <c r="G45"/>
  <c r="H45"/>
  <c r="I45"/>
  <c r="J45"/>
  <c r="K45"/>
  <c r="L88" i="26"/>
  <c r="L54" i="14"/>
  <c r="L53" s="1"/>
  <c r="L68"/>
  <c r="L74"/>
  <c r="L86"/>
  <c r="P69" i="15"/>
  <c r="E54" i="14"/>
  <c r="E53" s="1"/>
  <c r="E51" s="1"/>
  <c r="E68"/>
  <c r="E74"/>
  <c r="E86"/>
  <c r="F54"/>
  <c r="F53" s="1"/>
  <c r="F68"/>
  <c r="F74"/>
  <c r="F86"/>
  <c r="G54"/>
  <c r="G53" s="1"/>
  <c r="G68"/>
  <c r="G74"/>
  <c r="G86"/>
  <c r="H54"/>
  <c r="H53" s="1"/>
  <c r="H68"/>
  <c r="H74"/>
  <c r="H86"/>
  <c r="I54"/>
  <c r="I53" s="1"/>
  <c r="I68"/>
  <c r="I74"/>
  <c r="I86"/>
  <c r="J54"/>
  <c r="J53"/>
  <c r="J68"/>
  <c r="J74"/>
  <c r="J86"/>
  <c r="K54"/>
  <c r="K53" s="1"/>
  <c r="K68"/>
  <c r="K74"/>
  <c r="K86"/>
  <c r="P97" i="15"/>
  <c r="P51"/>
  <c r="P96"/>
  <c r="P95"/>
  <c r="P92"/>
  <c r="P91"/>
  <c r="P90"/>
  <c r="P84"/>
  <c r="P83"/>
  <c r="P82"/>
  <c r="P81"/>
  <c r="P79"/>
  <c r="P78"/>
  <c r="P77"/>
  <c r="P76"/>
  <c r="P75"/>
  <c r="P74"/>
  <c r="P73"/>
  <c r="P72"/>
  <c r="P71"/>
  <c r="P70"/>
  <c r="X70" s="1"/>
  <c r="P68"/>
  <c r="P67"/>
  <c r="P66"/>
  <c r="P65"/>
  <c r="P64"/>
  <c r="P63"/>
  <c r="P62"/>
  <c r="P61"/>
  <c r="P60"/>
  <c r="P59"/>
  <c r="P58"/>
  <c r="P57"/>
  <c r="P56"/>
  <c r="E88" i="26"/>
  <c r="F88"/>
  <c r="G88"/>
  <c r="H88"/>
  <c r="J88"/>
  <c r="K88"/>
  <c r="E33" i="18"/>
  <c r="T41"/>
  <c r="U41"/>
  <c r="V41"/>
  <c r="W41"/>
  <c r="X41"/>
  <c r="Y41"/>
  <c r="Z41"/>
  <c r="AA41"/>
  <c r="S30"/>
  <c r="R30"/>
  <c r="Q30"/>
  <c r="P30"/>
  <c r="O30"/>
  <c r="N30"/>
  <c r="M30"/>
  <c r="L30"/>
  <c r="R29"/>
  <c r="J29"/>
  <c r="P29"/>
  <c r="H29"/>
  <c r="N29"/>
  <c r="F29"/>
  <c r="L29"/>
  <c r="D29"/>
  <c r="M41"/>
  <c r="N41"/>
  <c r="O41"/>
  <c r="P63" i="26"/>
  <c r="Q63" s="1"/>
  <c r="O18" i="16"/>
  <c r="C85" i="26"/>
  <c r="J33" i="18"/>
  <c r="K33" s="1"/>
  <c r="J32"/>
  <c r="H31"/>
  <c r="I31" s="1"/>
  <c r="F31"/>
  <c r="D31"/>
  <c r="E31" s="1"/>
  <c r="K30"/>
  <c r="J30"/>
  <c r="I30"/>
  <c r="H30"/>
  <c r="G30"/>
  <c r="F30"/>
  <c r="E30"/>
  <c r="D30"/>
  <c r="D20"/>
  <c r="E20" s="1"/>
  <c r="I19"/>
  <c r="H19"/>
  <c r="G19"/>
  <c r="F19"/>
  <c r="E19"/>
  <c r="D19"/>
  <c r="N46" i="16"/>
  <c r="W52" i="15"/>
  <c r="S56"/>
  <c r="S57"/>
  <c r="S58"/>
  <c r="S59"/>
  <c r="S60"/>
  <c r="S61"/>
  <c r="S62"/>
  <c r="S63"/>
  <c r="S64"/>
  <c r="S65"/>
  <c r="S66"/>
  <c r="S67"/>
  <c r="S68"/>
  <c r="S70"/>
  <c r="S71"/>
  <c r="S72"/>
  <c r="S73"/>
  <c r="S74"/>
  <c r="S76"/>
  <c r="S77"/>
  <c r="S78"/>
  <c r="S79"/>
  <c r="S81"/>
  <c r="S82"/>
  <c r="S83"/>
  <c r="S84"/>
  <c r="D68" i="16"/>
  <c r="P67" i="14"/>
  <c r="P96" i="26"/>
  <c r="Q96" s="1"/>
  <c r="P51"/>
  <c r="Q51" s="1"/>
  <c r="P95"/>
  <c r="Q95" s="1"/>
  <c r="P94"/>
  <c r="Q94" s="1"/>
  <c r="P91"/>
  <c r="Q91" s="1"/>
  <c r="P90"/>
  <c r="Q90" s="1"/>
  <c r="P89"/>
  <c r="Q89" s="1"/>
  <c r="O88"/>
  <c r="N88"/>
  <c r="M88"/>
  <c r="P84"/>
  <c r="Q84" s="1"/>
  <c r="P83"/>
  <c r="Q83" s="1"/>
  <c r="P82"/>
  <c r="Q82" s="1"/>
  <c r="P81"/>
  <c r="Q81" s="1"/>
  <c r="P80"/>
  <c r="Q80" s="1"/>
  <c r="P79"/>
  <c r="Q79" s="1"/>
  <c r="P78"/>
  <c r="Q78" s="1"/>
  <c r="P77"/>
  <c r="Q77" s="1"/>
  <c r="P76"/>
  <c r="Q76" s="1"/>
  <c r="P74"/>
  <c r="Q74" s="1"/>
  <c r="P73"/>
  <c r="Q73" s="1"/>
  <c r="P72"/>
  <c r="Q72" s="1"/>
  <c r="P71"/>
  <c r="Q71" s="1"/>
  <c r="P70"/>
  <c r="Q70" s="1"/>
  <c r="P66"/>
  <c r="Q66" s="1"/>
  <c r="P61"/>
  <c r="Q61" s="1"/>
  <c r="P60"/>
  <c r="Q60" s="1"/>
  <c r="P59"/>
  <c r="Q59" s="1"/>
  <c r="P58"/>
  <c r="Q58" s="1"/>
  <c r="P57"/>
  <c r="Q57" s="1"/>
  <c r="P56"/>
  <c r="Q56" s="1"/>
  <c r="P50"/>
  <c r="Q50" s="1"/>
  <c r="P49"/>
  <c r="Q49" s="1"/>
  <c r="P48"/>
  <c r="Q48" s="1"/>
  <c r="P47"/>
  <c r="Q47" s="1"/>
  <c r="P46"/>
  <c r="Q46" s="1"/>
  <c r="P44"/>
  <c r="Q44" s="1"/>
  <c r="P43"/>
  <c r="Q43" s="1"/>
  <c r="P42"/>
  <c r="Q42" s="1"/>
  <c r="P41"/>
  <c r="Q41" s="1"/>
  <c r="P40"/>
  <c r="Q40" s="1"/>
  <c r="P39"/>
  <c r="Q39" s="1"/>
  <c r="P37"/>
  <c r="Q37" s="1"/>
  <c r="P36"/>
  <c r="Q36" s="1"/>
  <c r="P35"/>
  <c r="Q35" s="1"/>
  <c r="P34"/>
  <c r="Q34" s="1"/>
  <c r="P32"/>
  <c r="Q32" s="1"/>
  <c r="P31"/>
  <c r="Q31" s="1"/>
  <c r="P30"/>
  <c r="Q30" s="1"/>
  <c r="P29"/>
  <c r="Q29" s="1"/>
  <c r="P27"/>
  <c r="Q27" s="1"/>
  <c r="P26"/>
  <c r="Q26" s="1"/>
  <c r="P25"/>
  <c r="Q25" s="1"/>
  <c r="P24"/>
  <c r="Q24" s="1"/>
  <c r="P23"/>
  <c r="Q23" s="1"/>
  <c r="P22"/>
  <c r="Q22" s="1"/>
  <c r="P21"/>
  <c r="Q21" s="1"/>
  <c r="O54" i="14"/>
  <c r="N54"/>
  <c r="M54"/>
  <c r="M53" s="1"/>
  <c r="N36" i="16"/>
  <c r="Q36"/>
  <c r="N48"/>
  <c r="Q48"/>
  <c r="N57"/>
  <c r="Q57"/>
  <c r="N65"/>
  <c r="Q96"/>
  <c r="N47"/>
  <c r="Q73"/>
  <c r="N91"/>
  <c r="N95"/>
  <c r="Q22"/>
  <c r="Q26"/>
  <c r="N30"/>
  <c r="Q30"/>
  <c r="Q34"/>
  <c r="Q42"/>
  <c r="Q46"/>
  <c r="Q50"/>
  <c r="Q59"/>
  <c r="Q72"/>
  <c r="Q81"/>
  <c r="N90"/>
  <c r="Q24"/>
  <c r="N24"/>
  <c r="Q32"/>
  <c r="Q40"/>
  <c r="N40"/>
  <c r="Q44"/>
  <c r="Q61"/>
  <c r="Q70"/>
  <c r="Q83"/>
  <c r="N31"/>
  <c r="N60"/>
  <c r="Q77"/>
  <c r="Q21"/>
  <c r="N37"/>
  <c r="Q66"/>
  <c r="Q79"/>
  <c r="Q84"/>
  <c r="Q51"/>
  <c r="H18"/>
  <c r="S41" i="18"/>
  <c r="R41"/>
  <c r="O84" i="22"/>
  <c r="N84"/>
  <c r="M84"/>
  <c r="L84"/>
  <c r="K84"/>
  <c r="J84"/>
  <c r="I84"/>
  <c r="H84"/>
  <c r="G84"/>
  <c r="F84"/>
  <c r="E84"/>
  <c r="D84"/>
  <c r="P84" s="1"/>
  <c r="C96"/>
  <c r="C95"/>
  <c r="P94"/>
  <c r="C94"/>
  <c r="P93"/>
  <c r="C93"/>
  <c r="P92"/>
  <c r="C92"/>
  <c r="P91"/>
  <c r="C91"/>
  <c r="C90"/>
  <c r="C89"/>
  <c r="P87"/>
  <c r="C87"/>
  <c r="P86"/>
  <c r="C86"/>
  <c r="P85"/>
  <c r="C85"/>
  <c r="C84"/>
  <c r="C83"/>
  <c r="C82"/>
  <c r="P88"/>
  <c r="C88"/>
  <c r="P81"/>
  <c r="C81"/>
  <c r="P80"/>
  <c r="C80"/>
  <c r="P79"/>
  <c r="C79"/>
  <c r="P78"/>
  <c r="C78"/>
  <c r="P77"/>
  <c r="C77"/>
  <c r="P76"/>
  <c r="C76"/>
  <c r="P75"/>
  <c r="C75"/>
  <c r="P74"/>
  <c r="C74"/>
  <c r="O73"/>
  <c r="N73"/>
  <c r="M73"/>
  <c r="L73"/>
  <c r="K73"/>
  <c r="J73"/>
  <c r="I73"/>
  <c r="H73"/>
  <c r="G73"/>
  <c r="F73"/>
  <c r="E73"/>
  <c r="D73"/>
  <c r="C73"/>
  <c r="P72"/>
  <c r="C72"/>
  <c r="P71"/>
  <c r="C71"/>
  <c r="P70"/>
  <c r="C70"/>
  <c r="P69"/>
  <c r="C69"/>
  <c r="P68"/>
  <c r="C68"/>
  <c r="O67"/>
  <c r="N67"/>
  <c r="M67"/>
  <c r="L67"/>
  <c r="K67"/>
  <c r="J67"/>
  <c r="J51" s="1"/>
  <c r="J52" s="1"/>
  <c r="I67"/>
  <c r="H67"/>
  <c r="G67"/>
  <c r="F67"/>
  <c r="E67"/>
  <c r="D67"/>
  <c r="C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P54"/>
  <c r="C54"/>
  <c r="O53"/>
  <c r="N53"/>
  <c r="M53"/>
  <c r="M51" s="1"/>
  <c r="M52" s="1"/>
  <c r="L53"/>
  <c r="K53"/>
  <c r="K51" s="1"/>
  <c r="K52" s="1"/>
  <c r="J53"/>
  <c r="I53"/>
  <c r="I51" s="1"/>
  <c r="H53"/>
  <c r="G53"/>
  <c r="F53"/>
  <c r="E53"/>
  <c r="E51" s="1"/>
  <c r="E52" s="1"/>
  <c r="D53"/>
  <c r="C53"/>
  <c r="C52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C38"/>
  <c r="P37"/>
  <c r="C37"/>
  <c r="P36"/>
  <c r="C36"/>
  <c r="P35"/>
  <c r="C35"/>
  <c r="P34"/>
  <c r="C34"/>
  <c r="O33"/>
  <c r="N33"/>
  <c r="M33"/>
  <c r="L33"/>
  <c r="K33"/>
  <c r="J33"/>
  <c r="I33"/>
  <c r="H33"/>
  <c r="G33"/>
  <c r="F33"/>
  <c r="E33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K20"/>
  <c r="J20"/>
  <c r="J19" s="1"/>
  <c r="I20"/>
  <c r="H20"/>
  <c r="H19" s="1"/>
  <c r="G20"/>
  <c r="F20"/>
  <c r="E20"/>
  <c r="D20"/>
  <c r="C20"/>
  <c r="C19"/>
  <c r="O18"/>
  <c r="N18"/>
  <c r="M18"/>
  <c r="L18"/>
  <c r="K18"/>
  <c r="J18"/>
  <c r="I18"/>
  <c r="H18"/>
  <c r="G18"/>
  <c r="F18"/>
  <c r="E18"/>
  <c r="D18"/>
  <c r="C14"/>
  <c r="F9"/>
  <c r="G8"/>
  <c r="Q41" i="18"/>
  <c r="P41"/>
  <c r="L41"/>
  <c r="O86" i="14"/>
  <c r="N86"/>
  <c r="M86"/>
  <c r="O68"/>
  <c r="O74"/>
  <c r="N68"/>
  <c r="N74"/>
  <c r="M68"/>
  <c r="M74"/>
  <c r="O20"/>
  <c r="O28"/>
  <c r="O33"/>
  <c r="O38"/>
  <c r="O45"/>
  <c r="N20"/>
  <c r="N28"/>
  <c r="N33"/>
  <c r="N38"/>
  <c r="N45"/>
  <c r="M20"/>
  <c r="M28"/>
  <c r="M33"/>
  <c r="M38"/>
  <c r="M45"/>
  <c r="G18"/>
  <c r="J40" i="18" s="1"/>
  <c r="K41"/>
  <c r="J41"/>
  <c r="P95" i="14"/>
  <c r="P94"/>
  <c r="P93"/>
  <c r="P92"/>
  <c r="P83"/>
  <c r="P89"/>
  <c r="P88"/>
  <c r="P87"/>
  <c r="P82"/>
  <c r="P81"/>
  <c r="P80"/>
  <c r="P79"/>
  <c r="P78"/>
  <c r="P77"/>
  <c r="P76"/>
  <c r="P75"/>
  <c r="P73"/>
  <c r="P72"/>
  <c r="P71"/>
  <c r="P70"/>
  <c r="P69"/>
  <c r="P66"/>
  <c r="P65"/>
  <c r="P64"/>
  <c r="P63"/>
  <c r="P62"/>
  <c r="P61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C75" i="15"/>
  <c r="I41" i="18"/>
  <c r="H41"/>
  <c r="G41"/>
  <c r="F41"/>
  <c r="C44"/>
  <c r="C33"/>
  <c r="C39"/>
  <c r="C45"/>
  <c r="C43"/>
  <c r="C42"/>
  <c r="E41"/>
  <c r="D41"/>
  <c r="C28"/>
  <c r="C34"/>
  <c r="C23"/>
  <c r="C32"/>
  <c r="C31"/>
  <c r="C22"/>
  <c r="C21"/>
  <c r="C20"/>
  <c r="C18"/>
  <c r="H8"/>
  <c r="I7"/>
  <c r="M18" i="16"/>
  <c r="F18"/>
  <c r="D17"/>
  <c r="D99"/>
  <c r="D98"/>
  <c r="D97"/>
  <c r="D51"/>
  <c r="D96"/>
  <c r="D95"/>
  <c r="D94"/>
  <c r="D93"/>
  <c r="D85"/>
  <c r="D92"/>
  <c r="D91"/>
  <c r="D90"/>
  <c r="D89"/>
  <c r="D88"/>
  <c r="D87"/>
  <c r="D84"/>
  <c r="D83"/>
  <c r="D82"/>
  <c r="D81"/>
  <c r="D79"/>
  <c r="D78"/>
  <c r="D77"/>
  <c r="D76"/>
  <c r="D75"/>
  <c r="D74"/>
  <c r="D73"/>
  <c r="D72"/>
  <c r="D71"/>
  <c r="D70"/>
  <c r="D69"/>
  <c r="D67"/>
  <c r="D66"/>
  <c r="D65"/>
  <c r="D64"/>
  <c r="D63"/>
  <c r="D62"/>
  <c r="D61"/>
  <c r="D60"/>
  <c r="D59"/>
  <c r="D58"/>
  <c r="D57"/>
  <c r="D56"/>
  <c r="D55"/>
  <c r="D54"/>
  <c r="D53"/>
  <c r="D52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H9"/>
  <c r="I8"/>
  <c r="C39" i="15"/>
  <c r="C17"/>
  <c r="D8"/>
  <c r="C99"/>
  <c r="C98"/>
  <c r="C97"/>
  <c r="C51"/>
  <c r="C96"/>
  <c r="C95"/>
  <c r="C94"/>
  <c r="C93"/>
  <c r="C85"/>
  <c r="C92"/>
  <c r="C91"/>
  <c r="C90"/>
  <c r="C89"/>
  <c r="C88"/>
  <c r="C87"/>
  <c r="C84"/>
  <c r="C83"/>
  <c r="C82"/>
  <c r="C81"/>
  <c r="C79"/>
  <c r="C78"/>
  <c r="C77"/>
  <c r="C76"/>
  <c r="C74"/>
  <c r="C73"/>
  <c r="C72"/>
  <c r="C71"/>
  <c r="C70"/>
  <c r="C69"/>
  <c r="C67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O18"/>
  <c r="N18"/>
  <c r="M18"/>
  <c r="L18"/>
  <c r="K18"/>
  <c r="J18"/>
  <c r="I18"/>
  <c r="H18"/>
  <c r="G18"/>
  <c r="F18"/>
  <c r="E18"/>
  <c r="D18"/>
  <c r="C14"/>
  <c r="D7"/>
  <c r="C14" i="14"/>
  <c r="C97"/>
  <c r="C96"/>
  <c r="C95"/>
  <c r="C94"/>
  <c r="C93"/>
  <c r="C92"/>
  <c r="C91"/>
  <c r="C90"/>
  <c r="C83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1"/>
  <c r="F9"/>
  <c r="G8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7"/>
  <c r="P18"/>
  <c r="O18"/>
  <c r="Z40" i="18" s="1"/>
  <c r="N18" i="14"/>
  <c r="X40" i="18" s="1"/>
  <c r="M18" i="14"/>
  <c r="V40" i="18" s="1"/>
  <c r="L18" i="14"/>
  <c r="T40" i="18" s="1"/>
  <c r="K18" i="14"/>
  <c r="R40" i="18" s="1"/>
  <c r="J18" i="14"/>
  <c r="P40" i="18" s="1"/>
  <c r="I18" i="14"/>
  <c r="N40" i="18" s="1"/>
  <c r="H18" i="14"/>
  <c r="L40" i="18" s="1"/>
  <c r="F18" i="14"/>
  <c r="H40" i="18" s="1"/>
  <c r="E18" i="14"/>
  <c r="F40" i="18" s="1"/>
  <c r="D18" i="14"/>
  <c r="D40" i="18" s="1"/>
  <c r="X24" i="15"/>
  <c r="S69"/>
  <c r="L19" i="22"/>
  <c r="I19"/>
  <c r="I82" s="1"/>
  <c r="G31" i="18"/>
  <c r="P86" i="14"/>
  <c r="S75" i="15"/>
  <c r="E19" i="22"/>
  <c r="E82" s="1"/>
  <c r="P69" i="26"/>
  <c r="Q69" s="1"/>
  <c r="P38"/>
  <c r="Q38" s="1"/>
  <c r="E22" i="18"/>
  <c r="I32"/>
  <c r="G32"/>
  <c r="E32"/>
  <c r="E21"/>
  <c r="I33"/>
  <c r="G33"/>
  <c r="Q85" i="16"/>
  <c r="P53" i="22"/>
  <c r="X35" i="15"/>
  <c r="X97"/>
  <c r="X36"/>
  <c r="X22"/>
  <c r="D19" i="22"/>
  <c r="X21" i="15"/>
  <c r="X29"/>
  <c r="Q29" i="16"/>
  <c r="P55" i="26"/>
  <c r="Q55" s="1"/>
  <c r="X74" i="15"/>
  <c r="P75" i="26"/>
  <c r="Q75" s="1"/>
  <c r="P55" i="15"/>
  <c r="R55" s="1"/>
  <c r="N58" i="16"/>
  <c r="N77"/>
  <c r="N82"/>
  <c r="I19" i="14"/>
  <c r="N92" i="16"/>
  <c r="N96"/>
  <c r="N51"/>
  <c r="N21"/>
  <c r="N23"/>
  <c r="N25"/>
  <c r="N27"/>
  <c r="N32"/>
  <c r="N34"/>
  <c r="N44"/>
  <c r="N63"/>
  <c r="N66"/>
  <c r="N68"/>
  <c r="N79"/>
  <c r="N81"/>
  <c r="N83"/>
  <c r="N85"/>
  <c r="Q31"/>
  <c r="Q39"/>
  <c r="Q41"/>
  <c r="Q43"/>
  <c r="Q74"/>
  <c r="Q90"/>
  <c r="Q92"/>
  <c r="N22"/>
  <c r="N29"/>
  <c r="N35"/>
  <c r="N41"/>
  <c r="N42"/>
  <c r="N49"/>
  <c r="N59"/>
  <c r="N61"/>
  <c r="N62"/>
  <c r="N67"/>
  <c r="N70"/>
  <c r="N71"/>
  <c r="N72"/>
  <c r="N76"/>
  <c r="N78"/>
  <c r="N84"/>
  <c r="Q37"/>
  <c r="Q47"/>
  <c r="Q56"/>
  <c r="Q60"/>
  <c r="R28" l="1"/>
  <c r="X25" i="15"/>
  <c r="F15" i="18"/>
  <c r="X85" i="15"/>
  <c r="X50"/>
  <c r="X59"/>
  <c r="X75"/>
  <c r="X84"/>
  <c r="X31"/>
  <c r="X44"/>
  <c r="X26"/>
  <c r="X40"/>
  <c r="X30"/>
  <c r="X47"/>
  <c r="J31" i="18"/>
  <c r="K31" s="1"/>
  <c r="P38" i="22"/>
  <c r="N19"/>
  <c r="K79" i="16"/>
  <c r="P68" i="14"/>
  <c r="H51"/>
  <c r="H52" s="1"/>
  <c r="G51"/>
  <c r="G52" s="1"/>
  <c r="L51"/>
  <c r="P45"/>
  <c r="J19"/>
  <c r="P20"/>
  <c r="P45" i="26"/>
  <c r="Q45" s="1"/>
  <c r="P33"/>
  <c r="Q33" s="1"/>
  <c r="P28"/>
  <c r="Q28" s="1"/>
  <c r="P20"/>
  <c r="Q20" s="1"/>
  <c r="P33" i="14"/>
  <c r="P89" i="15"/>
  <c r="G89" i="16" s="1"/>
  <c r="J87" i="15"/>
  <c r="J88" s="1"/>
  <c r="P38"/>
  <c r="M19" i="14"/>
  <c r="N19"/>
  <c r="F51" i="22"/>
  <c r="F52" s="1"/>
  <c r="H51"/>
  <c r="H52" s="1"/>
  <c r="N51"/>
  <c r="N52" s="1"/>
  <c r="G51"/>
  <c r="G52" s="1"/>
  <c r="O51"/>
  <c r="O52" s="1"/>
  <c r="P73"/>
  <c r="L51"/>
  <c r="L52" s="1"/>
  <c r="E19" i="14"/>
  <c r="H19"/>
  <c r="K19"/>
  <c r="L19"/>
  <c r="P54"/>
  <c r="P20" i="22"/>
  <c r="P67"/>
  <c r="D51"/>
  <c r="D52" s="1"/>
  <c r="P74" i="14"/>
  <c r="P28"/>
  <c r="E89" i="22"/>
  <c r="E95" s="1"/>
  <c r="E90" s="1"/>
  <c r="E83"/>
  <c r="L88" i="15"/>
  <c r="L93"/>
  <c r="L98" s="1"/>
  <c r="N82" i="22"/>
  <c r="L82"/>
  <c r="H84" i="14"/>
  <c r="J82" i="22"/>
  <c r="J83" s="1"/>
  <c r="O53" i="14"/>
  <c r="O87" i="15"/>
  <c r="J64" i="16"/>
  <c r="G19" i="14"/>
  <c r="P68" i="26"/>
  <c r="Q68" s="1"/>
  <c r="X51" i="15"/>
  <c r="F19" i="22"/>
  <c r="F82" s="1"/>
  <c r="O19"/>
  <c r="O82" s="1"/>
  <c r="K65" i="16"/>
  <c r="X32" i="15"/>
  <c r="X68"/>
  <c r="X56"/>
  <c r="X49"/>
  <c r="X23"/>
  <c r="P62" i="26"/>
  <c r="Q62" s="1"/>
  <c r="K32" i="18"/>
  <c r="R85" i="15"/>
  <c r="G19" i="22"/>
  <c r="G82" s="1"/>
  <c r="M19"/>
  <c r="M82" s="1"/>
  <c r="M89" s="1"/>
  <c r="M95" s="1"/>
  <c r="M90" s="1"/>
  <c r="R60" i="15"/>
  <c r="T60" s="1"/>
  <c r="P65" i="26"/>
  <c r="Q65" s="1"/>
  <c r="J62" i="16"/>
  <c r="K51" i="14"/>
  <c r="F19"/>
  <c r="G75" i="16"/>
  <c r="G87" i="15"/>
  <c r="G88" s="1"/>
  <c r="K63" i="16"/>
  <c r="J51" i="14"/>
  <c r="J52" s="1"/>
  <c r="S55" i="15"/>
  <c r="T55" s="1"/>
  <c r="X37"/>
  <c r="K19" i="22"/>
  <c r="K82" s="1"/>
  <c r="K83" s="1"/>
  <c r="P28"/>
  <c r="M51" i="14"/>
  <c r="M84" s="1"/>
  <c r="D53"/>
  <c r="S54" i="31" s="1"/>
  <c r="T54" s="1"/>
  <c r="X42" i="15"/>
  <c r="X34"/>
  <c r="X39"/>
  <c r="X27"/>
  <c r="X96"/>
  <c r="P88" i="26"/>
  <c r="Q88" s="1"/>
  <c r="O19" i="14"/>
  <c r="P38"/>
  <c r="P45" i="22"/>
  <c r="P64" i="26"/>
  <c r="Q64" s="1"/>
  <c r="K67" i="16"/>
  <c r="I51" i="14"/>
  <c r="I52" s="1"/>
  <c r="R59" i="15"/>
  <c r="T59" s="1"/>
  <c r="R71"/>
  <c r="T71" s="1"/>
  <c r="X67"/>
  <c r="R56"/>
  <c r="T56" s="1"/>
  <c r="X76"/>
  <c r="R72"/>
  <c r="T72" s="1"/>
  <c r="X79"/>
  <c r="X63"/>
  <c r="X71"/>
  <c r="R75"/>
  <c r="T75" s="1"/>
  <c r="R84"/>
  <c r="T84" s="1"/>
  <c r="X72"/>
  <c r="R63"/>
  <c r="T63" s="1"/>
  <c r="X83"/>
  <c r="R58"/>
  <c r="T58" s="1"/>
  <c r="K70" i="16"/>
  <c r="R70" i="15"/>
  <c r="T70" s="1"/>
  <c r="X91"/>
  <c r="X66"/>
  <c r="R78"/>
  <c r="T78" s="1"/>
  <c r="R62"/>
  <c r="T62" s="1"/>
  <c r="R74"/>
  <c r="T74" s="1"/>
  <c r="X62"/>
  <c r="R83"/>
  <c r="T83" s="1"/>
  <c r="R66"/>
  <c r="T66" s="1"/>
  <c r="X95"/>
  <c r="X92"/>
  <c r="R82"/>
  <c r="T82" s="1"/>
  <c r="X82"/>
  <c r="K72" i="16"/>
  <c r="G72"/>
  <c r="J72"/>
  <c r="X65" i="15"/>
  <c r="R77"/>
  <c r="T77" s="1"/>
  <c r="X64"/>
  <c r="X61"/>
  <c r="R57"/>
  <c r="T57" s="1"/>
  <c r="R73"/>
  <c r="T73" s="1"/>
  <c r="R76"/>
  <c r="T76" s="1"/>
  <c r="G70" i="16"/>
  <c r="R81" i="15"/>
  <c r="T81" s="1"/>
  <c r="X77"/>
  <c r="X57"/>
  <c r="X73"/>
  <c r="X60"/>
  <c r="R61"/>
  <c r="T61" s="1"/>
  <c r="R64"/>
  <c r="T64" s="1"/>
  <c r="R68"/>
  <c r="T68" s="1"/>
  <c r="N89" i="22"/>
  <c r="N95" s="1"/>
  <c r="N90" s="1"/>
  <c r="N83"/>
  <c r="I83"/>
  <c r="I89"/>
  <c r="I95" s="1"/>
  <c r="I90" s="1"/>
  <c r="F83"/>
  <c r="F89"/>
  <c r="F95" s="1"/>
  <c r="F90" s="1"/>
  <c r="P19"/>
  <c r="K89"/>
  <c r="K95" s="1"/>
  <c r="K90" s="1"/>
  <c r="M83"/>
  <c r="O83"/>
  <c r="O89"/>
  <c r="O95" s="1"/>
  <c r="O90" s="1"/>
  <c r="I52"/>
  <c r="P52" s="1"/>
  <c r="N75" i="16"/>
  <c r="K52" i="14"/>
  <c r="K84"/>
  <c r="N69" i="16"/>
  <c r="N55"/>
  <c r="F51" i="14"/>
  <c r="F52" s="1"/>
  <c r="E52"/>
  <c r="E84"/>
  <c r="L52"/>
  <c r="L84"/>
  <c r="N53"/>
  <c r="N39" i="16"/>
  <c r="N43"/>
  <c r="N56"/>
  <c r="N74"/>
  <c r="Q69"/>
  <c r="Q75"/>
  <c r="Q65"/>
  <c r="Q55"/>
  <c r="Q64"/>
  <c r="Q67"/>
  <c r="Q82"/>
  <c r="Q62"/>
  <c r="G82"/>
  <c r="J82"/>
  <c r="K82"/>
  <c r="H82"/>
  <c r="J97"/>
  <c r="K97"/>
  <c r="G97"/>
  <c r="H97"/>
  <c r="M88" i="15"/>
  <c r="M93"/>
  <c r="M98" s="1"/>
  <c r="M94" s="1"/>
  <c r="E88"/>
  <c r="E93"/>
  <c r="K83" i="16"/>
  <c r="H83"/>
  <c r="G83"/>
  <c r="J83"/>
  <c r="N45"/>
  <c r="Q45"/>
  <c r="X89" i="15"/>
  <c r="P33"/>
  <c r="X33" s="1"/>
  <c r="P45"/>
  <c r="X45" s="1"/>
  <c r="N87"/>
  <c r="G50" i="16"/>
  <c r="H50"/>
  <c r="J50"/>
  <c r="K50"/>
  <c r="K48"/>
  <c r="J48"/>
  <c r="G48"/>
  <c r="H48"/>
  <c r="H46"/>
  <c r="J46"/>
  <c r="K46"/>
  <c r="G46"/>
  <c r="K37"/>
  <c r="J37"/>
  <c r="G37"/>
  <c r="H37"/>
  <c r="K35"/>
  <c r="H35"/>
  <c r="G35"/>
  <c r="J35"/>
  <c r="J21"/>
  <c r="H21"/>
  <c r="K21"/>
  <c r="G21"/>
  <c r="N33"/>
  <c r="Q33"/>
  <c r="J49"/>
  <c r="H49"/>
  <c r="G49"/>
  <c r="K49"/>
  <c r="J47"/>
  <c r="G47"/>
  <c r="K47"/>
  <c r="H47"/>
  <c r="H36"/>
  <c r="G36"/>
  <c r="J36"/>
  <c r="K36"/>
  <c r="G34"/>
  <c r="K34"/>
  <c r="J34"/>
  <c r="H34"/>
  <c r="I93" i="15"/>
  <c r="I98" s="1"/>
  <c r="I94" s="1"/>
  <c r="I88"/>
  <c r="P28"/>
  <c r="P20"/>
  <c r="X20" s="1"/>
  <c r="K87"/>
  <c r="K93" s="1"/>
  <c r="K98" s="1"/>
  <c r="K94" s="1"/>
  <c r="H93"/>
  <c r="H98" s="1"/>
  <c r="H88"/>
  <c r="G71" i="16"/>
  <c r="J71"/>
  <c r="K71"/>
  <c r="H71"/>
  <c r="K75"/>
  <c r="J75"/>
  <c r="H75"/>
  <c r="G79"/>
  <c r="H79"/>
  <c r="J79"/>
  <c r="J96"/>
  <c r="K96"/>
  <c r="G96"/>
  <c r="X69" i="15"/>
  <c r="R69"/>
  <c r="T69" s="1"/>
  <c r="J44" i="16"/>
  <c r="K44"/>
  <c r="H44"/>
  <c r="G44"/>
  <c r="H41"/>
  <c r="K41"/>
  <c r="J41"/>
  <c r="G41"/>
  <c r="J39"/>
  <c r="K39"/>
  <c r="G39"/>
  <c r="H39"/>
  <c r="H32"/>
  <c r="J32"/>
  <c r="K32"/>
  <c r="G32"/>
  <c r="G30"/>
  <c r="K30"/>
  <c r="H30"/>
  <c r="J30"/>
  <c r="H26"/>
  <c r="J26"/>
  <c r="G26"/>
  <c r="K26"/>
  <c r="G24"/>
  <c r="K24"/>
  <c r="J24"/>
  <c r="H24"/>
  <c r="J22"/>
  <c r="H22"/>
  <c r="K22"/>
  <c r="G22"/>
  <c r="G93" i="15"/>
  <c r="G98" s="1"/>
  <c r="X38"/>
  <c r="N28" i="16"/>
  <c r="Q38"/>
  <c r="N38"/>
  <c r="G74"/>
  <c r="H74"/>
  <c r="J74"/>
  <c r="K74"/>
  <c r="K78"/>
  <c r="G78"/>
  <c r="H78"/>
  <c r="J78"/>
  <c r="K95"/>
  <c r="G95"/>
  <c r="J95"/>
  <c r="K51"/>
  <c r="G51"/>
  <c r="J51"/>
  <c r="P54" i="15"/>
  <c r="K42" i="16"/>
  <c r="G42"/>
  <c r="J42"/>
  <c r="H42"/>
  <c r="H40"/>
  <c r="K40"/>
  <c r="J40"/>
  <c r="G40"/>
  <c r="J31"/>
  <c r="G31"/>
  <c r="K31"/>
  <c r="H31"/>
  <c r="H29"/>
  <c r="G29"/>
  <c r="K29"/>
  <c r="J29"/>
  <c r="K27"/>
  <c r="G27"/>
  <c r="H27"/>
  <c r="J27"/>
  <c r="K25"/>
  <c r="G25"/>
  <c r="H25"/>
  <c r="J25"/>
  <c r="K23"/>
  <c r="G23"/>
  <c r="H23"/>
  <c r="J23"/>
  <c r="G43"/>
  <c r="H43"/>
  <c r="J43"/>
  <c r="K43"/>
  <c r="N20"/>
  <c r="Q20"/>
  <c r="K55"/>
  <c r="X55" i="15"/>
  <c r="H72" i="16"/>
  <c r="X43" i="15"/>
  <c r="X58"/>
  <c r="X78"/>
  <c r="X90"/>
  <c r="X41"/>
  <c r="X46"/>
  <c r="X48"/>
  <c r="X81"/>
  <c r="R79"/>
  <c r="T79" s="1"/>
  <c r="N64" i="16"/>
  <c r="R67" i="15"/>
  <c r="T67" s="1"/>
  <c r="R65"/>
  <c r="T65" s="1"/>
  <c r="L94"/>
  <c r="G90" i="16"/>
  <c r="K90"/>
  <c r="H90"/>
  <c r="J90"/>
  <c r="H92"/>
  <c r="K92"/>
  <c r="G92"/>
  <c r="J92"/>
  <c r="J91"/>
  <c r="H91"/>
  <c r="G91"/>
  <c r="K91"/>
  <c r="N89"/>
  <c r="Q89"/>
  <c r="G57"/>
  <c r="J57"/>
  <c r="H57"/>
  <c r="K57"/>
  <c r="G59"/>
  <c r="J59"/>
  <c r="H59"/>
  <c r="K59"/>
  <c r="G61"/>
  <c r="J61"/>
  <c r="K61"/>
  <c r="H61"/>
  <c r="H63"/>
  <c r="G63"/>
  <c r="H65"/>
  <c r="G65"/>
  <c r="G67"/>
  <c r="H67"/>
  <c r="K73"/>
  <c r="G73"/>
  <c r="H73"/>
  <c r="J73"/>
  <c r="K77"/>
  <c r="G77"/>
  <c r="H77"/>
  <c r="J77"/>
  <c r="G84"/>
  <c r="J84"/>
  <c r="H84"/>
  <c r="J56"/>
  <c r="K56"/>
  <c r="G56"/>
  <c r="H56"/>
  <c r="H58"/>
  <c r="K58"/>
  <c r="J58"/>
  <c r="G58"/>
  <c r="G60"/>
  <c r="K60"/>
  <c r="J60"/>
  <c r="H60"/>
  <c r="G62"/>
  <c r="H62"/>
  <c r="G64"/>
  <c r="H64"/>
  <c r="K66"/>
  <c r="J66"/>
  <c r="G66"/>
  <c r="H66"/>
  <c r="G68"/>
  <c r="H68"/>
  <c r="G76"/>
  <c r="K76"/>
  <c r="H76"/>
  <c r="J76"/>
  <c r="J81"/>
  <c r="G81"/>
  <c r="D19" i="14"/>
  <c r="R19" i="16" l="1"/>
  <c r="F87" i="15"/>
  <c r="S32" i="18"/>
  <c r="G21" s="1"/>
  <c r="O31"/>
  <c r="Q32"/>
  <c r="S33"/>
  <c r="G22" s="1"/>
  <c r="M33"/>
  <c r="Q31"/>
  <c r="M32"/>
  <c r="O33"/>
  <c r="S31"/>
  <c r="G20" s="1"/>
  <c r="M31"/>
  <c r="O32"/>
  <c r="Q33"/>
  <c r="J93" i="15"/>
  <c r="J98" s="1"/>
  <c r="J94" s="1"/>
  <c r="K88"/>
  <c r="E98"/>
  <c r="P51" i="22"/>
  <c r="S54" i="15"/>
  <c r="G84" i="14"/>
  <c r="D87" i="15"/>
  <c r="F84" i="14"/>
  <c r="F85" s="1"/>
  <c r="J89" i="16"/>
  <c r="K89"/>
  <c r="H89"/>
  <c r="G20"/>
  <c r="K64"/>
  <c r="J65"/>
  <c r="K62"/>
  <c r="I84" i="14"/>
  <c r="P53"/>
  <c r="H82" i="22"/>
  <c r="D82"/>
  <c r="P54" i="26"/>
  <c r="Q54" s="1"/>
  <c r="O51" i="14"/>
  <c r="K87" i="26"/>
  <c r="K92"/>
  <c r="K97" s="1"/>
  <c r="K93" s="1"/>
  <c r="L89" i="22"/>
  <c r="L95" s="1"/>
  <c r="L90" s="1"/>
  <c r="L83"/>
  <c r="J87" i="26"/>
  <c r="J92"/>
  <c r="J97" s="1"/>
  <c r="J93" s="1"/>
  <c r="D51" i="14"/>
  <c r="E87" i="26"/>
  <c r="E92"/>
  <c r="E97" s="1"/>
  <c r="E93" s="1"/>
  <c r="L87"/>
  <c r="L92"/>
  <c r="L97" s="1"/>
  <c r="L93" s="1"/>
  <c r="J84" i="14"/>
  <c r="J67" i="16"/>
  <c r="J63"/>
  <c r="X28" i="15"/>
  <c r="P19"/>
  <c r="Q19" s="1"/>
  <c r="G45" i="16"/>
  <c r="M52" i="14"/>
  <c r="J89" i="22"/>
  <c r="J95" s="1"/>
  <c r="J90" s="1"/>
  <c r="F87" i="26"/>
  <c r="F92"/>
  <c r="F97" s="1"/>
  <c r="F93" s="1"/>
  <c r="O93" i="15"/>
  <c r="O88"/>
  <c r="N93"/>
  <c r="N88"/>
  <c r="Q63" i="16"/>
  <c r="H85" i="14"/>
  <c r="H90"/>
  <c r="H96" s="1"/>
  <c r="H91" s="1"/>
  <c r="H92" i="26"/>
  <c r="H97" s="1"/>
  <c r="H93" s="1"/>
  <c r="H87"/>
  <c r="Q28" i="16"/>
  <c r="P19" i="26"/>
  <c r="Q19" s="1"/>
  <c r="O84" i="14"/>
  <c r="H55" i="16"/>
  <c r="H70"/>
  <c r="J70"/>
  <c r="J85"/>
  <c r="G85"/>
  <c r="G55"/>
  <c r="J55"/>
  <c r="G83" i="22"/>
  <c r="G89"/>
  <c r="L90" i="14"/>
  <c r="L96" s="1"/>
  <c r="L91" s="1"/>
  <c r="L85"/>
  <c r="E90"/>
  <c r="E96" s="1"/>
  <c r="E91" s="1"/>
  <c r="E85"/>
  <c r="N51"/>
  <c r="F90"/>
  <c r="F96" s="1"/>
  <c r="F91" s="1"/>
  <c r="K90"/>
  <c r="K96" s="1"/>
  <c r="K91" s="1"/>
  <c r="K85"/>
  <c r="O90"/>
  <c r="O85"/>
  <c r="M90"/>
  <c r="M96" s="1"/>
  <c r="M91" s="1"/>
  <c r="M85"/>
  <c r="G87" i="26"/>
  <c r="G92"/>
  <c r="I92"/>
  <c r="I97" s="1"/>
  <c r="I93" s="1"/>
  <c r="I87"/>
  <c r="P52"/>
  <c r="Q52" s="1"/>
  <c r="J20" i="16"/>
  <c r="K20"/>
  <c r="H20"/>
  <c r="K45"/>
  <c r="J45"/>
  <c r="P53" i="15"/>
  <c r="P52"/>
  <c r="K33" i="16"/>
  <c r="G33"/>
  <c r="J33"/>
  <c r="H33"/>
  <c r="D88" i="15"/>
  <c r="R54"/>
  <c r="T54" s="1"/>
  <c r="X54"/>
  <c r="G38" i="16"/>
  <c r="H38"/>
  <c r="J38"/>
  <c r="K38"/>
  <c r="K28"/>
  <c r="H28"/>
  <c r="J28"/>
  <c r="G28"/>
  <c r="G94" i="15"/>
  <c r="G69" i="16"/>
  <c r="J69"/>
  <c r="K69"/>
  <c r="H69"/>
  <c r="H94" i="15"/>
  <c r="P19" i="14"/>
  <c r="R87" i="16" l="1"/>
  <c r="F88" i="15"/>
  <c r="R88" i="16" s="1"/>
  <c r="F93" i="15"/>
  <c r="E94"/>
  <c r="G85" i="14"/>
  <c r="G90"/>
  <c r="G96" s="1"/>
  <c r="G91" s="1"/>
  <c r="P87" i="15"/>
  <c r="X87" s="1"/>
  <c r="D93"/>
  <c r="D52" i="14"/>
  <c r="S53" i="31" s="1"/>
  <c r="T53" s="1"/>
  <c r="S52"/>
  <c r="T52" s="1"/>
  <c r="H45" i="16"/>
  <c r="H83" i="22"/>
  <c r="H89"/>
  <c r="H95" s="1"/>
  <c r="H90" s="1"/>
  <c r="M92" i="26"/>
  <c r="M97" s="1"/>
  <c r="M93" s="1"/>
  <c r="M87"/>
  <c r="I85" i="14"/>
  <c r="I90"/>
  <c r="I96" s="1"/>
  <c r="I91" s="1"/>
  <c r="D89" i="22"/>
  <c r="D95" s="1"/>
  <c r="D90" s="1"/>
  <c r="D83"/>
  <c r="P83" s="1"/>
  <c r="X19" i="15"/>
  <c r="P82" i="22"/>
  <c r="Q54" i="16"/>
  <c r="J90" i="14"/>
  <c r="J96" s="1"/>
  <c r="J91" s="1"/>
  <c r="J85"/>
  <c r="S53" i="15"/>
  <c r="S52"/>
  <c r="D84" i="14"/>
  <c r="P84" s="1"/>
  <c r="O96"/>
  <c r="O52"/>
  <c r="G95" i="22"/>
  <c r="P89"/>
  <c r="H19" i="16"/>
  <c r="G19"/>
  <c r="N54"/>
  <c r="N84" i="14"/>
  <c r="N52"/>
  <c r="P51"/>
  <c r="N87" i="26"/>
  <c r="N92"/>
  <c r="Q52" i="16"/>
  <c r="G97" i="26"/>
  <c r="P53"/>
  <c r="Q53" s="1"/>
  <c r="N19" i="16"/>
  <c r="Q19"/>
  <c r="R52" i="15"/>
  <c r="X52"/>
  <c r="X53"/>
  <c r="R53"/>
  <c r="T53" s="1"/>
  <c r="K19" i="16"/>
  <c r="J19"/>
  <c r="G54"/>
  <c r="H54"/>
  <c r="J54"/>
  <c r="K54"/>
  <c r="D98" i="15"/>
  <c r="O98"/>
  <c r="P88"/>
  <c r="F98" l="1"/>
  <c r="R93" i="16"/>
  <c r="Q53"/>
  <c r="D85" i="14"/>
  <c r="G87" i="16"/>
  <c r="O91" i="14"/>
  <c r="O87" i="26"/>
  <c r="O92"/>
  <c r="J53" i="16"/>
  <c r="D90" i="14"/>
  <c r="D96" s="1"/>
  <c r="T52" i="15"/>
  <c r="D87" i="26"/>
  <c r="D92"/>
  <c r="P86"/>
  <c r="Q86" s="1"/>
  <c r="O94" i="15"/>
  <c r="G90" i="22"/>
  <c r="P90" s="1"/>
  <c r="P95"/>
  <c r="P52" i="14"/>
  <c r="N52" i="16"/>
  <c r="N87"/>
  <c r="N85" i="14"/>
  <c r="N90"/>
  <c r="G93" i="26"/>
  <c r="N97"/>
  <c r="N98" i="15"/>
  <c r="N94" s="1"/>
  <c r="Q87" i="16"/>
  <c r="N88"/>
  <c r="P93" i="15"/>
  <c r="X88"/>
  <c r="D94"/>
  <c r="K52" i="16"/>
  <c r="J52"/>
  <c r="G52"/>
  <c r="H52"/>
  <c r="K87"/>
  <c r="J87"/>
  <c r="K53"/>
  <c r="G53"/>
  <c r="H53"/>
  <c r="P90" i="14"/>
  <c r="H87" i="16"/>
  <c r="P85" i="14"/>
  <c r="R98" i="16" l="1"/>
  <c r="F94" i="15"/>
  <c r="R94" i="16" s="1"/>
  <c r="Q93"/>
  <c r="O97" i="26"/>
  <c r="D97"/>
  <c r="D93" s="1"/>
  <c r="P92"/>
  <c r="Q92" s="1"/>
  <c r="J88" i="16"/>
  <c r="P87" i="26"/>
  <c r="Q87" s="1"/>
  <c r="X93" i="15"/>
  <c r="G93" i="16"/>
  <c r="P98" i="15"/>
  <c r="P94"/>
  <c r="Q97" i="16"/>
  <c r="N97"/>
  <c r="N53"/>
  <c r="N96" i="14"/>
  <c r="P96" s="1"/>
  <c r="N93" i="26"/>
  <c r="N93" i="16"/>
  <c r="K88"/>
  <c r="G88"/>
  <c r="H88"/>
  <c r="D91" i="14"/>
  <c r="Q88" i="16" l="1"/>
  <c r="O93" i="26"/>
  <c r="Q98" i="16"/>
  <c r="P97" i="26"/>
  <c r="Q97" s="1"/>
  <c r="X98" i="15"/>
  <c r="X94"/>
  <c r="J93" i="16"/>
  <c r="H93"/>
  <c r="K93"/>
  <c r="N98"/>
  <c r="N91" i="14"/>
  <c r="P91"/>
  <c r="J98" i="16" l="1"/>
  <c r="P93" i="26"/>
  <c r="Q93" s="1"/>
  <c r="Q94" i="16"/>
  <c r="G98"/>
  <c r="N94"/>
  <c r="G94"/>
  <c r="J94" l="1"/>
  <c r="K94"/>
</calcChain>
</file>

<file path=xl/sharedStrings.xml><?xml version="1.0" encoding="utf-8"?>
<sst xmlns="http://schemas.openxmlformats.org/spreadsheetml/2006/main" count="1177" uniqueCount="418">
  <si>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</si>
  <si>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</si>
  <si>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</si>
  <si>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</si>
  <si>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</si>
  <si>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</si>
  <si>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</si>
  <si>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</si>
  <si>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</si>
  <si>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</si>
  <si>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</si>
  <si>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</si>
  <si>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</si>
  <si>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</si>
  <si>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</si>
  <si>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</si>
  <si>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</si>
  <si>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</si>
  <si>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</si>
  <si>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</si>
  <si>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</si>
  <si>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</si>
  <si>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</si>
  <si>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</si>
  <si>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</si>
  <si>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</si>
  <si>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</si>
  <si>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</si>
  <si>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</si>
  <si>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</si>
  <si>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</si>
  <si>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</si>
  <si>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</si>
  <si>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</si>
  <si>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</si>
  <si>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</si>
  <si>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</si>
  <si>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</si>
  <si>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</si>
  <si>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</si>
  <si>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</si>
  <si>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</si>
  <si>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</si>
  <si>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</si>
  <si>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</si>
  <si>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</si>
  <si>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</si>
  <si>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</si>
  <si>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</si>
  <si>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</si>
  <si>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</si>
  <si>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</si>
  <si>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</si>
  <si>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</si>
  <si>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</si>
  <si>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</si>
  <si>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</si>
  <si>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</si>
  <si>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</si>
  <si>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</si>
  <si>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</si>
  <si>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</si>
  <si>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</si>
  <si>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</si>
  <si>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</si>
  <si>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</si>
  <si>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</si>
  <si>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</si>
  <si>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</si>
  <si>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</si>
  <si>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</si>
  <si>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</si>
  <si>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</si>
  <si>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</si>
  <si>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</si>
  <si>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</si>
  <si>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</si>
  <si>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</si>
  <si>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</si>
  <si>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</si>
  <si>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</si>
  <si>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</si>
  <si>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</si>
  <si>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</si>
  <si>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</si>
  <si>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</si>
  <si>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</si>
  <si>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</si>
  <si>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</si>
  <si>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</si>
  <si>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</si>
  <si>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</si>
  <si>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</si>
  <si>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</si>
  <si>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</si>
  <si>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</si>
  <si>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</si>
  <si>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</si>
  <si>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</si>
  <si>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</si>
  <si>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</si>
  <si>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</si>
  <si>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</si>
  <si>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</si>
  <si>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</si>
  <si>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</si>
  <si>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</si>
  <si>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</si>
  <si>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</si>
  <si>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</si>
  <si>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</si>
  <si>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</si>
  <si>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</si>
  <si>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</si>
  <si>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</si>
  <si>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</si>
  <si>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</si>
  <si>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</si>
  <si>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</si>
  <si>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</si>
  <si>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</si>
  <si>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</si>
  <si>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</si>
  <si>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</si>
  <si>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</si>
  <si>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</si>
  <si>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</si>
  <si>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</si>
  <si>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</si>
  <si>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</si>
  <si>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</si>
  <si>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</si>
  <si>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</si>
  <si>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</si>
  <si>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</si>
  <si>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</si>
  <si>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</si>
  <si>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</si>
  <si>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</si>
  <si>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</si>
  <si>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</si>
  <si>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</si>
  <si>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</si>
  <si>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</si>
  <si>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</si>
  <si>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</si>
  <si>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</si>
  <si>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</si>
  <si>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</si>
  <si>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</si>
  <si>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</si>
  <si>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</si>
  <si>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</si>
  <si>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</si>
  <si>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</si>
  <si>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</si>
  <si>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</si>
  <si>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</si>
  <si>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</si>
  <si>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</si>
  <si>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</si>
  <si>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</si>
  <si>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</si>
  <si>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</si>
  <si>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</si>
  <si>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</si>
  <si>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</si>
  <si>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</si>
  <si>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</si>
  <si>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</si>
  <si>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</si>
  <si>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</si>
  <si>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</si>
  <si>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</si>
  <si>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</si>
  <si>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</si>
  <si>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</si>
  <si>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</si>
  <si>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</si>
  <si>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</si>
  <si>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</si>
  <si>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</si>
  <si>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</si>
  <si>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</si>
  <si>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</si>
  <si>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</si>
  <si>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</si>
  <si>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</si>
  <si>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</si>
  <si>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</si>
  <si>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</si>
  <si>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</si>
  <si>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</si>
  <si>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</si>
  <si>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</si>
  <si>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</si>
  <si>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</si>
  <si>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</si>
  <si>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</si>
  <si>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</si>
  <si>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</si>
  <si>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</si>
  <si>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</si>
  <si>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</si>
  <si>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</si>
  <si>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</si>
  <si>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</si>
  <si>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</si>
  <si>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</si>
  <si>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</si>
  <si>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</si>
  <si>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</si>
  <si>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</si>
  <si>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</si>
  <si>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</si>
  <si>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</si>
  <si>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</si>
  <si>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</si>
  <si>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</si>
  <si>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</si>
  <si>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</si>
  <si>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</si>
  <si>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</si>
  <si>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</si>
  <si>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</si>
  <si>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</si>
  <si>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</si>
  <si>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</si>
  <si>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</si>
  <si>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</si>
  <si>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</si>
  <si>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</si>
  <si>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</si>
  <si>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</si>
  <si>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</si>
  <si>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</si>
  <si>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</si>
  <si>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</si>
  <si>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</si>
  <si>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</si>
  <si>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</si>
  <si>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</si>
  <si>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</si>
  <si>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</si>
  <si>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</si>
  <si>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</si>
  <si>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</si>
  <si>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</si>
  <si>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</si>
  <si>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</si>
  <si>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</si>
  <si>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</si>
  <si>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</si>
  <si>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</si>
  <si>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</si>
  <si>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</si>
  <si>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</si>
  <si>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</si>
  <si>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</si>
  <si>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</si>
  <si>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</si>
  <si>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</si>
  <si>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</si>
  <si>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</si>
  <si>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</si>
  <si>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</si>
  <si>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</si>
  <si>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</si>
  <si>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</si>
  <si>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</si>
  <si>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</si>
  <si>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</si>
  <si>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</si>
  <si>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</si>
  <si>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</si>
  <si>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</si>
  <si>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</si>
  <si>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</si>
  <si>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</si>
  <si>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</si>
  <si>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</si>
  <si>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</si>
  <si>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</si>
  <si>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</si>
  <si>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</si>
  <si>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</si>
  <si>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</si>
  <si>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</si>
  <si>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</si>
  <si>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</si>
  <si>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</si>
  <si>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</si>
  <si>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</si>
  <si>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</si>
  <si>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</si>
  <si>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</si>
  <si>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</si>
  <si>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</si>
  <si>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</si>
  <si>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</si>
  <si>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</si>
  <si>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</si>
  <si>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</si>
  <si>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</si>
  <si>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</si>
  <si>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</si>
  <si>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</si>
  <si>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</si>
  <si>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</si>
  <si>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</si>
  <si>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</si>
  <si>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</si>
  <si>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</si>
  <si>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</si>
  <si>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</si>
  <si>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</si>
  <si>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</si>
  <si>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</si>
  <si>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</si>
  <si>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</si>
  <si>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</si>
  <si>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</si>
  <si>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</si>
  <si>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</si>
  <si>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</si>
  <si>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</si>
  <si>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</si>
  <si>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</si>
  <si>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</si>
  <si>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</si>
  <si>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</si>
  <si>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</si>
  <si>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</si>
  <si>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</si>
  <si>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</si>
  <si>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</si>
  <si>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Plan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</si>
  <si>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</si>
  <si>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</si>
  <si>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</si>
  <si>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</si>
  <si>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</si>
  <si>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</si>
  <si>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</si>
  <si>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</si>
  <si>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</si>
  <si>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</si>
  <si>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</si>
  <si>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</si>
  <si>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</si>
  <si>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</si>
  <si>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</si>
  <si>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</si>
  <si>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</si>
  <si>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</si>
  <si>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</si>
  <si>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</si>
  <si>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</si>
  <si>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</si>
  <si>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</si>
  <si>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</si>
  <si>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</si>
  <si>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</si>
  <si>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</si>
  <si>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</si>
  <si>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</si>
  <si>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</si>
  <si>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-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</si>
  <si>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</si>
  <si>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</si>
  <si>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</si>
  <si>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</si>
  <si>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</si>
  <si>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</si>
  <si>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</si>
  <si>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</si>
  <si>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</si>
  <si>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</si>
  <si>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</si>
  <si>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</si>
  <si>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</si>
  <si>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</si>
  <si>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Apsolutno odstupanje u odnosu na plan</t>
  </si>
  <si>
    <t>Apsolutno odstupanje</t>
  </si>
  <si>
    <t>Bankarski depoziti (domaći)</t>
  </si>
  <si>
    <t>Bank deposits (domestic)</t>
  </si>
  <si>
    <t>Jan- Dec 2012</t>
  </si>
  <si>
    <t>Plan according to Budget Law for 2013</t>
  </si>
  <si>
    <t>Plan prema Zakonu o Budžetu za 2013. godinu</t>
  </si>
  <si>
    <t>2012*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</si>
  <si>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</si>
  <si>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</si>
  <si>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</si>
  <si>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</si>
  <si>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</si>
  <si>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</si>
  <si>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</si>
  <si>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 xml:space="preserve"> </t>
  </si>
  <si>
    <r>
      <t>2013</t>
    </r>
    <r>
      <rPr>
        <b/>
        <vertAlign val="superscript"/>
        <sz val="10"/>
        <rFont val="Arial"/>
        <family val="2"/>
        <charset val="238"/>
      </rPr>
      <t>**</t>
    </r>
  </si>
  <si>
    <t>Jun 2013</t>
  </si>
  <si>
    <t>June 2013</t>
  </si>
  <si>
    <t>May 2013</t>
  </si>
  <si>
    <t>Mjesečni plan za 2012. godinu</t>
  </si>
  <si>
    <t>July 2013</t>
  </si>
  <si>
    <t>Jul 2013</t>
  </si>
  <si>
    <t xml:space="preserve">  Avg 2013</t>
  </si>
  <si>
    <t xml:space="preserve">  Sep 2013</t>
  </si>
  <si>
    <t>BDP</t>
  </si>
  <si>
    <t>Jan- Dec 2013</t>
  </si>
  <si>
    <r>
      <rPr>
        <b/>
        <i/>
        <u/>
        <sz val="10"/>
        <rFont val="Calibri"/>
        <family val="2"/>
        <scheme val="minor"/>
      </rPr>
      <t>Napomena</t>
    </r>
    <r>
      <rPr>
        <i/>
        <sz val="10"/>
        <rFont val="Calibri"/>
        <family val="2"/>
        <scheme val="minor"/>
      </rPr>
      <t>: Bruto zarade i doprinosi na teret poslodavca, ugovori o djelu i penzije od januara 2013 godine, obračunavaju se po obračunskom principu.</t>
    </r>
  </si>
  <si>
    <t>Mjesečni plan za 2014. godinu</t>
  </si>
  <si>
    <t xml:space="preserve"> Januar 2014</t>
  </si>
  <si>
    <t>Transferi budžetu države</t>
  </si>
  <si>
    <t>Neto povećenje obaveza</t>
  </si>
  <si>
    <t>Plan 2014</t>
  </si>
  <si>
    <t>Plan for 2014</t>
  </si>
  <si>
    <t>Jan - Apr 2014</t>
  </si>
  <si>
    <t>Apr 2014</t>
  </si>
</sst>
</file>

<file path=xl/styles.xml><?xml version="1.0" encoding="utf-8"?>
<styleSheet xmlns="http://schemas.openxmlformats.org/spreadsheetml/2006/main">
  <numFmts count="14">
    <numFmt numFmtId="164" formatCode="_-* #,##0.00\ &quot;€&quot;_-;\-* #,##0.00\ &quot;€&quot;_-;_-* &quot;-&quot;??\ &quot;€&quot;_-;_-@_-"/>
    <numFmt numFmtId="165" formatCode="0.00,,"/>
    <numFmt numFmtId="166" formatCode="0.0000"/>
    <numFmt numFmtId="167" formatCode="0.0,,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0,,"/>
    <numFmt numFmtId="177" formatCode="#,##0.0,,"/>
  </numFmts>
  <fonts count="49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vertAlign val="superscript"/>
      <sz val="10"/>
      <name val="Arial"/>
      <family val="2"/>
      <charset val="238"/>
    </font>
    <font>
      <sz val="5"/>
      <name val="Arial"/>
      <family val="2"/>
      <charset val="238"/>
    </font>
    <font>
      <sz val="8"/>
      <color indexed="9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9" tint="0.399975585192419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68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5" fontId="7" fillId="0" borderId="0" applyFont="0" applyFill="0" applyBorder="0" applyAlignment="0" applyProtection="0"/>
    <xf numFmtId="0" fontId="15" fillId="0" borderId="0"/>
    <xf numFmtId="0" fontId="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11" borderId="0" applyNumberFormat="0" applyBorder="0" applyAlignment="0" applyProtection="0"/>
    <xf numFmtId="0" fontId="6" fillId="0" borderId="0"/>
    <xf numFmtId="0" fontId="1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0" fillId="11" borderId="0" applyNumberFormat="0" applyBorder="0" applyAlignment="0" applyProtection="0"/>
  </cellStyleXfs>
  <cellXfs count="694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18" fillId="2" borderId="0" xfId="0" applyFont="1" applyFill="1"/>
    <xf numFmtId="0" fontId="6" fillId="2" borderId="0" xfId="0" applyFont="1" applyFill="1"/>
    <xf numFmtId="2" fontId="0" fillId="2" borderId="0" xfId="0" applyNumberFormat="1" applyFill="1"/>
    <xf numFmtId="0" fontId="18" fillId="2" borderId="0" xfId="0" applyFont="1" applyFill="1" applyAlignment="1"/>
    <xf numFmtId="0" fontId="16" fillId="2" borderId="0" xfId="0" applyFont="1" applyFill="1"/>
    <xf numFmtId="0" fontId="4" fillId="2" borderId="0" xfId="22" applyFont="1" applyFill="1" applyBorder="1"/>
    <xf numFmtId="0" fontId="6" fillId="2" borderId="0" xfId="0" applyFont="1" applyFill="1" applyBorder="1"/>
    <xf numFmtId="167" fontId="4" fillId="2" borderId="0" xfId="0" applyNumberFormat="1" applyFont="1" applyFill="1" applyBorder="1" applyAlignment="1" applyProtection="1">
      <protection hidden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Protection="1">
      <protection locked="0"/>
    </xf>
    <xf numFmtId="167" fontId="18" fillId="2" borderId="0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 applyBorder="1" applyAlignment="1" applyProtection="1">
      <alignment horizontal="center" vertical="center"/>
      <protection hidden="1"/>
    </xf>
    <xf numFmtId="0" fontId="18" fillId="2" borderId="20" xfId="22" applyFont="1" applyFill="1" applyBorder="1" applyAlignment="1">
      <alignment vertical="center"/>
    </xf>
    <xf numFmtId="167" fontId="18" fillId="2" borderId="2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4" fillId="2" borderId="15" xfId="0" applyFont="1" applyFill="1" applyBorder="1"/>
    <xf numFmtId="0" fontId="6" fillId="2" borderId="36" xfId="0" applyFont="1" applyFill="1" applyBorder="1"/>
    <xf numFmtId="0" fontId="4" fillId="2" borderId="36" xfId="0" applyFont="1" applyFill="1" applyBorder="1"/>
    <xf numFmtId="4" fontId="4" fillId="2" borderId="30" xfId="0" applyNumberFormat="1" applyFont="1" applyFill="1" applyBorder="1" applyAlignment="1">
      <alignment horizontal="right" vertical="center"/>
    </xf>
    <xf numFmtId="165" fontId="6" fillId="2" borderId="31" xfId="0" applyNumberFormat="1" applyFont="1" applyFill="1" applyBorder="1" applyAlignment="1">
      <alignment horizontal="right" vertical="center"/>
    </xf>
    <xf numFmtId="165" fontId="6" fillId="2" borderId="32" xfId="22" applyNumberFormat="1" applyFont="1" applyFill="1" applyBorder="1" applyAlignment="1">
      <alignment vertical="center"/>
    </xf>
    <xf numFmtId="165" fontId="4" fillId="2" borderId="32" xfId="0" applyNumberFormat="1" applyFont="1" applyFill="1" applyBorder="1" applyAlignment="1">
      <alignment horizontal="right"/>
    </xf>
    <xf numFmtId="165" fontId="4" fillId="2" borderId="29" xfId="0" applyNumberFormat="1" applyFont="1" applyFill="1" applyBorder="1" applyAlignment="1">
      <alignment horizontal="right"/>
    </xf>
    <xf numFmtId="165" fontId="4" fillId="2" borderId="14" xfId="0" applyNumberFormat="1" applyFont="1" applyFill="1" applyBorder="1" applyAlignment="1">
      <alignment horizontal="right"/>
    </xf>
    <xf numFmtId="165" fontId="4" fillId="2" borderId="11" xfId="0" applyNumberFormat="1" applyFont="1" applyFill="1" applyBorder="1" applyAlignment="1">
      <alignment horizontal="right"/>
    </xf>
    <xf numFmtId="165" fontId="6" fillId="2" borderId="32" xfId="0" applyNumberFormat="1" applyFont="1" applyFill="1" applyBorder="1" applyAlignment="1">
      <alignment horizontal="right"/>
    </xf>
    <xf numFmtId="165" fontId="6" fillId="2" borderId="29" xfId="0" applyNumberFormat="1" applyFont="1" applyFill="1" applyBorder="1" applyAlignment="1">
      <alignment horizontal="right"/>
    </xf>
    <xf numFmtId="165" fontId="6" fillId="2" borderId="14" xfId="0" applyNumberFormat="1" applyFont="1" applyFill="1" applyBorder="1" applyAlignment="1">
      <alignment horizontal="right"/>
    </xf>
    <xf numFmtId="165" fontId="6" fillId="2" borderId="11" xfId="0" applyNumberFormat="1" applyFont="1" applyFill="1" applyBorder="1" applyAlignment="1">
      <alignment horizontal="right"/>
    </xf>
    <xf numFmtId="0" fontId="4" fillId="4" borderId="7" xfId="0" applyFont="1" applyFill="1" applyBorder="1"/>
    <xf numFmtId="165" fontId="4" fillId="4" borderId="2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0" fontId="4" fillId="4" borderId="34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wrapText="1"/>
    </xf>
    <xf numFmtId="165" fontId="4" fillId="2" borderId="8" xfId="0" applyNumberFormat="1" applyFont="1" applyFill="1" applyBorder="1" applyAlignment="1">
      <alignment horizontal="right" vertical="center"/>
    </xf>
    <xf numFmtId="165" fontId="4" fillId="2" borderId="33" xfId="0" applyNumberFormat="1" applyFont="1" applyFill="1" applyBorder="1" applyAlignment="1">
      <alignment horizontal="right" vertical="center"/>
    </xf>
    <xf numFmtId="165" fontId="4" fillId="2" borderId="43" xfId="0" applyNumberFormat="1" applyFont="1" applyFill="1" applyBorder="1" applyAlignment="1">
      <alignment horizontal="right" vertical="center"/>
    </xf>
    <xf numFmtId="165" fontId="4" fillId="2" borderId="18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right"/>
    </xf>
    <xf numFmtId="165" fontId="4" fillId="2" borderId="9" xfId="0" applyNumberFormat="1" applyFont="1" applyFill="1" applyBorder="1" applyAlignment="1">
      <alignment horizontal="right"/>
    </xf>
    <xf numFmtId="165" fontId="6" fillId="2" borderId="9" xfId="0" applyNumberFormat="1" applyFont="1" applyFill="1" applyBorder="1" applyAlignment="1">
      <alignment horizontal="right"/>
    </xf>
    <xf numFmtId="165" fontId="4" fillId="2" borderId="39" xfId="0" applyNumberFormat="1" applyFont="1" applyFill="1" applyBorder="1" applyAlignment="1">
      <alignment horizontal="right" vertical="center"/>
    </xf>
    <xf numFmtId="2" fontId="22" fillId="2" borderId="0" xfId="0" applyNumberFormat="1" applyFont="1" applyFill="1" applyBorder="1" applyAlignment="1">
      <alignment wrapText="1"/>
    </xf>
    <xf numFmtId="0" fontId="22" fillId="2" borderId="0" xfId="0" applyFont="1" applyFill="1"/>
    <xf numFmtId="0" fontId="0" fillId="2" borderId="13" xfId="0" applyFill="1" applyBorder="1"/>
    <xf numFmtId="0" fontId="0" fillId="2" borderId="36" xfId="0" applyFill="1" applyBorder="1"/>
    <xf numFmtId="0" fontId="0" fillId="2" borderId="16" xfId="0" applyFill="1" applyBorder="1"/>
    <xf numFmtId="0" fontId="4" fillId="2" borderId="36" xfId="0" applyFont="1" applyFill="1" applyBorder="1" applyAlignment="1">
      <alignment wrapText="1"/>
    </xf>
    <xf numFmtId="0" fontId="4" fillId="2" borderId="17" xfId="0" applyFont="1" applyFill="1" applyBorder="1"/>
    <xf numFmtId="165" fontId="4" fillId="4" borderId="2" xfId="0" applyNumberFormat="1" applyFont="1" applyFill="1" applyBorder="1"/>
    <xf numFmtId="165" fontId="4" fillId="2" borderId="13" xfId="0" applyNumberFormat="1" applyFont="1" applyFill="1" applyBorder="1" applyAlignment="1">
      <alignment horizontal="right" vertical="center"/>
    </xf>
    <xf numFmtId="165" fontId="4" fillId="2" borderId="9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44" xfId="0" applyNumberFormat="1" applyFont="1" applyFill="1" applyBorder="1" applyAlignment="1">
      <alignment horizontal="right" vertical="center"/>
    </xf>
    <xf numFmtId="165" fontId="4" fillId="2" borderId="45" xfId="0" applyNumberFormat="1" applyFont="1" applyFill="1" applyBorder="1" applyAlignment="1">
      <alignment horizontal="right" vertical="center"/>
    </xf>
    <xf numFmtId="165" fontId="0" fillId="2" borderId="11" xfId="0" applyNumberFormat="1" applyFill="1" applyBorder="1"/>
    <xf numFmtId="165" fontId="6" fillId="2" borderId="8" xfId="0" applyNumberFormat="1" applyFont="1" applyFill="1" applyBorder="1" applyAlignment="1">
      <alignment horizontal="right"/>
    </xf>
    <xf numFmtId="165" fontId="6" fillId="2" borderId="33" xfId="0" applyNumberFormat="1" applyFont="1" applyFill="1" applyBorder="1" applyAlignment="1">
      <alignment horizontal="right"/>
    </xf>
    <xf numFmtId="165" fontId="6" fillId="2" borderId="43" xfId="0" applyNumberFormat="1" applyFont="1" applyFill="1" applyBorder="1" applyAlignment="1">
      <alignment horizontal="right"/>
    </xf>
    <xf numFmtId="165" fontId="4" fillId="4" borderId="17" xfId="0" applyNumberFormat="1" applyFont="1" applyFill="1" applyBorder="1" applyAlignment="1">
      <alignment horizontal="right" vertical="center"/>
    </xf>
    <xf numFmtId="165" fontId="4" fillId="4" borderId="43" xfId="0" applyNumberFormat="1" applyFont="1" applyFill="1" applyBorder="1" applyAlignment="1">
      <alignment horizontal="right" vertical="center"/>
    </xf>
    <xf numFmtId="165" fontId="4" fillId="4" borderId="21" xfId="0" applyNumberFormat="1" applyFont="1" applyFill="1" applyBorder="1" applyAlignment="1">
      <alignment horizontal="right" vertical="center"/>
    </xf>
    <xf numFmtId="165" fontId="4" fillId="4" borderId="45" xfId="0" applyNumberFormat="1" applyFont="1" applyFill="1" applyBorder="1" applyAlignment="1">
      <alignment horizontal="right" vertical="center"/>
    </xf>
    <xf numFmtId="0" fontId="23" fillId="2" borderId="0" xfId="22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horizontal="center" vertical="center"/>
    </xf>
    <xf numFmtId="167" fontId="25" fillId="2" borderId="0" xfId="0" applyNumberFormat="1" applyFont="1" applyFill="1" applyBorder="1" applyAlignment="1" applyProtection="1">
      <alignment horizontal="center" vertical="center"/>
      <protection hidden="1"/>
    </xf>
    <xf numFmtId="167" fontId="25" fillId="2" borderId="13" xfId="0" applyNumberFormat="1" applyFont="1" applyFill="1" applyBorder="1" applyAlignment="1" applyProtection="1">
      <alignment vertical="center"/>
      <protection hidden="1"/>
    </xf>
    <xf numFmtId="167" fontId="25" fillId="2" borderId="0" xfId="0" applyNumberFormat="1" applyFont="1" applyFill="1" applyBorder="1" applyAlignment="1" applyProtection="1">
      <alignment vertical="center"/>
      <protection hidden="1"/>
    </xf>
    <xf numFmtId="167" fontId="18" fillId="2" borderId="0" xfId="0" applyNumberFormat="1" applyFont="1" applyFill="1" applyBorder="1" applyAlignment="1" applyProtection="1">
      <alignment vertical="center"/>
      <protection hidden="1"/>
    </xf>
    <xf numFmtId="167" fontId="18" fillId="2" borderId="11" xfId="0" applyNumberFormat="1" applyFont="1" applyFill="1" applyBorder="1" applyAlignment="1" applyProtection="1">
      <alignment vertical="center"/>
      <protection hidden="1"/>
    </xf>
    <xf numFmtId="0" fontId="24" fillId="5" borderId="3" xfId="22" applyFont="1" applyFill="1" applyBorder="1" applyAlignment="1">
      <alignment vertical="center"/>
    </xf>
    <xf numFmtId="165" fontId="4" fillId="2" borderId="16" xfId="0" applyNumberFormat="1" applyFont="1" applyFill="1" applyBorder="1" applyAlignment="1">
      <alignment horizontal="right" vertical="center"/>
    </xf>
    <xf numFmtId="165" fontId="4" fillId="4" borderId="28" xfId="0" applyNumberFormat="1" applyFont="1" applyFill="1" applyBorder="1"/>
    <xf numFmtId="165" fontId="26" fillId="2" borderId="0" xfId="0" applyNumberFormat="1" applyFont="1" applyFill="1" applyBorder="1"/>
    <xf numFmtId="165" fontId="4" fillId="4" borderId="7" xfId="0" applyNumberFormat="1" applyFont="1" applyFill="1" applyBorder="1"/>
    <xf numFmtId="165" fontId="6" fillId="2" borderId="0" xfId="0" applyNumberFormat="1" applyFont="1" applyFill="1" applyBorder="1" applyAlignment="1">
      <alignment horizontal="right"/>
    </xf>
    <xf numFmtId="165" fontId="0" fillId="2" borderId="0" xfId="0" applyNumberFormat="1" applyFill="1" applyBorder="1"/>
    <xf numFmtId="165" fontId="4" fillId="2" borderId="0" xfId="0" applyNumberFormat="1" applyFont="1" applyFill="1" applyBorder="1"/>
    <xf numFmtId="165" fontId="6" fillId="2" borderId="8" xfId="0" applyNumberFormat="1" applyFont="1" applyFill="1" applyBorder="1" applyAlignment="1">
      <alignment horizontal="right" vertical="center"/>
    </xf>
    <xf numFmtId="2" fontId="6" fillId="2" borderId="16" xfId="0" applyNumberFormat="1" applyFont="1" applyFill="1" applyBorder="1" applyAlignment="1">
      <alignment horizontal="left" vertical="center" wrapText="1"/>
    </xf>
    <xf numFmtId="0" fontId="23" fillId="9" borderId="3" xfId="22" applyFont="1" applyFill="1" applyBorder="1" applyAlignment="1">
      <alignment vertical="center"/>
    </xf>
    <xf numFmtId="2" fontId="4" fillId="10" borderId="3" xfId="0" applyNumberFormat="1" applyFont="1" applyFill="1" applyBorder="1" applyAlignment="1">
      <alignment horizontal="left" vertical="center" wrapText="1"/>
    </xf>
    <xf numFmtId="165" fontId="4" fillId="10" borderId="2" xfId="0" applyNumberFormat="1" applyFont="1" applyFill="1" applyBorder="1" applyAlignment="1">
      <alignment horizontal="right" vertical="center"/>
    </xf>
    <xf numFmtId="4" fontId="4" fillId="10" borderId="23" xfId="0" applyNumberFormat="1" applyFont="1" applyFill="1" applyBorder="1" applyAlignment="1">
      <alignment horizontal="right" vertical="center"/>
    </xf>
    <xf numFmtId="0" fontId="4" fillId="10" borderId="34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/>
    </xf>
    <xf numFmtId="2" fontId="6" fillId="2" borderId="19" xfId="0" applyNumberFormat="1" applyFont="1" applyFill="1" applyBorder="1" applyAlignment="1">
      <alignment horizontal="left" vertical="center" wrapText="1"/>
    </xf>
    <xf numFmtId="165" fontId="4" fillId="2" borderId="29" xfId="0" applyNumberFormat="1" applyFont="1" applyFill="1" applyBorder="1" applyAlignment="1">
      <alignment horizontal="right" vertical="center"/>
    </xf>
    <xf numFmtId="165" fontId="4" fillId="2" borderId="11" xfId="0" applyNumberFormat="1" applyFont="1" applyFill="1" applyBorder="1" applyAlignment="1">
      <alignment horizontal="right" vertical="center"/>
    </xf>
    <xf numFmtId="165" fontId="0" fillId="2" borderId="18" xfId="0" applyNumberFormat="1" applyFill="1" applyBorder="1"/>
    <xf numFmtId="165" fontId="4" fillId="4" borderId="30" xfId="0" applyNumberFormat="1" applyFont="1" applyFill="1" applyBorder="1"/>
    <xf numFmtId="165" fontId="0" fillId="2" borderId="30" xfId="0" applyNumberFormat="1" applyFill="1" applyBorder="1"/>
    <xf numFmtId="165" fontId="6" fillId="2" borderId="39" xfId="0" applyNumberFormat="1" applyFont="1" applyFill="1" applyBorder="1" applyAlignment="1">
      <alignment horizontal="right"/>
    </xf>
    <xf numFmtId="165" fontId="4" fillId="4" borderId="39" xfId="0" applyNumberFormat="1" applyFont="1" applyFill="1" applyBorder="1" applyAlignment="1">
      <alignment horizontal="right" vertical="center"/>
    </xf>
    <xf numFmtId="176" fontId="4" fillId="4" borderId="23" xfId="0" applyNumberFormat="1" applyFont="1" applyFill="1" applyBorder="1" applyAlignment="1">
      <alignment horizontal="right"/>
    </xf>
    <xf numFmtId="165" fontId="0" fillId="2" borderId="0" xfId="0" applyNumberFormat="1" applyFill="1"/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" fontId="28" fillId="0" borderId="0" xfId="22" applyNumberFormat="1" applyFont="1" applyFill="1" applyBorder="1" applyAlignment="1">
      <alignment vertical="center"/>
    </xf>
    <xf numFmtId="165" fontId="28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76" fontId="0" fillId="2" borderId="0" xfId="0" applyNumberFormat="1" applyFill="1"/>
    <xf numFmtId="165" fontId="6" fillId="2" borderId="0" xfId="0" applyNumberFormat="1" applyFont="1" applyFill="1"/>
    <xf numFmtId="4" fontId="4" fillId="2" borderId="18" xfId="0" applyNumberFormat="1" applyFont="1" applyFill="1" applyBorder="1" applyAlignment="1">
      <alignment horizontal="right" vertical="center"/>
    </xf>
    <xf numFmtId="17" fontId="6" fillId="0" borderId="0" xfId="0" applyNumberFormat="1" applyFont="1"/>
    <xf numFmtId="4" fontId="6" fillId="2" borderId="0" xfId="0" applyNumberFormat="1" applyFont="1" applyFill="1"/>
    <xf numFmtId="0" fontId="24" fillId="5" borderId="3" xfId="38" applyFont="1" applyFill="1" applyBorder="1" applyAlignment="1">
      <alignment vertical="center"/>
    </xf>
    <xf numFmtId="0" fontId="23" fillId="2" borderId="0" xfId="38" applyFont="1" applyFill="1" applyBorder="1" applyAlignment="1">
      <alignment vertical="center"/>
    </xf>
    <xf numFmtId="4" fontId="4" fillId="2" borderId="0" xfId="0" applyNumberFormat="1" applyFont="1" applyFill="1" applyBorder="1"/>
    <xf numFmtId="165" fontId="6" fillId="13" borderId="32" xfId="22" applyNumberFormat="1" applyFont="1" applyFill="1" applyBorder="1" applyAlignment="1">
      <alignment vertical="center"/>
    </xf>
    <xf numFmtId="0" fontId="31" fillId="2" borderId="0" xfId="0" applyFont="1" applyFill="1"/>
    <xf numFmtId="2" fontId="4" fillId="2" borderId="0" xfId="0" applyNumberFormat="1" applyFont="1" applyFill="1" applyBorder="1"/>
    <xf numFmtId="4" fontId="0" fillId="2" borderId="0" xfId="0" applyNumberFormat="1" applyFill="1" applyBorder="1"/>
    <xf numFmtId="0" fontId="6" fillId="0" borderId="0" xfId="0" applyFont="1" applyFill="1" applyBorder="1"/>
    <xf numFmtId="165" fontId="4" fillId="10" borderId="37" xfId="0" applyNumberFormat="1" applyFont="1" applyFill="1" applyBorder="1" applyAlignment="1">
      <alignment horizontal="right" vertical="center"/>
    </xf>
    <xf numFmtId="165" fontId="6" fillId="2" borderId="19" xfId="0" applyNumberFormat="1" applyFont="1" applyFill="1" applyBorder="1" applyAlignment="1">
      <alignment horizontal="right" vertical="center"/>
    </xf>
    <xf numFmtId="165" fontId="6" fillId="2" borderId="17" xfId="0" applyNumberFormat="1" applyFont="1" applyFill="1" applyBorder="1" applyAlignment="1">
      <alignment horizontal="right" vertical="center"/>
    </xf>
    <xf numFmtId="4" fontId="4" fillId="10" borderId="30" xfId="0" applyNumberFormat="1" applyFont="1" applyFill="1" applyBorder="1" applyAlignment="1">
      <alignment horizontal="right" vertical="center"/>
    </xf>
    <xf numFmtId="165" fontId="4" fillId="10" borderId="31" xfId="0" applyNumberFormat="1" applyFont="1" applyFill="1" applyBorder="1" applyAlignment="1">
      <alignment horizontal="right" vertical="center"/>
    </xf>
    <xf numFmtId="2" fontId="6" fillId="2" borderId="17" xfId="0" applyNumberFormat="1" applyFont="1" applyFill="1" applyBorder="1" applyAlignment="1">
      <alignment horizontal="left" vertical="center" wrapText="1"/>
    </xf>
    <xf numFmtId="4" fontId="4" fillId="10" borderId="35" xfId="0" applyNumberFormat="1" applyFont="1" applyFill="1" applyBorder="1" applyAlignment="1">
      <alignment horizontal="right" vertical="center"/>
    </xf>
    <xf numFmtId="0" fontId="4" fillId="10" borderId="45" xfId="0" applyFont="1" applyFill="1" applyBorder="1" applyAlignment="1">
      <alignment horizontal="center" vertical="center" wrapText="1"/>
    </xf>
    <xf numFmtId="4" fontId="4" fillId="10" borderId="20" xfId="0" applyNumberFormat="1" applyFont="1" applyFill="1" applyBorder="1" applyAlignment="1">
      <alignment horizontal="right" vertical="center"/>
    </xf>
    <xf numFmtId="17" fontId="17" fillId="0" borderId="0" xfId="0" applyNumberFormat="1" applyFont="1" applyAlignment="1">
      <alignment vertical="center"/>
    </xf>
    <xf numFmtId="165" fontId="6" fillId="2" borderId="13" xfId="0" applyNumberFormat="1" applyFont="1" applyFill="1" applyBorder="1" applyAlignment="1">
      <alignment horizontal="right" vertical="center"/>
    </xf>
    <xf numFmtId="165" fontId="6" fillId="2" borderId="4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165" fontId="6" fillId="0" borderId="0" xfId="0" applyNumberFormat="1" applyFont="1"/>
    <xf numFmtId="165" fontId="6" fillId="0" borderId="5" xfId="0" applyNumberFormat="1" applyFont="1" applyBorder="1" applyAlignment="1">
      <alignment horizontal="right" vertical="center"/>
    </xf>
    <xf numFmtId="0" fontId="21" fillId="2" borderId="0" xfId="0" applyFont="1" applyFill="1" applyBorder="1"/>
    <xf numFmtId="4" fontId="33" fillId="2" borderId="0" xfId="0" applyNumberFormat="1" applyFont="1" applyFill="1" applyBorder="1"/>
    <xf numFmtId="4" fontId="33" fillId="2" borderId="0" xfId="0" applyNumberFormat="1" applyFont="1" applyFill="1"/>
    <xf numFmtId="4" fontId="33" fillId="0" borderId="0" xfId="0" applyNumberFormat="1" applyFont="1"/>
    <xf numFmtId="167" fontId="3" fillId="2" borderId="0" xfId="0" applyNumberFormat="1" applyFont="1" applyFill="1" applyProtection="1">
      <protection hidden="1"/>
    </xf>
    <xf numFmtId="167" fontId="34" fillId="0" borderId="0" xfId="0" applyNumberFormat="1" applyFont="1" applyFill="1" applyProtection="1">
      <protection hidden="1"/>
    </xf>
    <xf numFmtId="165" fontId="6" fillId="0" borderId="6" xfId="0" applyNumberFormat="1" applyFont="1" applyBorder="1" applyAlignment="1">
      <alignment horizontal="right" vertical="center"/>
    </xf>
    <xf numFmtId="167" fontId="34" fillId="0" borderId="0" xfId="0" applyNumberFormat="1" applyFont="1" applyFill="1" applyBorder="1" applyProtection="1">
      <protection hidden="1"/>
    </xf>
    <xf numFmtId="165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4" fillId="2" borderId="2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wrapText="1" indent="1"/>
    </xf>
    <xf numFmtId="166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wrapText="1" indent="2"/>
    </xf>
    <xf numFmtId="0" fontId="35" fillId="0" borderId="0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/>
    <xf numFmtId="4" fontId="6" fillId="0" borderId="0" xfId="0" applyNumberFormat="1" applyFont="1"/>
    <xf numFmtId="4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wrapText="1"/>
    </xf>
    <xf numFmtId="49" fontId="6" fillId="2" borderId="0" xfId="0" applyNumberFormat="1" applyFont="1" applyFill="1" applyAlignment="1">
      <alignment wrapText="1"/>
    </xf>
    <xf numFmtId="168" fontId="6" fillId="2" borderId="0" xfId="27" applyNumberFormat="1" applyFont="1" applyFill="1" applyBorder="1" applyAlignment="1">
      <alignment wrapText="1"/>
    </xf>
    <xf numFmtId="4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/>
    <xf numFmtId="165" fontId="6" fillId="0" borderId="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wrapText="1"/>
    </xf>
    <xf numFmtId="4" fontId="4" fillId="2" borderId="35" xfId="0" applyNumberFormat="1" applyFont="1" applyFill="1" applyBorder="1" applyAlignment="1">
      <alignment horizontal="right" vertical="center"/>
    </xf>
    <xf numFmtId="4" fontId="4" fillId="2" borderId="39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right" vertical="center"/>
    </xf>
    <xf numFmtId="165" fontId="6" fillId="2" borderId="56" xfId="0" applyNumberFormat="1" applyFont="1" applyFill="1" applyBorder="1" applyAlignment="1">
      <alignment horizontal="right" vertical="center"/>
    </xf>
    <xf numFmtId="4" fontId="4" fillId="2" borderId="4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21" xfId="0" applyFont="1" applyBorder="1"/>
    <xf numFmtId="0" fontId="19" fillId="2" borderId="21" xfId="0" applyFont="1" applyFill="1" applyBorder="1" applyAlignment="1">
      <alignment horizontal="left" vertical="center"/>
    </xf>
    <xf numFmtId="167" fontId="18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8" fillId="4" borderId="34" xfId="0" applyFont="1" applyFill="1" applyBorder="1" applyAlignment="1">
      <alignment horizontal="center" vertical="center"/>
    </xf>
    <xf numFmtId="0" fontId="38" fillId="4" borderId="41" xfId="0" applyFont="1" applyFill="1" applyBorder="1" applyAlignment="1">
      <alignment horizontal="center" vertical="center"/>
    </xf>
    <xf numFmtId="0" fontId="38" fillId="4" borderId="42" xfId="0" applyFont="1" applyFill="1" applyBorder="1" applyAlignment="1">
      <alignment horizontal="center" vertical="center"/>
    </xf>
    <xf numFmtId="0" fontId="38" fillId="4" borderId="40" xfId="0" applyFont="1" applyFill="1" applyBorder="1" applyAlignment="1">
      <alignment horizontal="center" vertical="center"/>
    </xf>
    <xf numFmtId="0" fontId="39" fillId="4" borderId="48" xfId="0" applyFont="1" applyFill="1" applyBorder="1" applyAlignment="1">
      <alignment horizontal="center" vertical="center"/>
    </xf>
    <xf numFmtId="0" fontId="38" fillId="4" borderId="48" xfId="0" applyFont="1" applyFill="1" applyBorder="1" applyAlignment="1">
      <alignment horizontal="center" vertical="center"/>
    </xf>
    <xf numFmtId="0" fontId="38" fillId="4" borderId="7" xfId="0" applyFont="1" applyFill="1" applyBorder="1"/>
    <xf numFmtId="165" fontId="39" fillId="4" borderId="7" xfId="0" applyNumberFormat="1" applyFont="1" applyFill="1" applyBorder="1" applyAlignment="1">
      <alignment horizontal="right"/>
    </xf>
    <xf numFmtId="165" fontId="39" fillId="4" borderId="7" xfId="0" applyNumberFormat="1" applyFont="1" applyFill="1" applyBorder="1" applyAlignment="1">
      <alignment horizontal="center"/>
    </xf>
    <xf numFmtId="2" fontId="39" fillId="4" borderId="7" xfId="0" applyNumberFormat="1" applyFont="1" applyFill="1" applyBorder="1" applyAlignment="1">
      <alignment horizontal="center"/>
    </xf>
    <xf numFmtId="0" fontId="38" fillId="2" borderId="15" xfId="0" applyFont="1" applyFill="1" applyBorder="1"/>
    <xf numFmtId="165" fontId="38" fillId="0" borderId="31" xfId="37" applyNumberFormat="1" applyFont="1" applyFill="1" applyBorder="1" applyAlignment="1">
      <alignment horizontal="right"/>
    </xf>
    <xf numFmtId="165" fontId="38" fillId="0" borderId="37" xfId="37" applyNumberFormat="1" applyFont="1" applyFill="1" applyBorder="1" applyAlignment="1">
      <alignment horizontal="right"/>
    </xf>
    <xf numFmtId="165" fontId="38" fillId="0" borderId="38" xfId="37" applyNumberFormat="1" applyFont="1" applyFill="1" applyBorder="1" applyAlignment="1">
      <alignment horizontal="right"/>
    </xf>
    <xf numFmtId="165" fontId="38" fillId="0" borderId="56" xfId="0" applyNumberFormat="1" applyFont="1" applyFill="1" applyBorder="1" applyAlignment="1">
      <alignment horizontal="right"/>
    </xf>
    <xf numFmtId="165" fontId="38" fillId="0" borderId="35" xfId="0" applyNumberFormat="1" applyFont="1" applyFill="1" applyBorder="1" applyAlignment="1">
      <alignment horizontal="right"/>
    </xf>
    <xf numFmtId="165" fontId="39" fillId="0" borderId="15" xfId="0" applyNumberFormat="1" applyFont="1" applyFill="1" applyBorder="1" applyAlignment="1">
      <alignment horizontal="center"/>
    </xf>
    <xf numFmtId="2" fontId="39" fillId="0" borderId="15" xfId="0" applyNumberFormat="1" applyFont="1" applyFill="1" applyBorder="1" applyAlignment="1">
      <alignment horizontal="center"/>
    </xf>
    <xf numFmtId="0" fontId="40" fillId="2" borderId="36" xfId="0" applyFont="1" applyFill="1" applyBorder="1"/>
    <xf numFmtId="165" fontId="40" fillId="2" borderId="32" xfId="0" applyNumberFormat="1" applyFont="1" applyFill="1" applyBorder="1" applyAlignment="1">
      <alignment horizontal="right"/>
    </xf>
    <xf numFmtId="165" fontId="40" fillId="2" borderId="29" xfId="0" applyNumberFormat="1" applyFont="1" applyFill="1" applyBorder="1" applyAlignment="1">
      <alignment horizontal="right"/>
    </xf>
    <xf numFmtId="165" fontId="40" fillId="2" borderId="11" xfId="0" applyNumberFormat="1" applyFont="1" applyFill="1" applyBorder="1" applyAlignment="1">
      <alignment horizontal="right"/>
    </xf>
    <xf numFmtId="165" fontId="40" fillId="2" borderId="36" xfId="0" applyNumberFormat="1" applyFont="1" applyFill="1" applyBorder="1" applyAlignment="1">
      <alignment horizontal="center"/>
    </xf>
    <xf numFmtId="2" fontId="40" fillId="2" borderId="11" xfId="0" applyNumberFormat="1" applyFont="1" applyFill="1" applyBorder="1" applyAlignment="1">
      <alignment horizontal="center"/>
    </xf>
    <xf numFmtId="0" fontId="38" fillId="2" borderId="36" xfId="0" applyFont="1" applyFill="1" applyBorder="1"/>
    <xf numFmtId="165" fontId="38" fillId="0" borderId="32" xfId="37" applyNumberFormat="1" applyFont="1" applyFill="1" applyBorder="1" applyAlignment="1">
      <alignment horizontal="right"/>
    </xf>
    <xf numFmtId="165" fontId="38" fillId="0" borderId="14" xfId="37" applyNumberFormat="1" applyFont="1" applyFill="1" applyBorder="1" applyAlignment="1">
      <alignment horizontal="right"/>
    </xf>
    <xf numFmtId="165" fontId="38" fillId="0" borderId="29" xfId="37" applyNumberFormat="1" applyFont="1" applyFill="1" applyBorder="1" applyAlignment="1">
      <alignment horizontal="right"/>
    </xf>
    <xf numFmtId="165" fontId="38" fillId="0" borderId="11" xfId="37" applyNumberFormat="1" applyFont="1" applyFill="1" applyBorder="1" applyAlignment="1">
      <alignment horizontal="right"/>
    </xf>
    <xf numFmtId="165" fontId="39" fillId="0" borderId="36" xfId="0" applyNumberFormat="1" applyFont="1" applyFill="1" applyBorder="1" applyAlignment="1">
      <alignment horizontal="center"/>
    </xf>
    <xf numFmtId="2" fontId="39" fillId="0" borderId="36" xfId="0" applyNumberFormat="1" applyFont="1" applyFill="1" applyBorder="1" applyAlignment="1">
      <alignment horizontal="center"/>
    </xf>
    <xf numFmtId="165" fontId="38" fillId="2" borderId="11" xfId="37" applyNumberFormat="1" applyFont="1" applyFill="1" applyBorder="1" applyAlignment="1">
      <alignment horizontal="right"/>
    </xf>
    <xf numFmtId="165" fontId="41" fillId="2" borderId="9" xfId="39" applyNumberFormat="1" applyFont="1" applyFill="1" applyBorder="1" applyAlignment="1">
      <alignment horizontal="right" wrapText="1"/>
    </xf>
    <xf numFmtId="0" fontId="38" fillId="2" borderId="16" xfId="0" applyFont="1" applyFill="1" applyBorder="1" applyAlignment="1">
      <alignment wrapText="1"/>
    </xf>
    <xf numFmtId="165" fontId="38" fillId="0" borderId="8" xfId="37" applyNumberFormat="1" applyFont="1" applyFill="1" applyBorder="1" applyAlignment="1">
      <alignment horizontal="right" vertical="center"/>
    </xf>
    <xf numFmtId="165" fontId="38" fillId="0" borderId="43" xfId="37" applyNumberFormat="1" applyFont="1" applyFill="1" applyBorder="1" applyAlignment="1">
      <alignment horizontal="right" vertical="center"/>
    </xf>
    <xf numFmtId="165" fontId="38" fillId="0" borderId="33" xfId="37" applyNumberFormat="1" applyFont="1" applyFill="1" applyBorder="1" applyAlignment="1">
      <alignment horizontal="right" vertical="center"/>
    </xf>
    <xf numFmtId="165" fontId="38" fillId="0" borderId="45" xfId="0" applyNumberFormat="1" applyFont="1" applyFill="1" applyBorder="1" applyAlignment="1">
      <alignment horizontal="right" vertical="center"/>
    </xf>
    <xf numFmtId="165" fontId="38" fillId="0" borderId="39" xfId="0" applyNumberFormat="1" applyFont="1" applyFill="1" applyBorder="1" applyAlignment="1">
      <alignment horizontal="right" vertical="center"/>
    </xf>
    <xf numFmtId="165" fontId="39" fillId="0" borderId="16" xfId="0" applyNumberFormat="1" applyFont="1" applyFill="1" applyBorder="1" applyAlignment="1">
      <alignment horizontal="center" vertical="center"/>
    </xf>
    <xf numFmtId="2" fontId="39" fillId="0" borderId="16" xfId="0" applyNumberFormat="1" applyFont="1" applyFill="1" applyBorder="1" applyAlignment="1">
      <alignment horizontal="center" vertical="center"/>
    </xf>
    <xf numFmtId="165" fontId="38" fillId="4" borderId="7" xfId="0" applyNumberFormat="1" applyFont="1" applyFill="1" applyBorder="1"/>
    <xf numFmtId="165" fontId="38" fillId="2" borderId="32" xfId="0" applyNumberFormat="1" applyFont="1" applyFill="1" applyBorder="1" applyAlignment="1">
      <alignment horizontal="right" vertical="center"/>
    </xf>
    <xf numFmtId="165" fontId="38" fillId="2" borderId="14" xfId="0" applyNumberFormat="1" applyFont="1" applyFill="1" applyBorder="1" applyAlignment="1">
      <alignment horizontal="right" vertical="center"/>
    </xf>
    <xf numFmtId="165" fontId="38" fillId="2" borderId="29" xfId="0" applyNumberFormat="1" applyFont="1" applyFill="1" applyBorder="1" applyAlignment="1">
      <alignment horizontal="right" vertical="center"/>
    </xf>
    <xf numFmtId="165" fontId="38" fillId="2" borderId="37" xfId="0" applyNumberFormat="1" applyFont="1" applyFill="1" applyBorder="1" applyAlignment="1">
      <alignment horizontal="right" vertical="center"/>
    </xf>
    <xf numFmtId="165" fontId="38" fillId="2" borderId="11" xfId="0" applyNumberFormat="1" applyFont="1" applyFill="1" applyBorder="1" applyAlignment="1">
      <alignment horizontal="right" vertical="center"/>
    </xf>
    <xf numFmtId="165" fontId="39" fillId="2" borderId="36" xfId="0" applyNumberFormat="1" applyFont="1" applyFill="1" applyBorder="1" applyAlignment="1">
      <alignment horizontal="center" vertical="center"/>
    </xf>
    <xf numFmtId="2" fontId="39" fillId="2" borderId="36" xfId="0" applyNumberFormat="1" applyFont="1" applyFill="1" applyBorder="1" applyAlignment="1">
      <alignment horizontal="center" vertical="center"/>
    </xf>
    <xf numFmtId="165" fontId="38" fillId="0" borderId="32" xfId="0" applyNumberFormat="1" applyFont="1" applyFill="1" applyBorder="1" applyAlignment="1">
      <alignment horizontal="right" vertical="center"/>
    </xf>
    <xf numFmtId="165" fontId="38" fillId="0" borderId="14" xfId="0" applyNumberFormat="1" applyFont="1" applyFill="1" applyBorder="1" applyAlignment="1">
      <alignment horizontal="right" vertical="center"/>
    </xf>
    <xf numFmtId="2" fontId="39" fillId="0" borderId="36" xfId="0" applyNumberFormat="1" applyFont="1" applyFill="1" applyBorder="1" applyAlignment="1">
      <alignment horizontal="center" vertical="center"/>
    </xf>
    <xf numFmtId="165" fontId="40" fillId="2" borderId="14" xfId="0" applyNumberFormat="1" applyFont="1" applyFill="1" applyBorder="1" applyAlignment="1">
      <alignment horizontal="right"/>
    </xf>
    <xf numFmtId="165" fontId="42" fillId="2" borderId="36" xfId="0" applyNumberFormat="1" applyFont="1" applyFill="1" applyBorder="1" applyAlignment="1">
      <alignment horizontal="center"/>
    </xf>
    <xf numFmtId="2" fontId="42" fillId="2" borderId="36" xfId="0" applyNumberFormat="1" applyFont="1" applyFill="1" applyBorder="1" applyAlignment="1">
      <alignment horizontal="center"/>
    </xf>
    <xf numFmtId="165" fontId="39" fillId="2" borderId="36" xfId="0" applyNumberFormat="1" applyFont="1" applyFill="1" applyBorder="1" applyAlignment="1">
      <alignment horizontal="center"/>
    </xf>
    <xf numFmtId="2" fontId="39" fillId="2" borderId="36" xfId="0" applyNumberFormat="1" applyFont="1" applyFill="1" applyBorder="1" applyAlignment="1">
      <alignment horizontal="center"/>
    </xf>
    <xf numFmtId="0" fontId="38" fillId="0" borderId="36" xfId="0" applyFont="1" applyFill="1" applyBorder="1"/>
    <xf numFmtId="165" fontId="40" fillId="2" borderId="29" xfId="0" applyNumberFormat="1" applyFont="1" applyFill="1" applyBorder="1" applyAlignment="1">
      <alignment horizontal="right" vertical="center"/>
    </xf>
    <xf numFmtId="0" fontId="38" fillId="2" borderId="36" xfId="0" applyFont="1" applyFill="1" applyBorder="1" applyAlignment="1">
      <alignment wrapText="1"/>
    </xf>
    <xf numFmtId="0" fontId="40" fillId="2" borderId="16" xfId="0" applyFont="1" applyFill="1" applyBorder="1"/>
    <xf numFmtId="165" fontId="40" fillId="2" borderId="8" xfId="0" applyNumberFormat="1" applyFont="1" applyFill="1" applyBorder="1" applyAlignment="1">
      <alignment horizontal="right"/>
    </xf>
    <xf numFmtId="165" fontId="40" fillId="2" borderId="43" xfId="0" applyNumberFormat="1" applyFont="1" applyFill="1" applyBorder="1" applyAlignment="1">
      <alignment horizontal="right"/>
    </xf>
    <xf numFmtId="165" fontId="40" fillId="2" borderId="33" xfId="0" applyNumberFormat="1" applyFont="1" applyFill="1" applyBorder="1" applyAlignment="1">
      <alignment horizontal="right"/>
    </xf>
    <xf numFmtId="165" fontId="40" fillId="2" borderId="18" xfId="0" applyNumberFormat="1" applyFont="1" applyFill="1" applyBorder="1" applyAlignment="1">
      <alignment horizontal="right"/>
    </xf>
    <xf numFmtId="165" fontId="42" fillId="2" borderId="16" xfId="0" applyNumberFormat="1" applyFont="1" applyFill="1" applyBorder="1" applyAlignment="1">
      <alignment horizontal="center"/>
    </xf>
    <xf numFmtId="2" fontId="42" fillId="2" borderId="16" xfId="0" applyNumberFormat="1" applyFont="1" applyFill="1" applyBorder="1" applyAlignment="1">
      <alignment horizontal="center"/>
    </xf>
    <xf numFmtId="165" fontId="38" fillId="4" borderId="2" xfId="0" applyNumberFormat="1" applyFont="1" applyFill="1" applyBorder="1" applyAlignment="1">
      <alignment horizontal="right" vertical="center"/>
    </xf>
    <xf numFmtId="165" fontId="38" fillId="4" borderId="1" xfId="0" applyNumberFormat="1" applyFont="1" applyFill="1" applyBorder="1" applyAlignment="1">
      <alignment horizontal="right" vertical="center"/>
    </xf>
    <xf numFmtId="165" fontId="38" fillId="4" borderId="28" xfId="0" applyNumberFormat="1" applyFont="1" applyFill="1" applyBorder="1" applyAlignment="1">
      <alignment horizontal="right" vertical="center"/>
    </xf>
    <xf numFmtId="165" fontId="38" fillId="4" borderId="33" xfId="0" applyNumberFormat="1" applyFont="1" applyFill="1" applyBorder="1" applyAlignment="1">
      <alignment horizontal="right" vertical="center"/>
    </xf>
    <xf numFmtId="165" fontId="38" fillId="4" borderId="21" xfId="0" applyNumberFormat="1" applyFont="1" applyFill="1" applyBorder="1" applyAlignment="1">
      <alignment horizontal="right" vertical="center"/>
    </xf>
    <xf numFmtId="165" fontId="38" fillId="4" borderId="18" xfId="0" applyNumberFormat="1" applyFont="1" applyFill="1" applyBorder="1" applyAlignment="1">
      <alignment horizontal="right" vertical="center"/>
    </xf>
    <xf numFmtId="165" fontId="39" fillId="4" borderId="15" xfId="0" applyNumberFormat="1" applyFont="1" applyFill="1" applyBorder="1" applyAlignment="1">
      <alignment horizontal="center"/>
    </xf>
    <xf numFmtId="2" fontId="39" fillId="4" borderId="15" xfId="0" applyNumberFormat="1" applyFont="1" applyFill="1" applyBorder="1" applyAlignment="1">
      <alignment horizontal="center"/>
    </xf>
    <xf numFmtId="165" fontId="42" fillId="2" borderId="15" xfId="0" applyNumberFormat="1" applyFont="1" applyFill="1" applyBorder="1" applyAlignment="1">
      <alignment horizontal="center"/>
    </xf>
    <xf numFmtId="2" fontId="42" fillId="2" borderId="15" xfId="0" applyNumberFormat="1" applyFont="1" applyFill="1" applyBorder="1" applyAlignment="1">
      <alignment horizontal="center"/>
    </xf>
    <xf numFmtId="165" fontId="40" fillId="2" borderId="63" xfId="0" applyNumberFormat="1" applyFont="1" applyFill="1" applyBorder="1" applyAlignment="1">
      <alignment horizontal="right"/>
    </xf>
    <xf numFmtId="165" fontId="40" fillId="2" borderId="60" xfId="0" applyNumberFormat="1" applyFont="1" applyFill="1" applyBorder="1" applyAlignment="1">
      <alignment horizontal="right"/>
    </xf>
    <xf numFmtId="165" fontId="40" fillId="2" borderId="65" xfId="0" applyNumberFormat="1" applyFont="1" applyFill="1" applyBorder="1" applyAlignment="1">
      <alignment horizontal="right"/>
    </xf>
    <xf numFmtId="165" fontId="40" fillId="2" borderId="67" xfId="0" applyNumberFormat="1" applyFont="1" applyFill="1" applyBorder="1" applyAlignment="1">
      <alignment horizontal="right"/>
    </xf>
    <xf numFmtId="165" fontId="42" fillId="2" borderId="64" xfId="0" applyNumberFormat="1" applyFont="1" applyFill="1" applyBorder="1" applyAlignment="1">
      <alignment horizontal="center"/>
    </xf>
    <xf numFmtId="165" fontId="40" fillId="2" borderId="44" xfId="0" applyNumberFormat="1" applyFont="1" applyFill="1" applyBorder="1" applyAlignment="1">
      <alignment horizontal="right"/>
    </xf>
    <xf numFmtId="165" fontId="42" fillId="2" borderId="12" xfId="0" applyNumberFormat="1" applyFont="1" applyFill="1" applyBorder="1" applyAlignment="1">
      <alignment horizontal="right"/>
    </xf>
    <xf numFmtId="2" fontId="42" fillId="2" borderId="59" xfId="0" applyNumberFormat="1" applyFont="1" applyFill="1" applyBorder="1" applyAlignment="1">
      <alignment horizontal="center"/>
    </xf>
    <xf numFmtId="165" fontId="40" fillId="2" borderId="31" xfId="0" applyNumberFormat="1" applyFont="1" applyFill="1" applyBorder="1" applyAlignment="1">
      <alignment horizontal="right"/>
    </xf>
    <xf numFmtId="165" fontId="40" fillId="2" borderId="37" xfId="0" applyNumberFormat="1" applyFont="1" applyFill="1" applyBorder="1" applyAlignment="1">
      <alignment horizontal="right"/>
    </xf>
    <xf numFmtId="165" fontId="40" fillId="2" borderId="35" xfId="0" applyNumberFormat="1" applyFont="1" applyFill="1" applyBorder="1" applyAlignment="1">
      <alignment horizontal="right"/>
    </xf>
    <xf numFmtId="165" fontId="40" fillId="2" borderId="9" xfId="0" applyNumberFormat="1" applyFont="1" applyFill="1" applyBorder="1" applyAlignment="1">
      <alignment horizontal="right"/>
    </xf>
    <xf numFmtId="165" fontId="40" fillId="2" borderId="39" xfId="0" applyNumberFormat="1" applyFont="1" applyFill="1" applyBorder="1" applyAlignment="1">
      <alignment horizontal="right"/>
    </xf>
    <xf numFmtId="165" fontId="40" fillId="2" borderId="38" xfId="0" applyNumberFormat="1" applyFont="1" applyFill="1" applyBorder="1" applyAlignment="1">
      <alignment horizontal="right"/>
    </xf>
    <xf numFmtId="0" fontId="38" fillId="2" borderId="17" xfId="0" applyFont="1" applyFill="1" applyBorder="1"/>
    <xf numFmtId="165" fontId="38" fillId="2" borderId="8" xfId="0" applyNumberFormat="1" applyFont="1" applyFill="1" applyBorder="1" applyAlignment="1">
      <alignment horizontal="right" vertical="center"/>
    </xf>
    <xf numFmtId="165" fontId="38" fillId="2" borderId="43" xfId="0" applyNumberFormat="1" applyFont="1" applyFill="1" applyBorder="1" applyAlignment="1">
      <alignment horizontal="right" vertical="center"/>
    </xf>
    <xf numFmtId="165" fontId="38" fillId="2" borderId="33" xfId="0" applyNumberFormat="1" applyFont="1" applyFill="1" applyBorder="1" applyAlignment="1">
      <alignment horizontal="right" vertical="center"/>
    </xf>
    <xf numFmtId="165" fontId="38" fillId="2" borderId="18" xfId="0" applyNumberFormat="1" applyFont="1" applyFill="1" applyBorder="1" applyAlignment="1">
      <alignment horizontal="right" vertical="center"/>
    </xf>
    <xf numFmtId="165" fontId="39" fillId="2" borderId="16" xfId="0" applyNumberFormat="1" applyFont="1" applyFill="1" applyBorder="1" applyAlignment="1">
      <alignment horizontal="center" vertical="center"/>
    </xf>
    <xf numFmtId="2" fontId="39" fillId="2" borderId="16" xfId="0" applyNumberFormat="1" applyFont="1" applyFill="1" applyBorder="1" applyAlignment="1">
      <alignment horizontal="center" vertical="center"/>
    </xf>
    <xf numFmtId="0" fontId="43" fillId="2" borderId="0" xfId="0" applyFont="1" applyFill="1"/>
    <xf numFmtId="0" fontId="40" fillId="2" borderId="0" xfId="0" applyFont="1" applyFill="1"/>
    <xf numFmtId="165" fontId="40" fillId="2" borderId="0" xfId="0" applyNumberFormat="1" applyFont="1" applyFill="1"/>
    <xf numFmtId="0" fontId="38" fillId="4" borderId="46" xfId="0" applyFont="1" applyFill="1" applyBorder="1" applyAlignment="1">
      <alignment horizontal="center" vertical="center"/>
    </xf>
    <xf numFmtId="0" fontId="38" fillId="4" borderId="3" xfId="0" applyFont="1" applyFill="1" applyBorder="1"/>
    <xf numFmtId="165" fontId="39" fillId="4" borderId="2" xfId="0" applyNumberFormat="1" applyFont="1" applyFill="1" applyBorder="1" applyAlignment="1">
      <alignment horizontal="right"/>
    </xf>
    <xf numFmtId="165" fontId="39" fillId="4" borderId="7" xfId="40" applyNumberFormat="1" applyFont="1" applyFill="1" applyBorder="1" applyAlignment="1">
      <alignment horizontal="right"/>
    </xf>
    <xf numFmtId="165" fontId="40" fillId="4" borderId="0" xfId="0" applyNumberFormat="1" applyFont="1" applyFill="1"/>
    <xf numFmtId="0" fontId="40" fillId="4" borderId="0" xfId="0" applyFont="1" applyFill="1"/>
    <xf numFmtId="0" fontId="38" fillId="2" borderId="19" xfId="0" applyFont="1" applyFill="1" applyBorder="1"/>
    <xf numFmtId="0" fontId="40" fillId="2" borderId="13" xfId="0" applyFont="1" applyFill="1" applyBorder="1"/>
    <xf numFmtId="165" fontId="40" fillId="2" borderId="9" xfId="40" applyNumberFormat="1" applyFont="1" applyFill="1" applyBorder="1" applyAlignment="1">
      <alignment horizontal="right"/>
    </xf>
    <xf numFmtId="0" fontId="38" fillId="2" borderId="13" xfId="0" applyFont="1" applyFill="1" applyBorder="1"/>
    <xf numFmtId="165" fontId="38" fillId="0" borderId="9" xfId="37" applyNumberFormat="1" applyFont="1" applyFill="1" applyBorder="1" applyAlignment="1">
      <alignment horizontal="right"/>
    </xf>
    <xf numFmtId="2" fontId="40" fillId="2" borderId="0" xfId="0" applyNumberFormat="1" applyFont="1" applyFill="1"/>
    <xf numFmtId="165" fontId="40" fillId="0" borderId="32" xfId="37" applyNumberFormat="1" applyFont="1" applyFill="1" applyBorder="1" applyAlignment="1">
      <alignment horizontal="right"/>
    </xf>
    <xf numFmtId="165" fontId="40" fillId="0" borderId="14" xfId="37" applyNumberFormat="1" applyFont="1" applyFill="1" applyBorder="1" applyAlignment="1">
      <alignment horizontal="right"/>
    </xf>
    <xf numFmtId="0" fontId="38" fillId="2" borderId="17" xfId="0" applyFont="1" applyFill="1" applyBorder="1" applyAlignment="1">
      <alignment wrapText="1"/>
    </xf>
    <xf numFmtId="165" fontId="38" fillId="0" borderId="43" xfId="0" applyNumberFormat="1" applyFont="1" applyFill="1" applyBorder="1" applyAlignment="1">
      <alignment horizontal="right" vertical="center"/>
    </xf>
    <xf numFmtId="165" fontId="38" fillId="2" borderId="39" xfId="40" applyNumberFormat="1" applyFont="1" applyFill="1" applyBorder="1" applyAlignment="1">
      <alignment horizontal="right"/>
    </xf>
    <xf numFmtId="0" fontId="40" fillId="2" borderId="0" xfId="0" applyFont="1" applyFill="1" applyBorder="1"/>
    <xf numFmtId="165" fontId="38" fillId="4" borderId="2" xfId="0" applyNumberFormat="1" applyFont="1" applyFill="1" applyBorder="1"/>
    <xf numFmtId="165" fontId="38" fillId="4" borderId="3" xfId="0" applyNumberFormat="1" applyFont="1" applyFill="1" applyBorder="1"/>
    <xf numFmtId="165" fontId="40" fillId="2" borderId="0" xfId="0" applyNumberFormat="1" applyFont="1" applyFill="1" applyBorder="1"/>
    <xf numFmtId="165" fontId="38" fillId="2" borderId="37" xfId="0" applyNumberFormat="1" applyFont="1" applyFill="1" applyBorder="1" applyAlignment="1">
      <alignment horizontal="right"/>
    </xf>
    <xf numFmtId="165" fontId="38" fillId="2" borderId="29" xfId="0" applyNumberFormat="1" applyFont="1" applyFill="1" applyBorder="1" applyAlignment="1">
      <alignment horizontal="right"/>
    </xf>
    <xf numFmtId="0" fontId="38" fillId="0" borderId="13" xfId="0" applyFont="1" applyFill="1" applyBorder="1"/>
    <xf numFmtId="165" fontId="38" fillId="2" borderId="32" xfId="0" applyNumberFormat="1" applyFont="1" applyFill="1" applyBorder="1" applyAlignment="1">
      <alignment horizontal="right"/>
    </xf>
    <xf numFmtId="165" fontId="38" fillId="2" borderId="14" xfId="0" applyNumberFormat="1" applyFont="1" applyFill="1" applyBorder="1" applyAlignment="1">
      <alignment horizontal="right"/>
    </xf>
    <xf numFmtId="165" fontId="38" fillId="2" borderId="9" xfId="0" applyNumberFormat="1" applyFont="1" applyFill="1" applyBorder="1" applyAlignment="1">
      <alignment horizontal="right"/>
    </xf>
    <xf numFmtId="165" fontId="39" fillId="0" borderId="36" xfId="0" applyNumberFormat="1" applyFont="1" applyFill="1" applyBorder="1" applyAlignment="1">
      <alignment horizontal="center" vertical="center"/>
    </xf>
    <xf numFmtId="165" fontId="38" fillId="2" borderId="9" xfId="0" applyNumberFormat="1" applyFont="1" applyFill="1" applyBorder="1" applyAlignment="1">
      <alignment horizontal="right" vertical="center"/>
    </xf>
    <xf numFmtId="0" fontId="38" fillId="2" borderId="13" xfId="0" applyFont="1" applyFill="1" applyBorder="1" applyAlignment="1">
      <alignment wrapText="1"/>
    </xf>
    <xf numFmtId="0" fontId="40" fillId="2" borderId="17" xfId="0" applyFont="1" applyFill="1" applyBorder="1"/>
    <xf numFmtId="165" fontId="40" fillId="0" borderId="43" xfId="0" applyNumberFormat="1" applyFont="1" applyFill="1" applyBorder="1" applyAlignment="1">
      <alignment horizontal="right"/>
    </xf>
    <xf numFmtId="165" fontId="38" fillId="4" borderId="10" xfId="0" applyNumberFormat="1" applyFont="1" applyFill="1" applyBorder="1" applyAlignment="1">
      <alignment horizontal="right" vertical="center"/>
    </xf>
    <xf numFmtId="165" fontId="40" fillId="0" borderId="14" xfId="0" applyNumberFormat="1" applyFont="1" applyFill="1" applyBorder="1" applyAlignment="1">
      <alignment horizontal="right"/>
    </xf>
    <xf numFmtId="165" fontId="40" fillId="2" borderId="29" xfId="41" applyNumberFormat="1" applyFont="1" applyFill="1" applyBorder="1" applyAlignment="1">
      <alignment vertical="center"/>
    </xf>
    <xf numFmtId="165" fontId="40" fillId="2" borderId="0" xfId="0" applyNumberFormat="1" applyFont="1" applyFill="1" applyBorder="1" applyAlignment="1">
      <alignment horizontal="right"/>
    </xf>
    <xf numFmtId="2" fontId="40" fillId="0" borderId="0" xfId="0" applyNumberFormat="1" applyFont="1"/>
    <xf numFmtId="165" fontId="38" fillId="2" borderId="39" xfId="0" applyNumberFormat="1" applyFont="1" applyFill="1" applyBorder="1" applyAlignment="1">
      <alignment horizontal="right" vertical="center"/>
    </xf>
    <xf numFmtId="0" fontId="42" fillId="2" borderId="0" xfId="0" applyFont="1" applyFill="1" applyAlignment="1">
      <alignment vertical="top"/>
    </xf>
    <xf numFmtId="165" fontId="38" fillId="4" borderId="2" xfId="0" applyNumberFormat="1" applyFont="1" applyFill="1" applyBorder="1" applyAlignment="1">
      <alignment horizontal="right"/>
    </xf>
    <xf numFmtId="165" fontId="38" fillId="4" borderId="28" xfId="0" applyNumberFormat="1" applyFont="1" applyFill="1" applyBorder="1" applyAlignment="1">
      <alignment horizontal="right"/>
    </xf>
    <xf numFmtId="165" fontId="38" fillId="4" borderId="1" xfId="0" applyNumberFormat="1" applyFont="1" applyFill="1" applyBorder="1" applyAlignment="1">
      <alignment horizontal="right"/>
    </xf>
    <xf numFmtId="165" fontId="38" fillId="4" borderId="28" xfId="0" applyNumberFormat="1" applyFont="1" applyFill="1" applyBorder="1"/>
    <xf numFmtId="165" fontId="38" fillId="2" borderId="16" xfId="0" applyNumberFormat="1" applyFont="1" applyFill="1" applyBorder="1" applyAlignment="1">
      <alignment horizontal="right" vertical="center"/>
    </xf>
    <xf numFmtId="17" fontId="38" fillId="4" borderId="42" xfId="0" applyNumberFormat="1" applyFont="1" applyFill="1" applyBorder="1" applyAlignment="1">
      <alignment horizontal="center" vertical="center"/>
    </xf>
    <xf numFmtId="165" fontId="28" fillId="2" borderId="31" xfId="0" applyNumberFormat="1" applyFont="1" applyFill="1" applyBorder="1" applyAlignment="1">
      <alignment horizontal="right"/>
    </xf>
    <xf numFmtId="165" fontId="28" fillId="2" borderId="32" xfId="0" applyNumberFormat="1" applyFont="1" applyFill="1" applyBorder="1" applyAlignment="1">
      <alignment horizontal="right"/>
    </xf>
    <xf numFmtId="165" fontId="17" fillId="2" borderId="32" xfId="0" applyNumberFormat="1" applyFont="1" applyFill="1" applyBorder="1" applyAlignment="1">
      <alignment horizontal="right"/>
    </xf>
    <xf numFmtId="165" fontId="28" fillId="2" borderId="32" xfId="0" applyNumberFormat="1" applyFont="1" applyFill="1" applyBorder="1" applyAlignment="1">
      <alignment horizontal="right" vertical="center"/>
    </xf>
    <xf numFmtId="165" fontId="17" fillId="2" borderId="8" xfId="0" applyNumberFormat="1" applyFont="1" applyFill="1" applyBorder="1" applyAlignment="1">
      <alignment horizontal="right"/>
    </xf>
    <xf numFmtId="165" fontId="17" fillId="2" borderId="31" xfId="0" applyNumberFormat="1" applyFont="1" applyFill="1" applyBorder="1" applyAlignment="1">
      <alignment horizontal="right"/>
    </xf>
    <xf numFmtId="165" fontId="28" fillId="4" borderId="7" xfId="0" applyNumberFormat="1" applyFont="1" applyFill="1" applyBorder="1"/>
    <xf numFmtId="165" fontId="28" fillId="2" borderId="8" xfId="0" applyNumberFormat="1" applyFont="1" applyFill="1" applyBorder="1" applyAlignment="1">
      <alignment horizontal="right" vertical="center"/>
    </xf>
    <xf numFmtId="165" fontId="40" fillId="2" borderId="33" xfId="41" applyNumberFormat="1" applyFont="1" applyFill="1" applyBorder="1" applyAlignment="1">
      <alignment vertical="center"/>
    </xf>
    <xf numFmtId="165" fontId="40" fillId="2" borderId="2" xfId="0" applyNumberFormat="1" applyFont="1" applyFill="1" applyBorder="1" applyAlignment="1">
      <alignment horizontal="right"/>
    </xf>
    <xf numFmtId="165" fontId="40" fillId="0" borderId="1" xfId="0" applyNumberFormat="1" applyFont="1" applyFill="1" applyBorder="1" applyAlignment="1">
      <alignment horizontal="right"/>
    </xf>
    <xf numFmtId="165" fontId="40" fillId="2" borderId="1" xfId="0" applyNumberFormat="1" applyFont="1" applyFill="1" applyBorder="1" applyAlignment="1">
      <alignment horizontal="right"/>
    </xf>
    <xf numFmtId="165" fontId="40" fillId="2" borderId="1" xfId="41" applyNumberFormat="1" applyFont="1" applyFill="1" applyBorder="1" applyAlignment="1">
      <alignment vertical="center"/>
    </xf>
    <xf numFmtId="165" fontId="40" fillId="2" borderId="10" xfId="0" applyNumberFormat="1" applyFont="1" applyFill="1" applyBorder="1" applyAlignment="1">
      <alignment horizontal="right"/>
    </xf>
    <xf numFmtId="165" fontId="17" fillId="2" borderId="2" xfId="0" applyNumberFormat="1" applyFont="1" applyFill="1" applyBorder="1" applyAlignment="1">
      <alignment horizontal="right"/>
    </xf>
    <xf numFmtId="165" fontId="38" fillId="0" borderId="56" xfId="37" applyNumberFormat="1" applyFont="1" applyFill="1" applyBorder="1" applyAlignment="1">
      <alignment horizontal="right"/>
    </xf>
    <xf numFmtId="165" fontId="38" fillId="0" borderId="44" xfId="37" applyNumberFormat="1" applyFont="1" applyFill="1" applyBorder="1" applyAlignment="1">
      <alignment horizontal="right"/>
    </xf>
    <xf numFmtId="165" fontId="40" fillId="0" borderId="44" xfId="37" applyNumberFormat="1" applyFont="1" applyFill="1" applyBorder="1" applyAlignment="1">
      <alignment horizontal="right"/>
    </xf>
    <xf numFmtId="165" fontId="38" fillId="2" borderId="56" xfId="0" applyNumberFormat="1" applyFont="1" applyFill="1" applyBorder="1" applyAlignment="1">
      <alignment horizontal="right"/>
    </xf>
    <xf numFmtId="165" fontId="38" fillId="2" borderId="44" xfId="0" applyNumberFormat="1" applyFont="1" applyFill="1" applyBorder="1" applyAlignment="1">
      <alignment horizontal="right"/>
    </xf>
    <xf numFmtId="165" fontId="38" fillId="2" borderId="44" xfId="0" applyNumberFormat="1" applyFont="1" applyFill="1" applyBorder="1" applyAlignment="1">
      <alignment horizontal="right" vertical="center"/>
    </xf>
    <xf numFmtId="165" fontId="40" fillId="2" borderId="45" xfId="0" applyNumberFormat="1" applyFont="1" applyFill="1" applyBorder="1" applyAlignment="1">
      <alignment horizontal="right"/>
    </xf>
    <xf numFmtId="165" fontId="40" fillId="2" borderId="56" xfId="0" applyNumberFormat="1" applyFont="1" applyFill="1" applyBorder="1" applyAlignment="1">
      <alignment horizontal="right"/>
    </xf>
    <xf numFmtId="165" fontId="40" fillId="2" borderId="47" xfId="0" applyNumberFormat="1" applyFont="1" applyFill="1" applyBorder="1" applyAlignment="1">
      <alignment horizontal="right"/>
    </xf>
    <xf numFmtId="165" fontId="38" fillId="2" borderId="45" xfId="0" applyNumberFormat="1" applyFont="1" applyFill="1" applyBorder="1" applyAlignment="1">
      <alignment horizontal="right" vertical="center"/>
    </xf>
    <xf numFmtId="165" fontId="39" fillId="4" borderId="23" xfId="0" applyNumberFormat="1" applyFont="1" applyFill="1" applyBorder="1" applyAlignment="1">
      <alignment horizontal="center"/>
    </xf>
    <xf numFmtId="165" fontId="42" fillId="2" borderId="11" xfId="0" applyNumberFormat="1" applyFont="1" applyFill="1" applyBorder="1" applyAlignment="1">
      <alignment horizontal="center"/>
    </xf>
    <xf numFmtId="165" fontId="42" fillId="2" borderId="18" xfId="0" applyNumberFormat="1" applyFont="1" applyFill="1" applyBorder="1" applyAlignment="1">
      <alignment horizontal="center"/>
    </xf>
    <xf numFmtId="165" fontId="42" fillId="2" borderId="30" xfId="0" applyNumberFormat="1" applyFont="1" applyFill="1" applyBorder="1" applyAlignment="1">
      <alignment horizontal="center"/>
    </xf>
    <xf numFmtId="165" fontId="38" fillId="0" borderId="35" xfId="44" applyNumberFormat="1" applyFont="1" applyFill="1" applyBorder="1" applyAlignment="1">
      <alignment horizontal="right"/>
    </xf>
    <xf numFmtId="165" fontId="38" fillId="2" borderId="9" xfId="40" applyNumberFormat="1" applyFont="1" applyFill="1" applyBorder="1" applyAlignment="1">
      <alignment horizontal="right"/>
    </xf>
    <xf numFmtId="165" fontId="38" fillId="4" borderId="10" xfId="0" applyNumberFormat="1" applyFont="1" applyFill="1" applyBorder="1"/>
    <xf numFmtId="165" fontId="38" fillId="4" borderId="39" xfId="0" applyNumberFormat="1" applyFont="1" applyFill="1" applyBorder="1" applyAlignment="1">
      <alignment horizontal="right" vertical="center"/>
    </xf>
    <xf numFmtId="2" fontId="42" fillId="2" borderId="7" xfId="0" applyNumberFormat="1" applyFont="1" applyFill="1" applyBorder="1" applyAlignment="1">
      <alignment horizontal="center"/>
    </xf>
    <xf numFmtId="165" fontId="40" fillId="2" borderId="7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16" fillId="2" borderId="0" xfId="0" applyFont="1" applyFill="1" applyBorder="1"/>
    <xf numFmtId="0" fontId="18" fillId="2" borderId="0" xfId="22" applyFont="1" applyFill="1" applyBorder="1" applyAlignment="1">
      <alignment vertical="center"/>
    </xf>
    <xf numFmtId="176" fontId="16" fillId="2" borderId="0" xfId="0" applyNumberFormat="1" applyFont="1" applyFill="1"/>
    <xf numFmtId="165" fontId="16" fillId="2" borderId="0" xfId="0" applyNumberFormat="1" applyFont="1" applyFill="1"/>
    <xf numFmtId="165" fontId="38" fillId="2" borderId="0" xfId="0" applyNumberFormat="1" applyFont="1" applyFill="1" applyBorder="1" applyAlignment="1">
      <alignment horizontal="right" vertical="center"/>
    </xf>
    <xf numFmtId="165" fontId="38" fillId="4" borderId="17" xfId="0" applyNumberFormat="1" applyFont="1" applyFill="1" applyBorder="1" applyAlignment="1">
      <alignment horizontal="right" vertical="center"/>
    </xf>
    <xf numFmtId="165" fontId="38" fillId="4" borderId="45" xfId="0" applyNumberFormat="1" applyFont="1" applyFill="1" applyBorder="1" applyAlignment="1">
      <alignment horizontal="right" vertical="center"/>
    </xf>
    <xf numFmtId="165" fontId="38" fillId="4" borderId="43" xfId="0" applyNumberFormat="1" applyFont="1" applyFill="1" applyBorder="1" applyAlignment="1">
      <alignment horizontal="right" vertical="center"/>
    </xf>
    <xf numFmtId="165" fontId="39" fillId="4" borderId="7" xfId="0" applyNumberFormat="1" applyFont="1" applyFill="1" applyBorder="1" applyAlignment="1">
      <alignment horizontal="center" vertical="center"/>
    </xf>
    <xf numFmtId="165" fontId="38" fillId="0" borderId="15" xfId="37" applyNumberFormat="1" applyFont="1" applyFill="1" applyBorder="1" applyAlignment="1">
      <alignment horizontal="center" vertical="center"/>
    </xf>
    <xf numFmtId="165" fontId="40" fillId="2" borderId="36" xfId="0" applyNumberFormat="1" applyFont="1" applyFill="1" applyBorder="1" applyAlignment="1">
      <alignment horizontal="center" vertical="center"/>
    </xf>
    <xf numFmtId="165" fontId="38" fillId="0" borderId="36" xfId="37" applyNumberFormat="1" applyFont="1" applyFill="1" applyBorder="1" applyAlignment="1">
      <alignment horizontal="center" vertical="center"/>
    </xf>
    <xf numFmtId="165" fontId="40" fillId="0" borderId="36" xfId="37" applyNumberFormat="1" applyFont="1" applyFill="1" applyBorder="1" applyAlignment="1">
      <alignment horizontal="center" vertical="center"/>
    </xf>
    <xf numFmtId="165" fontId="38" fillId="2" borderId="36" xfId="0" applyNumberFormat="1" applyFont="1" applyFill="1" applyBorder="1" applyAlignment="1">
      <alignment horizontal="center" vertical="center"/>
    </xf>
    <xf numFmtId="165" fontId="42" fillId="2" borderId="36" xfId="0" applyNumberFormat="1" applyFont="1" applyFill="1" applyBorder="1" applyAlignment="1">
      <alignment horizontal="center" vertical="center"/>
    </xf>
    <xf numFmtId="165" fontId="42" fillId="2" borderId="16" xfId="0" applyNumberFormat="1" applyFont="1" applyFill="1" applyBorder="1" applyAlignment="1">
      <alignment horizontal="center" vertical="center"/>
    </xf>
    <xf numFmtId="165" fontId="42" fillId="2" borderId="15" xfId="0" applyNumberFormat="1" applyFont="1" applyFill="1" applyBorder="1" applyAlignment="1">
      <alignment horizontal="center" vertical="center"/>
    </xf>
    <xf numFmtId="165" fontId="42" fillId="2" borderId="7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vertical="center"/>
    </xf>
    <xf numFmtId="49" fontId="38" fillId="8" borderId="34" xfId="0" applyNumberFormat="1" applyFont="1" applyFill="1" applyBorder="1" applyAlignment="1">
      <alignment horizontal="center" vertical="center"/>
    </xf>
    <xf numFmtId="0" fontId="38" fillId="8" borderId="49" xfId="0" applyNumberFormat="1" applyFont="1" applyFill="1" applyBorder="1" applyAlignment="1">
      <alignment horizontal="center" vertical="center"/>
    </xf>
    <xf numFmtId="0" fontId="38" fillId="8" borderId="34" xfId="0" applyNumberFormat="1" applyFont="1" applyFill="1" applyBorder="1" applyAlignment="1">
      <alignment horizontal="center" vertical="center" wrapText="1"/>
    </xf>
    <xf numFmtId="0" fontId="38" fillId="8" borderId="40" xfId="0" applyNumberFormat="1" applyFont="1" applyFill="1" applyBorder="1" applyAlignment="1">
      <alignment horizontal="center" vertical="center" wrapText="1"/>
    </xf>
    <xf numFmtId="0" fontId="38" fillId="8" borderId="41" xfId="0" applyNumberFormat="1" applyFont="1" applyFill="1" applyBorder="1" applyAlignment="1">
      <alignment horizontal="center" vertical="center"/>
    </xf>
    <xf numFmtId="49" fontId="38" fillId="8" borderId="41" xfId="0" applyNumberFormat="1" applyFont="1" applyFill="1" applyBorder="1" applyAlignment="1">
      <alignment horizontal="center" vertical="center"/>
    </xf>
    <xf numFmtId="0" fontId="38" fillId="8" borderId="49" xfId="0" applyNumberFormat="1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165" fontId="38" fillId="2" borderId="36" xfId="0" applyNumberFormat="1" applyFont="1" applyFill="1" applyBorder="1" applyAlignment="1">
      <alignment horizontal="right"/>
    </xf>
    <xf numFmtId="165" fontId="40" fillId="2" borderId="36" xfId="0" applyNumberFormat="1" applyFont="1" applyFill="1" applyBorder="1" applyAlignment="1">
      <alignment horizontal="right"/>
    </xf>
    <xf numFmtId="0" fontId="40" fillId="2" borderId="0" xfId="26" applyFont="1" applyFill="1" applyBorder="1" applyAlignment="1">
      <alignment horizontal="center" vertical="center" wrapText="1"/>
    </xf>
    <xf numFmtId="165" fontId="38" fillId="8" borderId="8" xfId="0" applyNumberFormat="1" applyFont="1" applyFill="1" applyBorder="1" applyAlignment="1">
      <alignment horizontal="right" vertical="center"/>
    </xf>
    <xf numFmtId="2" fontId="38" fillId="8" borderId="21" xfId="0" applyNumberFormat="1" applyFont="1" applyFill="1" applyBorder="1" applyAlignment="1">
      <alignment horizontal="right" vertical="center"/>
    </xf>
    <xf numFmtId="165" fontId="38" fillId="8" borderId="33" xfId="0" applyNumberFormat="1" applyFont="1" applyFill="1" applyBorder="1" applyAlignment="1">
      <alignment horizontal="right" vertical="center"/>
    </xf>
    <xf numFmtId="2" fontId="38" fillId="8" borderId="43" xfId="0" applyNumberFormat="1" applyFont="1" applyFill="1" applyBorder="1" applyAlignment="1">
      <alignment horizontal="right" vertical="center"/>
    </xf>
    <xf numFmtId="165" fontId="38" fillId="8" borderId="29" xfId="0" applyNumberFormat="1" applyFont="1" applyFill="1" applyBorder="1" applyAlignment="1">
      <alignment horizontal="right" vertical="center"/>
    </xf>
    <xf numFmtId="165" fontId="38" fillId="2" borderId="15" xfId="0" applyNumberFormat="1" applyFont="1" applyFill="1" applyBorder="1" applyAlignment="1">
      <alignment horizontal="right" vertical="center"/>
    </xf>
    <xf numFmtId="165" fontId="38" fillId="8" borderId="32" xfId="0" applyNumberFormat="1" applyFont="1" applyFill="1" applyBorder="1" applyAlignment="1">
      <alignment horizontal="right" vertical="center"/>
    </xf>
    <xf numFmtId="2" fontId="38" fillId="8" borderId="0" xfId="0" applyNumberFormat="1" applyFont="1" applyFill="1" applyBorder="1" applyAlignment="1">
      <alignment horizontal="right" vertical="center"/>
    </xf>
    <xf numFmtId="165" fontId="38" fillId="8" borderId="37" xfId="0" applyNumberFormat="1" applyFont="1" applyFill="1" applyBorder="1" applyAlignment="1">
      <alignment horizontal="right" vertical="center"/>
    </xf>
    <xf numFmtId="2" fontId="38" fillId="8" borderId="44" xfId="0" applyNumberFormat="1" applyFont="1" applyFill="1" applyBorder="1" applyAlignment="1">
      <alignment horizontal="right" vertical="center"/>
    </xf>
    <xf numFmtId="2" fontId="38" fillId="8" borderId="9" xfId="0" applyNumberFormat="1" applyFont="1" applyFill="1" applyBorder="1" applyAlignment="1">
      <alignment horizontal="right" vertical="center"/>
    </xf>
    <xf numFmtId="165" fontId="38" fillId="2" borderId="36" xfId="0" applyNumberFormat="1" applyFont="1" applyFill="1" applyBorder="1" applyAlignment="1">
      <alignment horizontal="right" vertical="center"/>
    </xf>
    <xf numFmtId="165" fontId="38" fillId="8" borderId="14" xfId="0" applyNumberFormat="1" applyFont="1" applyFill="1" applyBorder="1" applyAlignment="1">
      <alignment horizontal="right" vertical="center"/>
    </xf>
    <xf numFmtId="165" fontId="38" fillId="2" borderId="36" xfId="0" applyNumberFormat="1" applyFont="1" applyFill="1" applyBorder="1"/>
    <xf numFmtId="165" fontId="40" fillId="2" borderId="36" xfId="0" applyNumberFormat="1" applyFont="1" applyFill="1" applyBorder="1"/>
    <xf numFmtId="165" fontId="38" fillId="7" borderId="7" xfId="0" applyNumberFormat="1" applyFont="1" applyFill="1" applyBorder="1" applyAlignment="1">
      <alignment horizontal="right" vertical="center"/>
    </xf>
    <xf numFmtId="165" fontId="38" fillId="7" borderId="2" xfId="0" applyNumberFormat="1" applyFont="1" applyFill="1" applyBorder="1" applyAlignment="1">
      <alignment horizontal="right" vertical="center"/>
    </xf>
    <xf numFmtId="2" fontId="38" fillId="7" borderId="28" xfId="0" applyNumberFormat="1" applyFont="1" applyFill="1" applyBorder="1" applyAlignment="1">
      <alignment horizontal="right" vertical="center"/>
    </xf>
    <xf numFmtId="2" fontId="38" fillId="7" borderId="1" xfId="0" applyNumberFormat="1" applyFont="1" applyFill="1" applyBorder="1" applyAlignment="1">
      <alignment horizontal="right" vertical="center"/>
    </xf>
    <xf numFmtId="165" fontId="38" fillId="7" borderId="28" xfId="0" applyNumberFormat="1" applyFont="1" applyFill="1" applyBorder="1" applyAlignment="1">
      <alignment horizontal="right" vertical="center"/>
    </xf>
    <xf numFmtId="2" fontId="38" fillId="7" borderId="10" xfId="0" applyNumberFormat="1" applyFont="1" applyFill="1" applyBorder="1" applyAlignment="1">
      <alignment horizontal="right" vertical="center"/>
    </xf>
    <xf numFmtId="165" fontId="40" fillId="2" borderId="16" xfId="0" applyNumberFormat="1" applyFont="1" applyFill="1" applyBorder="1"/>
    <xf numFmtId="165" fontId="38" fillId="8" borderId="21" xfId="0" applyNumberFormat="1" applyFont="1" applyFill="1" applyBorder="1" applyAlignment="1">
      <alignment horizontal="right" vertical="center"/>
    </xf>
    <xf numFmtId="2" fontId="38" fillId="8" borderId="39" xfId="0" applyNumberFormat="1" applyFont="1" applyFill="1" applyBorder="1" applyAlignment="1">
      <alignment horizontal="right" vertical="center"/>
    </xf>
    <xf numFmtId="165" fontId="39" fillId="4" borderId="28" xfId="0" applyNumberFormat="1" applyFont="1" applyFill="1" applyBorder="1" applyAlignment="1">
      <alignment horizontal="right"/>
    </xf>
    <xf numFmtId="165" fontId="40" fillId="0" borderId="29" xfId="37" applyNumberFormat="1" applyFont="1" applyFill="1" applyBorder="1" applyAlignment="1">
      <alignment horizontal="right"/>
    </xf>
    <xf numFmtId="165" fontId="38" fillId="2" borderId="38" xfId="0" applyNumberFormat="1" applyFont="1" applyFill="1" applyBorder="1" applyAlignment="1">
      <alignment horizontal="right"/>
    </xf>
    <xf numFmtId="165" fontId="40" fillId="0" borderId="33" xfId="0" applyNumberFormat="1" applyFont="1" applyFill="1" applyBorder="1" applyAlignment="1">
      <alignment horizontal="right"/>
    </xf>
    <xf numFmtId="165" fontId="40" fillId="0" borderId="29" xfId="0" applyNumberFormat="1" applyFont="1" applyFill="1" applyBorder="1" applyAlignment="1">
      <alignment horizontal="right"/>
    </xf>
    <xf numFmtId="165" fontId="40" fillId="0" borderId="28" xfId="0" applyNumberFormat="1" applyFont="1" applyFill="1" applyBorder="1" applyAlignment="1">
      <alignment horizontal="right"/>
    </xf>
    <xf numFmtId="165" fontId="38" fillId="4" borderId="23" xfId="0" applyNumberFormat="1" applyFont="1" applyFill="1" applyBorder="1"/>
    <xf numFmtId="165" fontId="38" fillId="0" borderId="33" xfId="0" applyNumberFormat="1" applyFont="1" applyFill="1" applyBorder="1" applyAlignment="1">
      <alignment horizontal="right" vertical="center"/>
    </xf>
    <xf numFmtId="165" fontId="28" fillId="2" borderId="32" xfId="41" applyNumberFormat="1" applyFont="1" applyFill="1" applyBorder="1" applyAlignment="1">
      <alignment vertical="center"/>
    </xf>
    <xf numFmtId="165" fontId="17" fillId="2" borderId="68" xfId="41" applyNumberFormat="1" applyFont="1" applyFill="1" applyBorder="1" applyAlignment="1">
      <alignment vertical="center"/>
    </xf>
    <xf numFmtId="165" fontId="17" fillId="2" borderId="8" xfId="41" applyNumberFormat="1" applyFont="1" applyFill="1" applyBorder="1" applyAlignment="1">
      <alignment vertical="center"/>
    </xf>
    <xf numFmtId="165" fontId="38" fillId="2" borderId="31" xfId="0" applyNumberFormat="1" applyFont="1" applyFill="1" applyBorder="1" applyAlignment="1">
      <alignment horizontal="right" vertical="center"/>
    </xf>
    <xf numFmtId="165" fontId="17" fillId="2" borderId="32" xfId="41" applyNumberFormat="1" applyFont="1" applyFill="1" applyBorder="1" applyAlignment="1">
      <alignment vertical="center"/>
    </xf>
    <xf numFmtId="165" fontId="39" fillId="4" borderId="36" xfId="0" applyNumberFormat="1" applyFont="1" applyFill="1" applyBorder="1" applyAlignment="1">
      <alignment horizontal="center" vertical="center"/>
    </xf>
    <xf numFmtId="165" fontId="39" fillId="4" borderId="11" xfId="0" applyNumberFormat="1" applyFont="1" applyFill="1" applyBorder="1" applyAlignment="1">
      <alignment horizontal="center"/>
    </xf>
    <xf numFmtId="165" fontId="39" fillId="4" borderId="36" xfId="0" applyNumberFormat="1" applyFont="1" applyFill="1" applyBorder="1" applyAlignment="1">
      <alignment horizontal="center"/>
    </xf>
    <xf numFmtId="2" fontId="39" fillId="4" borderId="36" xfId="0" applyNumberFormat="1" applyFont="1" applyFill="1" applyBorder="1" applyAlignment="1">
      <alignment horizontal="center"/>
    </xf>
    <xf numFmtId="165" fontId="40" fillId="0" borderId="36" xfId="0" applyNumberFormat="1" applyFont="1" applyFill="1" applyBorder="1"/>
    <xf numFmtId="0" fontId="40" fillId="0" borderId="36" xfId="0" applyFont="1" applyFill="1" applyBorder="1"/>
    <xf numFmtId="165" fontId="40" fillId="2" borderId="7" xfId="0" applyNumberFormat="1" applyFont="1" applyFill="1" applyBorder="1"/>
    <xf numFmtId="0" fontId="40" fillId="2" borderId="7" xfId="0" applyFont="1" applyFill="1" applyBorder="1"/>
    <xf numFmtId="165" fontId="38" fillId="4" borderId="47" xfId="0" applyNumberFormat="1" applyFont="1" applyFill="1" applyBorder="1" applyAlignment="1">
      <alignment horizontal="right"/>
    </xf>
    <xf numFmtId="165" fontId="38" fillId="2" borderId="56" xfId="0" applyNumberFormat="1" applyFont="1" applyFill="1" applyBorder="1" applyAlignment="1">
      <alignment horizontal="right" vertical="center"/>
    </xf>
    <xf numFmtId="176" fontId="38" fillId="4" borderId="7" xfId="0" applyNumberFormat="1" applyFont="1" applyFill="1" applyBorder="1" applyAlignment="1">
      <alignment horizontal="right"/>
    </xf>
    <xf numFmtId="165" fontId="38" fillId="4" borderId="15" xfId="0" applyNumberFormat="1" applyFont="1" applyFill="1" applyBorder="1"/>
    <xf numFmtId="165" fontId="40" fillId="2" borderId="15" xfId="0" applyNumberFormat="1" applyFont="1" applyFill="1" applyBorder="1"/>
    <xf numFmtId="165" fontId="38" fillId="0" borderId="36" xfId="0" applyNumberFormat="1" applyFont="1" applyFill="1" applyBorder="1"/>
    <xf numFmtId="4" fontId="4" fillId="2" borderId="9" xfId="0" applyNumberFormat="1" applyFont="1" applyFill="1" applyBorder="1" applyAlignment="1">
      <alignment horizontal="right" vertical="center"/>
    </xf>
    <xf numFmtId="165" fontId="38" fillId="2" borderId="21" xfId="0" applyNumberFormat="1" applyFont="1" applyFill="1" applyBorder="1" applyAlignment="1">
      <alignment horizontal="right" vertical="center"/>
    </xf>
    <xf numFmtId="165" fontId="4" fillId="10" borderId="1" xfId="0" applyNumberFormat="1" applyFont="1" applyFill="1" applyBorder="1" applyAlignment="1">
      <alignment horizontal="right" vertical="center"/>
    </xf>
    <xf numFmtId="165" fontId="38" fillId="2" borderId="13" xfId="0" applyNumberFormat="1" applyFont="1" applyFill="1" applyBorder="1" applyAlignment="1">
      <alignment horizontal="right"/>
    </xf>
    <xf numFmtId="165" fontId="40" fillId="2" borderId="14" xfId="22" applyNumberFormat="1" applyFont="1" applyFill="1" applyBorder="1" applyAlignment="1">
      <alignment vertical="center"/>
    </xf>
    <xf numFmtId="165" fontId="40" fillId="13" borderId="14" xfId="22" applyNumberFormat="1" applyFont="1" applyFill="1" applyBorder="1" applyAlignment="1">
      <alignment vertical="center"/>
    </xf>
    <xf numFmtId="165" fontId="39" fillId="2" borderId="7" xfId="0" applyNumberFormat="1" applyFont="1" applyFill="1" applyBorder="1" applyAlignment="1">
      <alignment horizontal="center" vertical="center"/>
    </xf>
    <xf numFmtId="0" fontId="38" fillId="2" borderId="7" xfId="0" applyFont="1" applyFill="1" applyBorder="1"/>
    <xf numFmtId="2" fontId="39" fillId="2" borderId="7" xfId="0" applyNumberFormat="1" applyFont="1" applyFill="1" applyBorder="1" applyAlignment="1">
      <alignment horizontal="center"/>
    </xf>
    <xf numFmtId="165" fontId="38" fillId="2" borderId="2" xfId="0" applyNumberFormat="1" applyFont="1" applyFill="1" applyBorder="1" applyAlignment="1">
      <alignment horizontal="right"/>
    </xf>
    <xf numFmtId="165" fontId="38" fillId="2" borderId="1" xfId="0" applyNumberFormat="1" applyFont="1" applyFill="1" applyBorder="1" applyAlignment="1">
      <alignment horizontal="right"/>
    </xf>
    <xf numFmtId="165" fontId="38" fillId="2" borderId="10" xfId="0" applyNumberFormat="1" applyFont="1" applyFill="1" applyBorder="1" applyAlignment="1">
      <alignment horizontal="right"/>
    </xf>
    <xf numFmtId="165" fontId="38" fillId="2" borderId="39" xfId="4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Border="1" applyAlignment="1">
      <alignment vertical="center"/>
    </xf>
    <xf numFmtId="0" fontId="38" fillId="4" borderId="3" xfId="0" applyFont="1" applyFill="1" applyBorder="1" applyAlignment="1">
      <alignment vertical="center"/>
    </xf>
    <xf numFmtId="165" fontId="38" fillId="4" borderId="47" xfId="0" applyNumberFormat="1" applyFont="1" applyFill="1" applyBorder="1" applyAlignment="1">
      <alignment horizontal="right" vertical="center"/>
    </xf>
    <xf numFmtId="165" fontId="40" fillId="4" borderId="0" xfId="0" applyNumberFormat="1" applyFont="1" applyFill="1" applyAlignment="1">
      <alignment vertical="center"/>
    </xf>
    <xf numFmtId="0" fontId="40" fillId="4" borderId="0" xfId="0" applyFont="1" applyFill="1" applyAlignment="1">
      <alignment vertical="center"/>
    </xf>
    <xf numFmtId="2" fontId="39" fillId="4" borderId="7" xfId="0" applyNumberFormat="1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vertical="center"/>
    </xf>
    <xf numFmtId="165" fontId="38" fillId="0" borderId="31" xfId="37" applyNumberFormat="1" applyFont="1" applyFill="1" applyBorder="1" applyAlignment="1">
      <alignment horizontal="right" vertical="center"/>
    </xf>
    <xf numFmtId="165" fontId="38" fillId="0" borderId="37" xfId="37" applyNumberFormat="1" applyFont="1" applyFill="1" applyBorder="1" applyAlignment="1">
      <alignment horizontal="right" vertical="center"/>
    </xf>
    <xf numFmtId="165" fontId="38" fillId="0" borderId="35" xfId="37" applyNumberFormat="1" applyFont="1" applyFill="1" applyBorder="1" applyAlignment="1">
      <alignment horizontal="right" vertical="center"/>
    </xf>
    <xf numFmtId="165" fontId="38" fillId="0" borderId="37" xfId="44" applyNumberFormat="1" applyFont="1" applyFill="1" applyBorder="1" applyAlignment="1">
      <alignment horizontal="right" vertical="center"/>
    </xf>
    <xf numFmtId="165" fontId="39" fillId="0" borderId="15" xfId="0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2" fontId="39" fillId="0" borderId="15" xfId="0" applyNumberFormat="1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vertical="center"/>
    </xf>
    <xf numFmtId="165" fontId="40" fillId="2" borderId="32" xfId="0" applyNumberFormat="1" applyFont="1" applyFill="1" applyBorder="1" applyAlignment="1">
      <alignment horizontal="right" vertical="center"/>
    </xf>
    <xf numFmtId="165" fontId="40" fillId="2" borderId="14" xfId="0" applyNumberFormat="1" applyFont="1" applyFill="1" applyBorder="1" applyAlignment="1">
      <alignment horizontal="right" vertical="center"/>
    </xf>
    <xf numFmtId="165" fontId="40" fillId="2" borderId="9" xfId="0" applyNumberFormat="1" applyFont="1" applyFill="1" applyBorder="1" applyAlignment="1">
      <alignment horizontal="right" vertical="center"/>
    </xf>
    <xf numFmtId="165" fontId="40" fillId="2" borderId="9" xfId="40" applyNumberFormat="1" applyFont="1" applyFill="1" applyBorder="1" applyAlignment="1">
      <alignment horizontal="right" vertical="center"/>
    </xf>
    <xf numFmtId="165" fontId="40" fillId="2" borderId="11" xfId="0" applyNumberFormat="1" applyFont="1" applyFill="1" applyBorder="1" applyAlignment="1">
      <alignment horizontal="center" vertical="center"/>
    </xf>
    <xf numFmtId="165" fontId="40" fillId="2" borderId="0" xfId="0" applyNumberFormat="1" applyFont="1" applyFill="1" applyAlignment="1">
      <alignment vertical="center"/>
    </xf>
    <xf numFmtId="2" fontId="40" fillId="2" borderId="11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vertical="center"/>
    </xf>
    <xf numFmtId="165" fontId="38" fillId="0" borderId="32" xfId="37" applyNumberFormat="1" applyFont="1" applyFill="1" applyBorder="1" applyAlignment="1">
      <alignment horizontal="right" vertical="center"/>
    </xf>
    <xf numFmtId="165" fontId="38" fillId="0" borderId="14" xfId="37" applyNumberFormat="1" applyFont="1" applyFill="1" applyBorder="1" applyAlignment="1">
      <alignment horizontal="right" vertical="center"/>
    </xf>
    <xf numFmtId="165" fontId="38" fillId="0" borderId="9" xfId="37" applyNumberFormat="1" applyFont="1" applyFill="1" applyBorder="1" applyAlignment="1">
      <alignment horizontal="right" vertical="center"/>
    </xf>
    <xf numFmtId="165" fontId="38" fillId="2" borderId="14" xfId="40" applyNumberFormat="1" applyFont="1" applyFill="1" applyBorder="1" applyAlignment="1">
      <alignment horizontal="right" vertical="center"/>
    </xf>
    <xf numFmtId="165" fontId="0" fillId="2" borderId="0" xfId="0" applyNumberFormat="1" applyFill="1" applyAlignment="1">
      <alignment vertical="center"/>
    </xf>
    <xf numFmtId="2" fontId="40" fillId="2" borderId="0" xfId="0" applyNumberFormat="1" applyFont="1" applyFill="1" applyAlignment="1">
      <alignment vertical="center"/>
    </xf>
    <xf numFmtId="2" fontId="0" fillId="2" borderId="0" xfId="0" applyNumberFormat="1" applyFill="1" applyAlignment="1">
      <alignment vertical="center"/>
    </xf>
    <xf numFmtId="165" fontId="40" fillId="0" borderId="32" xfId="37" applyNumberFormat="1" applyFont="1" applyFill="1" applyBorder="1" applyAlignment="1">
      <alignment horizontal="right" vertical="center"/>
    </xf>
    <xf numFmtId="165" fontId="40" fillId="0" borderId="14" xfId="37" applyNumberFormat="1" applyFont="1" applyFill="1" applyBorder="1" applyAlignment="1">
      <alignment horizontal="right" vertical="center"/>
    </xf>
    <xf numFmtId="165" fontId="40" fillId="0" borderId="9" xfId="37" applyNumberFormat="1" applyFont="1" applyFill="1" applyBorder="1" applyAlignment="1">
      <alignment horizontal="right" vertical="center"/>
    </xf>
    <xf numFmtId="0" fontId="38" fillId="2" borderId="17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165" fontId="38" fillId="4" borderId="2" xfId="0" applyNumberFormat="1" applyFont="1" applyFill="1" applyBorder="1" applyAlignment="1">
      <alignment vertical="center"/>
    </xf>
    <xf numFmtId="165" fontId="38" fillId="4" borderId="7" xfId="0" applyNumberFormat="1" applyFont="1" applyFill="1" applyBorder="1" applyAlignment="1">
      <alignment vertical="center"/>
    </xf>
    <xf numFmtId="165" fontId="38" fillId="4" borderId="3" xfId="0" applyNumberFormat="1" applyFont="1" applyFill="1" applyBorder="1" applyAlignment="1">
      <alignment vertical="center"/>
    </xf>
    <xf numFmtId="165" fontId="40" fillId="2" borderId="0" xfId="0" applyNumberFormat="1" applyFont="1" applyFill="1" applyBorder="1" applyAlignment="1">
      <alignment vertical="center"/>
    </xf>
    <xf numFmtId="165" fontId="38" fillId="2" borderId="3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8" fillId="0" borderId="13" xfId="0" applyFont="1" applyFill="1" applyBorder="1" applyAlignment="1">
      <alignment vertical="center"/>
    </xf>
    <xf numFmtId="165" fontId="40" fillId="0" borderId="0" xfId="0" applyNumberFormat="1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165" fontId="40" fillId="2" borderId="0" xfId="0" applyNumberFormat="1" applyFont="1" applyFill="1" applyBorder="1" applyAlignment="1">
      <alignment horizontal="right" vertical="center"/>
    </xf>
    <xf numFmtId="2" fontId="42" fillId="2" borderId="36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vertical="center" wrapText="1"/>
    </xf>
    <xf numFmtId="0" fontId="40" fillId="2" borderId="17" xfId="0" applyFont="1" applyFill="1" applyBorder="1" applyAlignment="1">
      <alignment vertical="center"/>
    </xf>
    <xf numFmtId="165" fontId="40" fillId="2" borderId="8" xfId="0" applyNumberFormat="1" applyFont="1" applyFill="1" applyBorder="1" applyAlignment="1">
      <alignment horizontal="right" vertical="center"/>
    </xf>
    <xf numFmtId="165" fontId="40" fillId="0" borderId="43" xfId="0" applyNumberFormat="1" applyFont="1" applyFill="1" applyBorder="1" applyAlignment="1">
      <alignment horizontal="right" vertical="center"/>
    </xf>
    <xf numFmtId="165" fontId="40" fillId="2" borderId="43" xfId="0" applyNumberFormat="1" applyFont="1" applyFill="1" applyBorder="1" applyAlignment="1">
      <alignment horizontal="right" vertical="center"/>
    </xf>
    <xf numFmtId="165" fontId="40" fillId="2" borderId="39" xfId="0" applyNumberFormat="1" applyFont="1" applyFill="1" applyBorder="1" applyAlignment="1">
      <alignment horizontal="right" vertical="center"/>
    </xf>
    <xf numFmtId="165" fontId="40" fillId="2" borderId="21" xfId="0" applyNumberFormat="1" applyFont="1" applyFill="1" applyBorder="1" applyAlignment="1">
      <alignment horizontal="right" vertical="center"/>
    </xf>
    <xf numFmtId="2" fontId="42" fillId="2" borderId="16" xfId="0" applyNumberFormat="1" applyFont="1" applyFill="1" applyBorder="1" applyAlignment="1">
      <alignment horizontal="center" vertical="center"/>
    </xf>
    <xf numFmtId="165" fontId="39" fillId="4" borderId="15" xfId="0" applyNumberFormat="1" applyFont="1" applyFill="1" applyBorder="1" applyAlignment="1">
      <alignment horizontal="center" vertical="center"/>
    </xf>
    <xf numFmtId="2" fontId="39" fillId="4" borderId="15" xfId="0" applyNumberFormat="1" applyFont="1" applyFill="1" applyBorder="1" applyAlignment="1">
      <alignment horizontal="center" vertical="center"/>
    </xf>
    <xf numFmtId="165" fontId="40" fillId="2" borderId="31" xfId="0" applyNumberFormat="1" applyFont="1" applyFill="1" applyBorder="1" applyAlignment="1">
      <alignment horizontal="right" vertical="center"/>
    </xf>
    <xf numFmtId="165" fontId="40" fillId="2" borderId="37" xfId="0" applyNumberFormat="1" applyFont="1" applyFill="1" applyBorder="1" applyAlignment="1">
      <alignment horizontal="right" vertical="center"/>
    </xf>
    <xf numFmtId="165" fontId="40" fillId="2" borderId="35" xfId="0" applyNumberFormat="1" applyFont="1" applyFill="1" applyBorder="1" applyAlignment="1">
      <alignment horizontal="right" vertical="center"/>
    </xf>
    <xf numFmtId="2" fontId="42" fillId="2" borderId="15" xfId="0" applyNumberFormat="1" applyFont="1" applyFill="1" applyBorder="1" applyAlignment="1">
      <alignment horizontal="center" vertical="center"/>
    </xf>
    <xf numFmtId="165" fontId="40" fillId="2" borderId="33" xfId="0" applyNumberFormat="1" applyFont="1" applyFill="1" applyBorder="1" applyAlignment="1">
      <alignment horizontal="right" vertical="center"/>
    </xf>
    <xf numFmtId="165" fontId="40" fillId="2" borderId="21" xfId="0" applyNumberFormat="1" applyFont="1" applyFill="1" applyBorder="1" applyAlignment="1">
      <alignment vertical="center"/>
    </xf>
    <xf numFmtId="0" fontId="40" fillId="2" borderId="21" xfId="0" applyFont="1" applyFill="1" applyBorder="1" applyAlignment="1">
      <alignment vertical="center"/>
    </xf>
    <xf numFmtId="165" fontId="40" fillId="2" borderId="2" xfId="0" applyNumberFormat="1" applyFont="1" applyFill="1" applyBorder="1" applyAlignment="1">
      <alignment horizontal="right" vertical="center"/>
    </xf>
    <xf numFmtId="165" fontId="40" fillId="0" borderId="1" xfId="0" applyNumberFormat="1" applyFont="1" applyFill="1" applyBorder="1" applyAlignment="1">
      <alignment horizontal="right" vertical="center"/>
    </xf>
    <xf numFmtId="165" fontId="40" fillId="2" borderId="1" xfId="0" applyNumberFormat="1" applyFont="1" applyFill="1" applyBorder="1" applyAlignment="1">
      <alignment horizontal="right" vertical="center"/>
    </xf>
    <xf numFmtId="165" fontId="40" fillId="2" borderId="47" xfId="0" applyNumberFormat="1" applyFont="1" applyFill="1" applyBorder="1" applyAlignment="1">
      <alignment horizontal="right" vertical="center"/>
    </xf>
    <xf numFmtId="2" fontId="40" fillId="0" borderId="0" xfId="0" applyNumberFormat="1" applyFont="1" applyAlignment="1">
      <alignment vertical="center"/>
    </xf>
    <xf numFmtId="0" fontId="38" fillId="2" borderId="17" xfId="0" applyFont="1" applyFill="1" applyBorder="1" applyAlignment="1">
      <alignment vertical="center"/>
    </xf>
    <xf numFmtId="0" fontId="43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2" fontId="38" fillId="8" borderId="14" xfId="0" applyNumberFormat="1" applyFont="1" applyFill="1" applyBorder="1" applyAlignment="1">
      <alignment horizontal="right" vertical="center"/>
    </xf>
    <xf numFmtId="2" fontId="38" fillId="8" borderId="11" xfId="0" applyNumberFormat="1" applyFont="1" applyFill="1" applyBorder="1" applyAlignment="1">
      <alignment horizontal="right" vertical="center"/>
    </xf>
    <xf numFmtId="0" fontId="38" fillId="8" borderId="24" xfId="0" applyNumberFormat="1" applyFont="1" applyFill="1" applyBorder="1" applyAlignment="1">
      <alignment horizontal="center" vertical="center"/>
    </xf>
    <xf numFmtId="0" fontId="38" fillId="8" borderId="26" xfId="0" applyNumberFormat="1" applyFont="1" applyFill="1" applyBorder="1" applyAlignment="1">
      <alignment horizontal="center" vertical="center"/>
    </xf>
    <xf numFmtId="0" fontId="38" fillId="8" borderId="25" xfId="0" applyNumberFormat="1" applyFont="1" applyFill="1" applyBorder="1" applyAlignment="1">
      <alignment horizontal="center" vertical="center"/>
    </xf>
    <xf numFmtId="49" fontId="38" fillId="8" borderId="24" xfId="0" applyNumberFormat="1" applyFont="1" applyFill="1" applyBorder="1" applyAlignment="1">
      <alignment horizontal="center" vertical="center"/>
    </xf>
    <xf numFmtId="49" fontId="38" fillId="8" borderId="26" xfId="0" applyNumberFormat="1" applyFont="1" applyFill="1" applyBorder="1" applyAlignment="1">
      <alignment horizontal="center" vertical="center"/>
    </xf>
    <xf numFmtId="49" fontId="38" fillId="8" borderId="25" xfId="0" applyNumberFormat="1" applyFont="1" applyFill="1" applyBorder="1" applyAlignment="1">
      <alignment horizontal="center" vertical="center"/>
    </xf>
    <xf numFmtId="0" fontId="37" fillId="6" borderId="15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7" fillId="5" borderId="15" xfId="0" applyFont="1" applyFill="1" applyBorder="1" applyAlignment="1">
      <alignment horizontal="center" vertical="center"/>
    </xf>
    <xf numFmtId="0" fontId="37" fillId="5" borderId="16" xfId="0" applyFont="1" applyFill="1" applyBorder="1" applyAlignment="1">
      <alignment horizontal="center" vertical="center"/>
    </xf>
    <xf numFmtId="177" fontId="27" fillId="4" borderId="3" xfId="0" applyNumberFormat="1" applyFont="1" applyFill="1" applyBorder="1" applyAlignment="1">
      <alignment horizontal="center" vertical="center"/>
    </xf>
    <xf numFmtId="177" fontId="27" fillId="4" borderId="22" xfId="0" applyNumberFormat="1" applyFont="1" applyFill="1" applyBorder="1" applyAlignment="1">
      <alignment horizontal="center" vertical="center"/>
    </xf>
    <xf numFmtId="177" fontId="27" fillId="4" borderId="23" xfId="0" applyNumberFormat="1" applyFont="1" applyFill="1" applyBorder="1" applyAlignment="1">
      <alignment horizontal="center" vertical="center"/>
    </xf>
    <xf numFmtId="0" fontId="38" fillId="4" borderId="24" xfId="0" applyFont="1" applyFill="1" applyBorder="1" applyAlignment="1">
      <alignment horizontal="center" vertical="center"/>
    </xf>
    <xf numFmtId="0" fontId="38" fillId="4" borderId="26" xfId="0" applyFont="1" applyFill="1" applyBorder="1" applyAlignment="1">
      <alignment horizontal="center" vertical="center"/>
    </xf>
    <xf numFmtId="0" fontId="38" fillId="4" borderId="25" xfId="0" applyFont="1" applyFill="1" applyBorder="1" applyAlignment="1">
      <alignment horizontal="center" vertical="center"/>
    </xf>
    <xf numFmtId="0" fontId="44" fillId="4" borderId="19" xfId="0" applyFont="1" applyFill="1" applyBorder="1" applyAlignment="1">
      <alignment horizontal="center" vertical="center"/>
    </xf>
    <xf numFmtId="0" fontId="44" fillId="4" borderId="20" xfId="0" applyFont="1" applyFill="1" applyBorder="1" applyAlignment="1">
      <alignment horizontal="center" vertical="center"/>
    </xf>
    <xf numFmtId="0" fontId="44" fillId="4" borderId="3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6" fillId="5" borderId="15" xfId="0" applyFont="1" applyFill="1" applyBorder="1" applyAlignment="1">
      <alignment horizontal="center" vertical="center"/>
    </xf>
    <xf numFmtId="0" fontId="46" fillId="5" borderId="16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 vertical="center"/>
    </xf>
    <xf numFmtId="0" fontId="38" fillId="4" borderId="20" xfId="0" applyFont="1" applyFill="1" applyBorder="1" applyAlignment="1">
      <alignment horizontal="center" vertical="center"/>
    </xf>
    <xf numFmtId="0" fontId="38" fillId="4" borderId="30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0" fillId="10" borderId="57" xfId="0" applyFont="1" applyFill="1" applyBorder="1" applyAlignment="1">
      <alignment horizontal="center" vertical="center"/>
    </xf>
    <xf numFmtId="0" fontId="20" fillId="10" borderId="58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10" borderId="55" xfId="0" applyFont="1" applyFill="1" applyBorder="1" applyAlignment="1">
      <alignment horizontal="center" vertical="center"/>
    </xf>
    <xf numFmtId="0" fontId="20" fillId="10" borderId="54" xfId="0" applyFont="1" applyFill="1" applyBorder="1" applyAlignment="1">
      <alignment horizontal="center" vertical="center"/>
    </xf>
    <xf numFmtId="2" fontId="24" fillId="9" borderId="19" xfId="0" applyNumberFormat="1" applyFont="1" applyFill="1" applyBorder="1" applyAlignment="1">
      <alignment horizontal="center" vertical="center"/>
    </xf>
    <xf numFmtId="2" fontId="24" fillId="9" borderId="17" xfId="0" applyNumberFormat="1" applyFont="1" applyFill="1" applyBorder="1" applyAlignment="1">
      <alignment horizontal="center" vertical="center"/>
    </xf>
    <xf numFmtId="2" fontId="24" fillId="9" borderId="15" xfId="0" applyNumberFormat="1" applyFont="1" applyFill="1" applyBorder="1" applyAlignment="1">
      <alignment horizontal="center" vertical="center"/>
    </xf>
    <xf numFmtId="2" fontId="24" fillId="9" borderId="36" xfId="0" applyNumberFormat="1" applyFont="1" applyFill="1" applyBorder="1" applyAlignment="1">
      <alignment horizontal="center" vertical="center"/>
    </xf>
    <xf numFmtId="2" fontId="24" fillId="9" borderId="16" xfId="0" applyNumberFormat="1" applyFont="1" applyFill="1" applyBorder="1" applyAlignment="1">
      <alignment horizontal="center" vertical="center"/>
    </xf>
    <xf numFmtId="0" fontId="20" fillId="10" borderId="53" xfId="0" applyFont="1" applyFill="1" applyBorder="1" applyAlignment="1">
      <alignment horizontal="center" vertical="center"/>
    </xf>
    <xf numFmtId="0" fontId="20" fillId="10" borderId="61" xfId="0" applyFont="1" applyFill="1" applyBorder="1" applyAlignment="1">
      <alignment horizontal="center" vertical="center"/>
    </xf>
    <xf numFmtId="0" fontId="20" fillId="10" borderId="62" xfId="0" applyFont="1" applyFill="1" applyBorder="1" applyAlignment="1">
      <alignment horizontal="center" vertical="center"/>
    </xf>
    <xf numFmtId="167" fontId="18" fillId="10" borderId="3" xfId="0" applyNumberFormat="1" applyFont="1" applyFill="1" applyBorder="1" applyAlignment="1" applyProtection="1">
      <alignment horizontal="center" vertical="center"/>
      <protection hidden="1"/>
    </xf>
    <xf numFmtId="167" fontId="18" fillId="10" borderId="23" xfId="0" applyNumberFormat="1" applyFont="1" applyFill="1" applyBorder="1" applyAlignment="1" applyProtection="1">
      <alignment horizontal="center" vertical="center"/>
      <protection hidden="1"/>
    </xf>
    <xf numFmtId="167" fontId="18" fillId="10" borderId="3" xfId="0" applyNumberFormat="1" applyFont="1" applyFill="1" applyBorder="1" applyAlignment="1">
      <alignment horizontal="center" vertical="center"/>
    </xf>
    <xf numFmtId="167" fontId="18" fillId="10" borderId="23" xfId="0" applyNumberFormat="1" applyFont="1" applyFill="1" applyBorder="1" applyAlignment="1">
      <alignment horizontal="center" vertical="center"/>
    </xf>
    <xf numFmtId="0" fontId="20" fillId="10" borderId="66" xfId="0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/>
    </xf>
    <xf numFmtId="0" fontId="4" fillId="10" borderId="52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textRotation="45"/>
    </xf>
    <xf numFmtId="16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28" fillId="2" borderId="36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47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38" fillId="7" borderId="3" xfId="0" applyFont="1" applyFill="1" applyBorder="1" applyAlignment="1">
      <alignment vertical="center"/>
    </xf>
    <xf numFmtId="2" fontId="38" fillId="7" borderId="23" xfId="0" applyNumberFormat="1" applyFont="1" applyFill="1" applyBorder="1" applyAlignment="1">
      <alignment horizontal="right" vertical="center"/>
    </xf>
    <xf numFmtId="2" fontId="38" fillId="8" borderId="37" xfId="0" applyNumberFormat="1" applyFont="1" applyFill="1" applyBorder="1" applyAlignment="1">
      <alignment horizontal="right" vertical="center"/>
    </xf>
    <xf numFmtId="165" fontId="40" fillId="2" borderId="36" xfId="0" applyNumberFormat="1" applyFont="1" applyFill="1" applyBorder="1" applyAlignment="1">
      <alignment horizontal="right" vertical="center"/>
    </xf>
    <xf numFmtId="165" fontId="40" fillId="8" borderId="32" xfId="0" applyNumberFormat="1" applyFont="1" applyFill="1" applyBorder="1" applyAlignment="1">
      <alignment horizontal="right" vertical="center"/>
    </xf>
    <xf numFmtId="2" fontId="40" fillId="8" borderId="0" xfId="0" applyNumberFormat="1" applyFont="1" applyFill="1" applyBorder="1" applyAlignment="1">
      <alignment horizontal="right" vertical="center"/>
    </xf>
    <xf numFmtId="165" fontId="40" fillId="8" borderId="29" xfId="0" applyNumberFormat="1" applyFont="1" applyFill="1" applyBorder="1" applyAlignment="1">
      <alignment horizontal="right" vertical="center"/>
    </xf>
    <xf numFmtId="2" fontId="40" fillId="8" borderId="14" xfId="0" applyNumberFormat="1" applyFont="1" applyFill="1" applyBorder="1" applyAlignment="1">
      <alignment horizontal="right" vertical="center"/>
    </xf>
    <xf numFmtId="2" fontId="40" fillId="8" borderId="9" xfId="0" applyNumberFormat="1" applyFont="1" applyFill="1" applyBorder="1" applyAlignment="1">
      <alignment horizontal="right" vertical="center"/>
    </xf>
    <xf numFmtId="165" fontId="38" fillId="2" borderId="0" xfId="26" applyNumberFormat="1" applyFont="1" applyFill="1" applyBorder="1" applyAlignment="1">
      <alignment vertical="center" wrapText="1"/>
    </xf>
    <xf numFmtId="4" fontId="38" fillId="2" borderId="0" xfId="26" applyNumberFormat="1" applyFont="1" applyFill="1" applyBorder="1" applyAlignment="1">
      <alignment vertical="center"/>
    </xf>
    <xf numFmtId="165" fontId="38" fillId="2" borderId="0" xfId="26" applyNumberFormat="1" applyFont="1" applyFill="1" applyBorder="1" applyAlignment="1">
      <alignment vertical="center"/>
    </xf>
    <xf numFmtId="165" fontId="40" fillId="2" borderId="0" xfId="26" applyNumberFormat="1" applyFont="1" applyFill="1" applyBorder="1" applyAlignment="1">
      <alignment vertical="center"/>
    </xf>
    <xf numFmtId="4" fontId="40" fillId="2" borderId="0" xfId="26" applyNumberFormat="1" applyFont="1" applyFill="1" applyBorder="1" applyAlignment="1">
      <alignment vertical="center"/>
    </xf>
    <xf numFmtId="0" fontId="38" fillId="2" borderId="3" xfId="0" applyFont="1" applyFill="1" applyBorder="1" applyAlignment="1">
      <alignment vertical="center"/>
    </xf>
    <xf numFmtId="165" fontId="38" fillId="2" borderId="7" xfId="0" applyNumberFormat="1" applyFont="1" applyFill="1" applyBorder="1" applyAlignment="1">
      <alignment horizontal="right" vertical="center"/>
    </xf>
    <xf numFmtId="165" fontId="38" fillId="8" borderId="2" xfId="0" applyNumberFormat="1" applyFont="1" applyFill="1" applyBorder="1" applyAlignment="1">
      <alignment horizontal="right" vertical="center"/>
    </xf>
    <xf numFmtId="2" fontId="38" fillId="8" borderId="22" xfId="0" applyNumberFormat="1" applyFont="1" applyFill="1" applyBorder="1" applyAlignment="1">
      <alignment horizontal="right" vertical="center"/>
    </xf>
    <xf numFmtId="165" fontId="38" fillId="8" borderId="28" xfId="0" applyNumberFormat="1" applyFont="1" applyFill="1" applyBorder="1" applyAlignment="1">
      <alignment horizontal="right" vertical="center"/>
    </xf>
    <xf numFmtId="2" fontId="38" fillId="8" borderId="1" xfId="0" applyNumberFormat="1" applyFont="1" applyFill="1" applyBorder="1" applyAlignment="1">
      <alignment horizontal="right" vertical="center"/>
    </xf>
    <xf numFmtId="165" fontId="38" fillId="2" borderId="7" xfId="0" applyNumberFormat="1" applyFont="1" applyFill="1" applyBorder="1" applyAlignment="1">
      <alignment vertical="center"/>
    </xf>
    <xf numFmtId="165" fontId="38" fillId="2" borderId="28" xfId="0" applyNumberFormat="1" applyFont="1" applyFill="1" applyBorder="1" applyAlignment="1">
      <alignment horizontal="right" vertical="center"/>
    </xf>
    <xf numFmtId="165" fontId="38" fillId="8" borderId="22" xfId="0" applyNumberFormat="1" applyFont="1" applyFill="1" applyBorder="1" applyAlignment="1">
      <alignment horizontal="right" vertical="center"/>
    </xf>
    <xf numFmtId="165" fontId="38" fillId="8" borderId="10" xfId="0" applyNumberFormat="1" applyFont="1" applyFill="1" applyBorder="1" applyAlignment="1">
      <alignment horizontal="right" vertical="center"/>
    </xf>
    <xf numFmtId="2" fontId="38" fillId="8" borderId="10" xfId="0" applyNumberFormat="1" applyFont="1" applyFill="1" applyBorder="1" applyAlignment="1">
      <alignment horizontal="right" vertical="center"/>
    </xf>
    <xf numFmtId="0" fontId="38" fillId="7" borderId="7" xfId="0" applyFont="1" applyFill="1" applyBorder="1" applyAlignment="1">
      <alignment vertical="center"/>
    </xf>
    <xf numFmtId="165" fontId="38" fillId="7" borderId="7" xfId="0" applyNumberFormat="1" applyFont="1" applyFill="1" applyBorder="1" applyAlignment="1">
      <alignment vertical="center"/>
    </xf>
    <xf numFmtId="2" fontId="38" fillId="7" borderId="7" xfId="0" applyNumberFormat="1" applyFont="1" applyFill="1" applyBorder="1" applyAlignment="1">
      <alignment vertical="center"/>
    </xf>
    <xf numFmtId="165" fontId="38" fillId="2" borderId="0" xfId="0" applyNumberFormat="1" applyFont="1" applyFill="1" applyBorder="1" applyAlignment="1">
      <alignment vertical="center"/>
    </xf>
    <xf numFmtId="165" fontId="38" fillId="2" borderId="15" xfId="0" applyNumberFormat="1" applyFont="1" applyFill="1" applyBorder="1" applyAlignment="1">
      <alignment vertical="center"/>
    </xf>
    <xf numFmtId="165" fontId="38" fillId="2" borderId="36" xfId="0" applyNumberFormat="1" applyFont="1" applyFill="1" applyBorder="1" applyAlignment="1">
      <alignment vertical="center"/>
    </xf>
    <xf numFmtId="165" fontId="40" fillId="8" borderId="14" xfId="0" applyNumberFormat="1" applyFont="1" applyFill="1" applyBorder="1" applyAlignment="1">
      <alignment horizontal="right" vertical="center"/>
    </xf>
    <xf numFmtId="2" fontId="40" fillId="8" borderId="44" xfId="0" applyNumberFormat="1" applyFont="1" applyFill="1" applyBorder="1" applyAlignment="1">
      <alignment horizontal="right" vertical="center"/>
    </xf>
    <xf numFmtId="165" fontId="40" fillId="2" borderId="36" xfId="0" applyNumberFormat="1" applyFont="1" applyFill="1" applyBorder="1" applyAlignment="1">
      <alignment vertical="center"/>
    </xf>
    <xf numFmtId="165" fontId="48" fillId="2" borderId="0" xfId="0" applyNumberFormat="1" applyFont="1" applyFill="1" applyBorder="1" applyAlignment="1">
      <alignment horizontal="right" vertical="center"/>
    </xf>
    <xf numFmtId="2" fontId="40" fillId="8" borderId="11" xfId="0" applyNumberFormat="1" applyFont="1" applyFill="1" applyBorder="1" applyAlignment="1">
      <alignment horizontal="right" vertical="center"/>
    </xf>
    <xf numFmtId="165" fontId="40" fillId="8" borderId="36" xfId="0" applyNumberFormat="1" applyFont="1" applyFill="1" applyBorder="1" applyAlignment="1">
      <alignment horizontal="right" vertical="center"/>
    </xf>
    <xf numFmtId="165" fontId="40" fillId="8" borderId="37" xfId="0" applyNumberFormat="1" applyFont="1" applyFill="1" applyBorder="1" applyAlignment="1">
      <alignment horizontal="right" vertical="center"/>
    </xf>
    <xf numFmtId="0" fontId="40" fillId="2" borderId="36" xfId="0" applyFont="1" applyFill="1" applyBorder="1" applyAlignment="1">
      <alignment vertical="center"/>
    </xf>
    <xf numFmtId="0" fontId="40" fillId="2" borderId="16" xfId="0" applyFont="1" applyFill="1" applyBorder="1" applyAlignment="1">
      <alignment vertical="center"/>
    </xf>
    <xf numFmtId="0" fontId="40" fillId="0" borderId="16" xfId="0" applyFont="1" applyBorder="1" applyAlignment="1">
      <alignment vertical="center"/>
    </xf>
    <xf numFmtId="0" fontId="40" fillId="2" borderId="22" xfId="0" applyFont="1" applyFill="1" applyBorder="1" applyAlignment="1">
      <alignment vertical="center"/>
    </xf>
    <xf numFmtId="165" fontId="38" fillId="12" borderId="36" xfId="0" applyNumberFormat="1" applyFont="1" applyFill="1" applyBorder="1" applyAlignment="1">
      <alignment vertical="center"/>
    </xf>
    <xf numFmtId="0" fontId="40" fillId="2" borderId="23" xfId="0" applyFont="1" applyFill="1" applyBorder="1" applyAlignment="1">
      <alignment vertical="center"/>
    </xf>
    <xf numFmtId="2" fontId="38" fillId="7" borderId="23" xfId="0" applyNumberFormat="1" applyFont="1" applyFill="1" applyBorder="1" applyAlignment="1">
      <alignment vertical="center"/>
    </xf>
    <xf numFmtId="2" fontId="38" fillId="7" borderId="1" xfId="0" applyNumberFormat="1" applyFont="1" applyFill="1" applyBorder="1" applyAlignment="1">
      <alignment vertical="center"/>
    </xf>
    <xf numFmtId="2" fontId="38" fillId="7" borderId="3" xfId="0" applyNumberFormat="1" applyFont="1" applyFill="1" applyBorder="1" applyAlignment="1">
      <alignment vertical="center"/>
    </xf>
    <xf numFmtId="165" fontId="38" fillId="7" borderId="36" xfId="0" applyNumberFormat="1" applyFont="1" applyFill="1" applyBorder="1" applyAlignment="1">
      <alignment vertical="center"/>
    </xf>
    <xf numFmtId="2" fontId="38" fillId="7" borderId="22" xfId="0" applyNumberFormat="1" applyFont="1" applyFill="1" applyBorder="1" applyAlignment="1">
      <alignment vertical="center"/>
    </xf>
    <xf numFmtId="2" fontId="38" fillId="7" borderId="7" xfId="0" applyNumberFormat="1" applyFont="1" applyFill="1" applyBorder="1" applyAlignment="1">
      <alignment horizontal="right" vertical="center"/>
    </xf>
    <xf numFmtId="165" fontId="40" fillId="8" borderId="0" xfId="0" applyNumberFormat="1" applyFont="1" applyFill="1" applyBorder="1" applyAlignment="1">
      <alignment horizontal="right" vertical="center"/>
    </xf>
    <xf numFmtId="165" fontId="40" fillId="8" borderId="9" xfId="0" applyNumberFormat="1" applyFont="1" applyFill="1" applyBorder="1" applyAlignment="1">
      <alignment horizontal="right" vertical="center"/>
    </xf>
    <xf numFmtId="165" fontId="40" fillId="2" borderId="16" xfId="0" applyNumberFormat="1" applyFont="1" applyFill="1" applyBorder="1" applyAlignment="1">
      <alignment vertical="center"/>
    </xf>
  </cellXfs>
  <cellStyles count="45">
    <cellStyle name="1 indent" xfId="1"/>
    <cellStyle name="2 indents" xfId="2"/>
    <cellStyle name="3 indents" xfId="3"/>
    <cellStyle name="4 indents" xfId="4"/>
    <cellStyle name="Bad" xfId="37" builtinId="27"/>
    <cellStyle name="Bad 2" xfId="4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4"/>
    <cellStyle name="Normal 11" xfId="35"/>
    <cellStyle name="Normal 12" xfId="36"/>
    <cellStyle name="Normal 13" xfId="40"/>
    <cellStyle name="Normal 14" xfId="42"/>
    <cellStyle name="Normal 15" xfId="43"/>
    <cellStyle name="Normal 2" xfId="22"/>
    <cellStyle name="Normal 2 2" xfId="38"/>
    <cellStyle name="Normal 2 3" xfId="41"/>
    <cellStyle name="Normal 3" xfId="26"/>
    <cellStyle name="Normal 4" xfId="28"/>
    <cellStyle name="Normal 5" xfId="29"/>
    <cellStyle name="Normal 6" xfId="30"/>
    <cellStyle name="Normal 7" xfId="31"/>
    <cellStyle name="Normal 8" xfId="32"/>
    <cellStyle name="Normal 9" xfId="33"/>
    <cellStyle name="Normal_Execution for 2012_int" xfId="39"/>
    <cellStyle name="Normal_Sheet1" xfId="27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6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7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8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9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55033</xdr:colOff>
      <xdr:row>0</xdr:row>
      <xdr:rowOff>0</xdr:rowOff>
    </xdr:from>
    <xdr:to>
      <xdr:col>10</xdr:col>
      <xdr:colOff>305857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9783" y="0"/>
          <a:ext cx="843491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9</xdr:col>
      <xdr:colOff>581024</xdr:colOff>
      <xdr:row>6</xdr:row>
      <xdr:rowOff>0</xdr:rowOff>
    </xdr:to>
    <xdr:pic>
      <xdr:nvPicPr>
        <xdr:cNvPr id="3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0"/>
          <a:ext cx="838200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28576</xdr:rowOff>
    </xdr:from>
    <xdr:to>
      <xdr:col>10</xdr:col>
      <xdr:colOff>295274</xdr:colOff>
      <xdr:row>6</xdr:row>
      <xdr:rowOff>38101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4100" y="190501"/>
          <a:ext cx="752475" cy="81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9700" y="28575"/>
          <a:ext cx="838200" cy="971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DATA\US\GEO\MISC\medium-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fad\DATA\O2\HRV\FIS\hrv-fisc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AL"/>
      <sheetName val="BOP"/>
      <sheetName val="FIS"/>
      <sheetName val="MACROF"/>
      <sheetName val="debt_sust"/>
      <sheetName val="WEO"/>
      <sheetName val="Ostvarenj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umentation"/>
      <sheetName val="B"/>
      <sheetName val="C"/>
      <sheetName val="D"/>
      <sheetName val="financ"/>
      <sheetName val="financsum"/>
      <sheetName val="EBFs"/>
      <sheetName val="consolid"/>
      <sheetName val="local"/>
      <sheetName val="SR tab 2"/>
      <sheetName val="K"/>
      <sheetName val="struct"/>
      <sheetName val="L"/>
      <sheetName val="S-I"/>
      <sheetName val="M"/>
      <sheetName val="N"/>
      <sheetName val="function"/>
      <sheetName val="pensions"/>
      <sheetName val="Gen1"/>
      <sheetName val="Gen2"/>
      <sheetName val="Gen3"/>
      <sheetName val="m-t"/>
      <sheetName val="Q4WEO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theme="4" tint="0.79998168889431442"/>
    <pageSetUpPr fitToPage="1"/>
  </sheetPr>
  <dimension ref="A1:AK149"/>
  <sheetViews>
    <sheetView tabSelected="1" zoomScale="85" zoomScaleNormal="85" workbookViewId="0">
      <pane ySplit="18" topLeftCell="A19" activePane="bottomLeft" state="frozen"/>
      <selection pane="bottomLeft" activeCell="P19" sqref="P19:P98"/>
    </sheetView>
  </sheetViews>
  <sheetFormatPr defaultRowHeight="12.75"/>
  <cols>
    <col min="1" max="3" width="9.140625" style="636" customWidth="1"/>
    <col min="4" max="4" width="44.7109375" style="636" customWidth="1"/>
    <col min="5" max="6" width="14.28515625" style="636" customWidth="1"/>
    <col min="7" max="8" width="15.42578125" style="636" customWidth="1"/>
    <col min="9" max="10" width="14.28515625" style="636" customWidth="1"/>
    <col min="11" max="11" width="13.7109375" style="636" customWidth="1"/>
    <col min="12" max="12" width="10.140625" style="636" customWidth="1"/>
    <col min="13" max="13" width="10.7109375" style="636" customWidth="1"/>
    <col min="14" max="15" width="14.28515625" style="636" customWidth="1"/>
    <col min="16" max="16" width="10.42578125" style="636" customWidth="1"/>
    <col min="17" max="17" width="12.42578125" style="636" customWidth="1"/>
    <col min="18" max="18" width="12" style="636" customWidth="1"/>
    <col min="19" max="20" width="11.7109375" style="636" customWidth="1"/>
    <col min="21" max="21" width="15.7109375" style="636" customWidth="1"/>
    <col min="22" max="16384" width="9.140625" style="636"/>
  </cols>
  <sheetData>
    <row r="1" spans="1:37">
      <c r="A1" s="504"/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</row>
    <row r="2" spans="1:37">
      <c r="A2" s="504"/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</row>
    <row r="3" spans="1:37">
      <c r="A3" s="504"/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4"/>
      <c r="AK3" s="504"/>
    </row>
    <row r="4" spans="1:37" hidden="1">
      <c r="A4" s="504"/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504"/>
    </row>
    <row r="5" spans="1:37" hidden="1">
      <c r="A5" s="504"/>
      <c r="B5" s="504"/>
      <c r="C5" s="504"/>
      <c r="D5" s="526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</row>
    <row r="6" spans="1:37" hidden="1">
      <c r="A6" s="504"/>
      <c r="B6" s="504"/>
      <c r="C6" s="504"/>
      <c r="D6" s="526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</row>
    <row r="7" spans="1:37" hidden="1">
      <c r="A7" s="504"/>
      <c r="B7" s="504"/>
      <c r="C7" s="504"/>
      <c r="D7" s="526"/>
      <c r="E7" s="504"/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4"/>
      <c r="AF7" s="504"/>
      <c r="AG7" s="504"/>
      <c r="AH7" s="504"/>
      <c r="AI7" s="504"/>
      <c r="AJ7" s="504"/>
      <c r="AK7" s="504"/>
    </row>
    <row r="8" spans="1:37" ht="15.75" hidden="1">
      <c r="A8" s="504"/>
      <c r="B8" s="504"/>
      <c r="C8" s="504"/>
      <c r="D8" s="526"/>
      <c r="E8" s="504"/>
      <c r="F8" s="637"/>
      <c r="G8" s="637"/>
      <c r="H8" s="637"/>
      <c r="I8" s="638" t="str">
        <f>IF(MasterSheet!$A$1=1, MasterSheet!C5,MasterSheet!B5)</f>
        <v>CRNA GORA</v>
      </c>
      <c r="J8" s="638"/>
      <c r="K8" s="638"/>
      <c r="L8" s="638"/>
      <c r="M8" s="637"/>
      <c r="N8" s="637"/>
      <c r="O8" s="637"/>
      <c r="P8" s="637"/>
      <c r="Q8" s="637"/>
      <c r="R8" s="637"/>
      <c r="S8" s="637"/>
      <c r="T8" s="637"/>
      <c r="U8" s="637"/>
      <c r="V8" s="504"/>
      <c r="W8" s="504"/>
      <c r="X8" s="504"/>
      <c r="Y8" s="504"/>
      <c r="Z8" s="504"/>
      <c r="AA8" s="526"/>
      <c r="AB8" s="504"/>
      <c r="AC8" s="504"/>
      <c r="AD8" s="504"/>
      <c r="AE8" s="504"/>
      <c r="AF8" s="504"/>
      <c r="AG8" s="504"/>
      <c r="AH8" s="504"/>
      <c r="AI8" s="504"/>
      <c r="AJ8" s="504"/>
      <c r="AK8" s="504"/>
    </row>
    <row r="9" spans="1:37" ht="15.75" hidden="1">
      <c r="A9" s="504"/>
      <c r="B9" s="504"/>
      <c r="C9" s="504"/>
      <c r="D9" s="639"/>
      <c r="E9" s="504"/>
      <c r="F9" s="504"/>
      <c r="G9" s="504"/>
      <c r="H9" s="638" t="str">
        <f>IF(MasterSheet!$A$1=1, MasterSheet!C6,MasterSheet!B6)</f>
        <v>MINISTARSTVO FINANSIJA</v>
      </c>
      <c r="I9" s="638"/>
      <c r="J9" s="638"/>
      <c r="K9" s="638"/>
      <c r="L9" s="638"/>
      <c r="M9" s="638"/>
      <c r="N9" s="640"/>
      <c r="O9" s="637"/>
      <c r="P9" s="637"/>
      <c r="Q9" s="637"/>
      <c r="R9" s="637"/>
      <c r="S9" s="637"/>
      <c r="T9" s="637"/>
      <c r="U9" s="637"/>
      <c r="V9" s="637"/>
      <c r="W9" s="637"/>
      <c r="X9" s="637"/>
      <c r="Y9" s="637"/>
      <c r="Z9" s="504"/>
      <c r="AA9" s="526"/>
      <c r="AB9" s="504"/>
      <c r="AC9" s="504"/>
      <c r="AD9" s="504"/>
      <c r="AE9" s="504"/>
      <c r="AF9" s="504"/>
      <c r="AG9" s="504"/>
      <c r="AH9" s="504"/>
      <c r="AI9" s="504"/>
      <c r="AJ9" s="504"/>
      <c r="AK9" s="504"/>
    </row>
    <row r="10" spans="1:37" hidden="1">
      <c r="A10" s="504"/>
      <c r="B10" s="504"/>
      <c r="C10" s="504"/>
      <c r="D10" s="526"/>
      <c r="E10" s="504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504"/>
      <c r="AA10" s="526"/>
      <c r="AB10" s="504"/>
      <c r="AC10" s="504"/>
      <c r="AD10" s="504"/>
      <c r="AE10" s="504"/>
      <c r="AF10" s="504"/>
      <c r="AG10" s="504"/>
      <c r="AH10" s="504"/>
      <c r="AI10" s="504"/>
      <c r="AJ10" s="504"/>
      <c r="AK10" s="504"/>
    </row>
    <row r="11" spans="1:37" hidden="1">
      <c r="A11" s="504"/>
      <c r="B11" s="504"/>
      <c r="C11" s="504"/>
      <c r="D11" s="526"/>
      <c r="E11" s="504"/>
      <c r="F11" s="526"/>
      <c r="G11" s="526"/>
      <c r="H11" s="504"/>
      <c r="I11" s="504"/>
      <c r="J11" s="504"/>
      <c r="K11" s="504"/>
      <c r="L11" s="504"/>
      <c r="M11" s="504"/>
      <c r="N11" s="504"/>
      <c r="O11" s="504"/>
      <c r="P11" s="504"/>
      <c r="Q11" s="504"/>
      <c r="R11" s="526"/>
      <c r="S11" s="526"/>
      <c r="T11" s="526"/>
      <c r="U11" s="504"/>
      <c r="V11" s="504"/>
      <c r="W11" s="504"/>
      <c r="X11" s="504"/>
      <c r="Y11" s="504"/>
      <c r="Z11" s="504"/>
      <c r="AA11" s="526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</row>
    <row r="12" spans="1:37" hidden="1">
      <c r="A12" s="504"/>
      <c r="B12" s="504"/>
      <c r="C12" s="504"/>
      <c r="D12" s="526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4"/>
      <c r="P12" s="526"/>
      <c r="Q12" s="526"/>
      <c r="R12" s="526"/>
      <c r="S12" s="526"/>
      <c r="T12" s="526"/>
      <c r="U12" s="504"/>
      <c r="V12" s="504"/>
      <c r="W12" s="504"/>
      <c r="X12" s="504"/>
      <c r="Y12" s="504"/>
      <c r="Z12" s="504"/>
      <c r="AA12" s="504"/>
      <c r="AB12" s="504"/>
      <c r="AC12" s="504"/>
      <c r="AD12" s="504"/>
      <c r="AE12" s="504"/>
      <c r="AF12" s="504"/>
      <c r="AG12" s="504"/>
      <c r="AH12" s="504"/>
      <c r="AI12" s="504"/>
      <c r="AJ12" s="504"/>
      <c r="AK12" s="504"/>
    </row>
    <row r="13" spans="1:37" ht="15" customHeight="1">
      <c r="A13" s="504"/>
      <c r="B13" s="504"/>
      <c r="C13" s="504"/>
      <c r="D13" s="504"/>
      <c r="E13" s="504"/>
      <c r="F13" s="504"/>
      <c r="G13" s="504"/>
      <c r="H13" s="504"/>
      <c r="I13" s="504"/>
      <c r="J13" s="504"/>
      <c r="K13" s="526"/>
      <c r="L13" s="504"/>
      <c r="M13" s="504"/>
      <c r="N13" s="504"/>
      <c r="O13" s="504"/>
      <c r="P13" s="504"/>
      <c r="Q13" s="504"/>
      <c r="R13" s="504"/>
      <c r="S13" s="504"/>
      <c r="T13" s="504"/>
      <c r="U13" s="504"/>
      <c r="V13" s="504"/>
      <c r="W13" s="504"/>
      <c r="X13" s="504"/>
      <c r="Y13" s="504"/>
      <c r="Z13" s="504"/>
      <c r="AA13" s="504"/>
      <c r="AB13" s="504"/>
      <c r="AC13" s="504"/>
      <c r="AD13" s="504"/>
      <c r="AE13" s="504"/>
      <c r="AF13" s="504"/>
      <c r="AG13" s="504"/>
      <c r="AH13" s="504"/>
      <c r="AI13" s="504"/>
      <c r="AJ13" s="504"/>
      <c r="AK13" s="504"/>
    </row>
    <row r="14" spans="1:37" ht="15" customHeight="1">
      <c r="A14" s="504"/>
      <c r="B14" s="504"/>
      <c r="C14" s="504"/>
      <c r="D14" s="504"/>
      <c r="E14" s="504"/>
      <c r="F14" s="504"/>
      <c r="G14" s="504"/>
      <c r="H14" s="504"/>
      <c r="I14" s="504"/>
      <c r="J14" s="504"/>
      <c r="K14" s="504"/>
      <c r="L14" s="504"/>
      <c r="M14" s="504"/>
      <c r="N14" s="504"/>
      <c r="O14" s="504"/>
      <c r="P14" s="504"/>
      <c r="Q14" s="504"/>
      <c r="R14" s="504"/>
      <c r="S14" s="504"/>
      <c r="T14" s="504"/>
      <c r="U14" s="504"/>
      <c r="V14" s="504"/>
      <c r="W14" s="504"/>
      <c r="X14" s="504"/>
      <c r="Y14" s="504"/>
      <c r="Z14" s="504"/>
      <c r="AA14" s="504"/>
      <c r="AB14" s="504"/>
      <c r="AC14" s="504"/>
      <c r="AD14" s="504"/>
      <c r="AE14" s="504"/>
      <c r="AF14" s="504"/>
      <c r="AG14" s="504"/>
      <c r="AH14" s="504"/>
      <c r="AI14" s="504"/>
      <c r="AJ14" s="504"/>
      <c r="AK14" s="504"/>
    </row>
    <row r="15" spans="1:37" ht="15" customHeight="1">
      <c r="A15" s="504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504"/>
      <c r="U15" s="504"/>
      <c r="V15" s="504"/>
      <c r="W15" s="504"/>
      <c r="X15" s="504"/>
      <c r="Y15" s="504"/>
      <c r="Z15" s="504"/>
      <c r="AA15" s="504"/>
      <c r="AB15" s="504"/>
      <c r="AC15" s="504"/>
      <c r="AD15" s="504"/>
      <c r="AE15" s="504"/>
      <c r="AF15" s="504"/>
      <c r="AG15" s="504"/>
      <c r="AH15" s="504"/>
      <c r="AI15" s="504"/>
      <c r="AJ15" s="504"/>
      <c r="AK15" s="504"/>
    </row>
    <row r="16" spans="1:37" ht="15" customHeight="1" thickBot="1">
      <c r="A16" s="504"/>
      <c r="B16" s="504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526"/>
      <c r="U16" s="526"/>
      <c r="V16" s="504"/>
      <c r="W16" s="504"/>
      <c r="X16" s="504"/>
      <c r="Y16" s="504"/>
      <c r="Z16" s="504"/>
      <c r="AA16" s="504"/>
      <c r="AB16" s="504"/>
      <c r="AC16" s="504"/>
      <c r="AD16" s="504"/>
      <c r="AE16" s="504"/>
      <c r="AF16" s="504"/>
      <c r="AG16" s="504"/>
      <c r="AH16" s="504"/>
      <c r="AI16" s="504"/>
      <c r="AJ16" s="504"/>
      <c r="AK16" s="504"/>
    </row>
    <row r="17" spans="1:37" ht="21" customHeight="1" thickTop="1">
      <c r="A17" s="504"/>
      <c r="B17" s="504"/>
      <c r="C17" s="504"/>
      <c r="D17" s="572" t="str">
        <f>IF(MasterSheet!$A$1=1,MasterSheet!B430,MasterSheet!B429)</f>
        <v>Analitika ostvarenja</v>
      </c>
      <c r="E17" s="566" t="s">
        <v>416</v>
      </c>
      <c r="F17" s="567"/>
      <c r="G17" s="567"/>
      <c r="H17" s="567"/>
      <c r="I17" s="567"/>
      <c r="J17" s="567"/>
      <c r="K17" s="568"/>
      <c r="L17" s="569" t="s">
        <v>417</v>
      </c>
      <c r="M17" s="570"/>
      <c r="N17" s="570"/>
      <c r="O17" s="570"/>
      <c r="P17" s="570"/>
      <c r="Q17" s="570"/>
      <c r="R17" s="571"/>
      <c r="S17" s="412"/>
      <c r="T17" s="412"/>
      <c r="U17" s="412"/>
      <c r="V17" s="504"/>
      <c r="W17" s="504"/>
      <c r="X17" s="504"/>
      <c r="Y17" s="504"/>
      <c r="Z17" s="504"/>
      <c r="AA17" s="504"/>
      <c r="AB17" s="504"/>
      <c r="AC17" s="504"/>
      <c r="AD17" s="504"/>
      <c r="AE17" s="504"/>
      <c r="AF17" s="504"/>
      <c r="AG17" s="504"/>
      <c r="AH17" s="504"/>
      <c r="AI17" s="504"/>
      <c r="AJ17" s="504"/>
      <c r="AK17" s="504"/>
    </row>
    <row r="18" spans="1:37" ht="39" thickBot="1">
      <c r="A18" s="504"/>
      <c r="B18" s="504"/>
      <c r="C18" s="504"/>
      <c r="D18" s="573"/>
      <c r="E18" s="413" t="s">
        <v>336</v>
      </c>
      <c r="F18" s="414" t="str">
        <f>IF(MasterSheet!$A$1=1,MasterSheet!$C$430,MasterSheet!$C$429)</f>
        <v>Ostvarenje</v>
      </c>
      <c r="G18" s="415" t="s">
        <v>382</v>
      </c>
      <c r="H18" s="416" t="str">
        <f>+CONCATENATE(E17," / ", E17, " plan")</f>
        <v>Jan - Apr 2014 / Jan - Apr 2014 plan</v>
      </c>
      <c r="I18" s="417" t="str">
        <f>+CONCATENATE(LEFT(E17,9)," 2013")</f>
        <v>Jan - Apr 2013</v>
      </c>
      <c r="J18" s="415" t="s">
        <v>383</v>
      </c>
      <c r="K18" s="416" t="str">
        <f>+CONCATENATE(E17, " / ", I18)</f>
        <v>Jan - Apr 2014 / Jan - Apr 2013</v>
      </c>
      <c r="L18" s="418" t="s">
        <v>336</v>
      </c>
      <c r="M18" s="417" t="str">
        <f>IF(MasterSheet!$A$1=1,MasterSheet!$C$430,MasterSheet!$C$429)</f>
        <v>Ostvarenje</v>
      </c>
      <c r="N18" s="415" t="s">
        <v>382</v>
      </c>
      <c r="O18" s="419" t="str">
        <f>+CONCATENATE(L17," /    ", L17, " plan")</f>
        <v>Apr 2014 /    Apr 2014 plan</v>
      </c>
      <c r="P18" s="417" t="str">
        <f>+CONCATENATE(LEFT(L17,4),"2013")</f>
        <v>Apr 2013</v>
      </c>
      <c r="Q18" s="415" t="s">
        <v>383</v>
      </c>
      <c r="R18" s="419" t="str">
        <f>+CONCATENATE(L17, "  / ", P18)</f>
        <v>Apr 2014  / Apr 2013</v>
      </c>
      <c r="S18" s="420"/>
      <c r="T18" s="420"/>
      <c r="U18" s="420"/>
      <c r="V18" s="504"/>
      <c r="W18" s="504"/>
      <c r="X18" s="504"/>
      <c r="Y18" s="504"/>
      <c r="Z18" s="504"/>
      <c r="AA18" s="504"/>
      <c r="AB18" s="504"/>
      <c r="AC18" s="504"/>
      <c r="AD18" s="504"/>
      <c r="AE18" s="504"/>
      <c r="AF18" s="504"/>
      <c r="AG18" s="504"/>
      <c r="AH18" s="504"/>
      <c r="AI18" s="504"/>
      <c r="AJ18" s="504"/>
      <c r="AK18" s="504"/>
    </row>
    <row r="19" spans="1:37" ht="15" customHeight="1" thickTop="1" thickBot="1">
      <c r="A19" s="504"/>
      <c r="B19" s="504"/>
      <c r="C19" s="504"/>
      <c r="D19" s="641" t="str">
        <f>IF(MasterSheet!$A$1=1,MasterSheet!C337,MasterSheet!B337)</f>
        <v>Izvorni prihodi</v>
      </c>
      <c r="E19" s="439">
        <f>+SUM('2014 - plan'!D19:G19)</f>
        <v>340466916.84942669</v>
      </c>
      <c r="F19" s="439">
        <f>+'2014 - execution '!P19</f>
        <v>362238175.60000002</v>
      </c>
      <c r="G19" s="440">
        <f>+F19-E19</f>
        <v>21771258.750573337</v>
      </c>
      <c r="H19" s="642">
        <f>+F19/E19*100</f>
        <v>106.39452988620384</v>
      </c>
      <c r="I19" s="439">
        <f>+SUM('2013 - execution'!D19:G19)</f>
        <v>323762419.19999999</v>
      </c>
      <c r="J19" s="440">
        <f>+F19-I19</f>
        <v>38475756.400000036</v>
      </c>
      <c r="K19" s="642">
        <f>F19/I19*100</f>
        <v>111.88394764749769</v>
      </c>
      <c r="L19" s="439">
        <f>+'2014 - plan'!G19</f>
        <v>106960747.94202131</v>
      </c>
      <c r="M19" s="439">
        <f>+'2014 - execution '!G19</f>
        <v>108679556.45999998</v>
      </c>
      <c r="N19" s="440">
        <f>+M19-L19</f>
        <v>1718808.5179786682</v>
      </c>
      <c r="O19" s="444">
        <f>+M19/L19*100-100</f>
        <v>1.6069525980786636</v>
      </c>
      <c r="P19" s="439">
        <f>+'2013 - execution'!G19</f>
        <v>104092614.22999999</v>
      </c>
      <c r="Q19" s="440">
        <f>+M19-P19</f>
        <v>4586942.2299999893</v>
      </c>
      <c r="R19" s="444">
        <f>M19/P19*100-100</f>
        <v>4.4065972057006917</v>
      </c>
      <c r="S19" s="398"/>
      <c r="T19" s="398"/>
      <c r="U19" s="398"/>
      <c r="V19" s="504"/>
      <c r="W19" s="504"/>
      <c r="X19" s="504"/>
      <c r="Y19" s="504"/>
      <c r="Z19" s="504"/>
      <c r="AA19" s="504"/>
      <c r="AB19" s="504"/>
      <c r="AC19" s="504"/>
      <c r="AD19" s="504"/>
      <c r="AE19" s="504"/>
      <c r="AF19" s="504"/>
      <c r="AG19" s="504"/>
      <c r="AH19" s="504"/>
      <c r="AI19" s="504"/>
      <c r="AJ19" s="504"/>
      <c r="AK19" s="504"/>
    </row>
    <row r="20" spans="1:37" ht="15" customHeight="1" thickTop="1">
      <c r="A20" s="504"/>
      <c r="B20" s="504"/>
      <c r="C20" s="504"/>
      <c r="D20" s="498" t="str">
        <f>IF(MasterSheet!$A$1=1,MasterSheet!C338,MasterSheet!B338)</f>
        <v>Porezi</v>
      </c>
      <c r="E20" s="435">
        <f>+SUM('2014 - plan'!D20:G20)</f>
        <v>223409625.05896109</v>
      </c>
      <c r="F20" s="435">
        <f>+'2014 - execution '!P20</f>
        <v>235853237.48000002</v>
      </c>
      <c r="G20" s="430">
        <f>+F20-E20</f>
        <v>12443612.421038926</v>
      </c>
      <c r="H20" s="431">
        <f t="shared" ref="H20:H88" si="0">+F20/E20*100</f>
        <v>105.56986406371473</v>
      </c>
      <c r="I20" s="435">
        <f>+SUM('2013 - execution'!D20:G20)</f>
        <v>206058807.29999998</v>
      </c>
      <c r="J20" s="430">
        <f t="shared" ref="J20:J67" si="1">+F20-I20</f>
        <v>29794430.180000037</v>
      </c>
      <c r="K20" s="643">
        <f t="shared" ref="K20:K67" si="2">F20/I20*100</f>
        <v>114.45918792329147</v>
      </c>
      <c r="L20" s="435">
        <f>+'2014 - plan'!G20</f>
        <v>73380169.878103226</v>
      </c>
      <c r="M20" s="435">
        <f>+'2014 - execution '!G20</f>
        <v>71590015.019999996</v>
      </c>
      <c r="N20" s="428">
        <f t="shared" ref="N20:N87" si="3">+M20-L20</f>
        <v>-1790154.8581032306</v>
      </c>
      <c r="O20" s="434">
        <f t="shared" ref="O20:O84" si="4">+M20/L20*100-100</f>
        <v>-2.4395621611083413</v>
      </c>
      <c r="P20" s="435">
        <f>+'2013 - execution'!G20</f>
        <v>70397095.139999986</v>
      </c>
      <c r="Q20" s="430">
        <f t="shared" ref="Q20:Q87" si="5">+M20-P20</f>
        <v>1192919.8800000101</v>
      </c>
      <c r="R20" s="434">
        <f t="shared" ref="R20:R84" si="6">M20/P20*100-100</f>
        <v>1.6945583871431467</v>
      </c>
      <c r="S20" s="398"/>
      <c r="T20" s="398"/>
      <c r="U20" s="398"/>
      <c r="V20" s="504"/>
      <c r="W20" s="504"/>
      <c r="X20" s="504"/>
      <c r="Y20" s="504"/>
      <c r="Z20" s="504"/>
      <c r="AA20" s="504"/>
      <c r="AB20" s="504"/>
      <c r="AC20" s="504"/>
      <c r="AD20" s="504"/>
      <c r="AE20" s="504"/>
      <c r="AF20" s="504"/>
      <c r="AG20" s="504"/>
      <c r="AH20" s="504"/>
      <c r="AI20" s="504"/>
      <c r="AJ20" s="504"/>
      <c r="AK20" s="504"/>
    </row>
    <row r="21" spans="1:37" ht="15" customHeight="1">
      <c r="A21" s="504"/>
      <c r="B21" s="504"/>
      <c r="C21" s="504"/>
      <c r="D21" s="506" t="str">
        <f>IF(MasterSheet!$A$1=1,MasterSheet!C339,MasterSheet!B339)</f>
        <v>Porez na dohodak fizičkih lica</v>
      </c>
      <c r="E21" s="644">
        <f>+SUM('2014 - plan'!D21:G21)</f>
        <v>25724429.648661021</v>
      </c>
      <c r="F21" s="644">
        <f>+'2014 - execution '!P21</f>
        <v>26493321.129999999</v>
      </c>
      <c r="G21" s="645">
        <f t="shared" ref="G21:G87" si="7">+F21-E21</f>
        <v>768891.48133897781</v>
      </c>
      <c r="H21" s="646">
        <f t="shared" si="0"/>
        <v>102.98895443685376</v>
      </c>
      <c r="I21" s="644">
        <f>+SUM('2013 - execution'!D21:G21)</f>
        <v>22631360.57</v>
      </c>
      <c r="J21" s="647">
        <f t="shared" si="1"/>
        <v>3861960.5599999987</v>
      </c>
      <c r="K21" s="648">
        <f t="shared" si="2"/>
        <v>117.06464155371812</v>
      </c>
      <c r="L21" s="644">
        <f>+'2014 - plan'!G21</f>
        <v>6906912.5782146342</v>
      </c>
      <c r="M21" s="644">
        <f>+'2014 - execution '!G21</f>
        <v>8012567.7000000002</v>
      </c>
      <c r="N21" s="647">
        <f t="shared" si="3"/>
        <v>1105655.121785366</v>
      </c>
      <c r="O21" s="649">
        <f t="shared" si="4"/>
        <v>16.007950140743873</v>
      </c>
      <c r="P21" s="644">
        <f>+'2013 - execution'!G21</f>
        <v>6878624.96</v>
      </c>
      <c r="Q21" s="645">
        <f t="shared" si="5"/>
        <v>1133942.7400000002</v>
      </c>
      <c r="R21" s="649">
        <f t="shared" si="6"/>
        <v>16.485020575972783</v>
      </c>
      <c r="S21" s="537"/>
      <c r="T21" s="537"/>
      <c r="U21" s="537"/>
      <c r="V21" s="504"/>
      <c r="W21" s="504"/>
      <c r="X21" s="504"/>
      <c r="Y21" s="504"/>
      <c r="Z21" s="504"/>
      <c r="AA21" s="504"/>
      <c r="AB21" s="504"/>
      <c r="AC21" s="504"/>
      <c r="AD21" s="504"/>
      <c r="AE21" s="504"/>
      <c r="AF21" s="504"/>
      <c r="AG21" s="504"/>
      <c r="AH21" s="504"/>
      <c r="AI21" s="504"/>
      <c r="AJ21" s="504"/>
      <c r="AK21" s="504"/>
    </row>
    <row r="22" spans="1:37" ht="15" customHeight="1">
      <c r="A22" s="504"/>
      <c r="B22" s="504"/>
      <c r="C22" s="504"/>
      <c r="D22" s="506" t="str">
        <f>IF(MasterSheet!$A$1=1,MasterSheet!C340,MasterSheet!B340)</f>
        <v>Porez na dobit pravnih lica</v>
      </c>
      <c r="E22" s="644">
        <f>+SUM('2014 - plan'!D22:G22)</f>
        <v>23421790.226103254</v>
      </c>
      <c r="F22" s="644">
        <f>+'2014 - execution '!P22</f>
        <v>25911289.060000002</v>
      </c>
      <c r="G22" s="645">
        <f t="shared" si="7"/>
        <v>2489498.8338967487</v>
      </c>
      <c r="H22" s="646">
        <f t="shared" si="0"/>
        <v>110.62898612729542</v>
      </c>
      <c r="I22" s="644">
        <f>+SUM('2013 - execution'!D22:G22)</f>
        <v>21439756.060000002</v>
      </c>
      <c r="J22" s="647">
        <f t="shared" si="1"/>
        <v>4471533</v>
      </c>
      <c r="K22" s="648">
        <f t="shared" si="2"/>
        <v>120.85626808199794</v>
      </c>
      <c r="L22" s="644">
        <f>+'2014 - plan'!G22</f>
        <v>16167122.137942558</v>
      </c>
      <c r="M22" s="644">
        <f>+'2014 - execution '!G22</f>
        <v>11308140.51</v>
      </c>
      <c r="N22" s="647">
        <f t="shared" si="3"/>
        <v>-4858981.6279425584</v>
      </c>
      <c r="O22" s="649">
        <f t="shared" si="4"/>
        <v>-30.054709715707745</v>
      </c>
      <c r="P22" s="644">
        <f>+'2013 - execution'!G22</f>
        <v>14799003.470000001</v>
      </c>
      <c r="Q22" s="645">
        <f t="shared" si="5"/>
        <v>-3490862.9600000009</v>
      </c>
      <c r="R22" s="649">
        <f t="shared" si="6"/>
        <v>-23.588500178924548</v>
      </c>
      <c r="S22" s="537"/>
      <c r="T22" s="537"/>
      <c r="U22" s="537"/>
      <c r="V22" s="504"/>
      <c r="W22" s="504"/>
      <c r="X22" s="504"/>
      <c r="Y22" s="504"/>
      <c r="Z22" s="504"/>
      <c r="AA22" s="504"/>
      <c r="AB22" s="504"/>
      <c r="AC22" s="504"/>
      <c r="AD22" s="504"/>
      <c r="AE22" s="504"/>
      <c r="AF22" s="504"/>
      <c r="AG22" s="504"/>
      <c r="AH22" s="504"/>
      <c r="AI22" s="504"/>
      <c r="AJ22" s="504"/>
      <c r="AK22" s="504"/>
    </row>
    <row r="23" spans="1:37" ht="15" customHeight="1">
      <c r="A23" s="504"/>
      <c r="B23" s="504"/>
      <c r="C23" s="504"/>
      <c r="D23" s="506" t="str">
        <f>IF(MasterSheet!$A$1=1,MasterSheet!C341,MasterSheet!B341)</f>
        <v>Porez na imovinu</v>
      </c>
      <c r="E23" s="644">
        <f>+SUM('2014 - plan'!D23:G23)</f>
        <v>522893.85316079698</v>
      </c>
      <c r="F23" s="644">
        <f>+'2014 - execution '!P23</f>
        <v>499129.03</v>
      </c>
      <c r="G23" s="645">
        <f t="shared" si="7"/>
        <v>-23764.82316079695</v>
      </c>
      <c r="H23" s="646">
        <f t="shared" si="0"/>
        <v>95.455134341866327</v>
      </c>
      <c r="I23" s="644">
        <f>+SUM('2013 - execution'!D23:G23)</f>
        <v>487694.96</v>
      </c>
      <c r="J23" s="647">
        <f t="shared" si="1"/>
        <v>11434.070000000007</v>
      </c>
      <c r="K23" s="648">
        <f t="shared" si="2"/>
        <v>102.34451264372304</v>
      </c>
      <c r="L23" s="644">
        <f>+'2014 - plan'!G23</f>
        <v>123791.01140095161</v>
      </c>
      <c r="M23" s="644">
        <f>+'2014 - execution '!G23</f>
        <v>141709.28</v>
      </c>
      <c r="N23" s="647">
        <f t="shared" si="3"/>
        <v>17918.268599048388</v>
      </c>
      <c r="O23" s="649">
        <f t="shared" si="4"/>
        <v>14.474612006369497</v>
      </c>
      <c r="P23" s="644">
        <f>+'2013 - execution'!G23</f>
        <v>115457.95</v>
      </c>
      <c r="Q23" s="645">
        <f t="shared" si="5"/>
        <v>26251.33</v>
      </c>
      <c r="R23" s="649">
        <f t="shared" si="6"/>
        <v>22.736701976780282</v>
      </c>
      <c r="S23" s="537"/>
      <c r="T23" s="537"/>
      <c r="U23" s="537"/>
      <c r="V23" s="504"/>
      <c r="W23" s="504"/>
      <c r="X23" s="504"/>
      <c r="Y23" s="504"/>
      <c r="Z23" s="504"/>
      <c r="AA23" s="504"/>
      <c r="AB23" s="504"/>
      <c r="AC23" s="504"/>
      <c r="AD23" s="504"/>
      <c r="AE23" s="504"/>
      <c r="AF23" s="504"/>
      <c r="AG23" s="504"/>
      <c r="AH23" s="504"/>
      <c r="AI23" s="504"/>
      <c r="AJ23" s="504"/>
      <c r="AK23" s="504"/>
    </row>
    <row r="24" spans="1:37" ht="15" customHeight="1">
      <c r="A24" s="504"/>
      <c r="B24" s="504"/>
      <c r="C24" s="504"/>
      <c r="D24" s="506" t="str">
        <f>IF(MasterSheet!$A$1=1,MasterSheet!C342,MasterSheet!B342)</f>
        <v>Porez na dodatu vrijednost</v>
      </c>
      <c r="E24" s="644">
        <f>+SUM('2014 - plan'!D24:G24)</f>
        <v>123100992.06805491</v>
      </c>
      <c r="F24" s="644">
        <f>+'2014 - execution '!P24</f>
        <v>137264177.94</v>
      </c>
      <c r="G24" s="645">
        <f t="shared" si="7"/>
        <v>14163185.871945083</v>
      </c>
      <c r="H24" s="646">
        <f t="shared" si="0"/>
        <v>111.50533853059051</v>
      </c>
      <c r="I24" s="644">
        <f>+SUM('2013 - execution'!D24:G24)</f>
        <v>112865800.42</v>
      </c>
      <c r="J24" s="647">
        <f t="shared" si="1"/>
        <v>24398377.519999996</v>
      </c>
      <c r="K24" s="648">
        <f t="shared" si="2"/>
        <v>121.61715721609907</v>
      </c>
      <c r="L24" s="644">
        <f>+'2014 - plan'!G24</f>
        <v>35805625.314933896</v>
      </c>
      <c r="M24" s="644">
        <f>+'2014 - execution '!G24</f>
        <v>39010711.420000002</v>
      </c>
      <c r="N24" s="647">
        <f t="shared" si="3"/>
        <v>3205086.1050661057</v>
      </c>
      <c r="O24" s="649">
        <f t="shared" si="4"/>
        <v>8.9513479428868266</v>
      </c>
      <c r="P24" s="644">
        <f>+'2013 - execution'!G24</f>
        <v>33764031.280000001</v>
      </c>
      <c r="Q24" s="645">
        <f t="shared" si="5"/>
        <v>5246680.1400000006</v>
      </c>
      <c r="R24" s="649">
        <f t="shared" si="6"/>
        <v>15.539258616632807</v>
      </c>
      <c r="S24" s="537"/>
      <c r="T24" s="537"/>
      <c r="U24" s="537"/>
      <c r="V24" s="504"/>
      <c r="W24" s="504"/>
      <c r="X24" s="504"/>
      <c r="Y24" s="504"/>
      <c r="Z24" s="504"/>
      <c r="AA24" s="504"/>
      <c r="AB24" s="504"/>
      <c r="AC24" s="504"/>
      <c r="AD24" s="504"/>
      <c r="AE24" s="504"/>
      <c r="AF24" s="504"/>
      <c r="AG24" s="504"/>
      <c r="AH24" s="504"/>
      <c r="AI24" s="504"/>
      <c r="AJ24" s="504"/>
      <c r="AK24" s="504"/>
    </row>
    <row r="25" spans="1:37" ht="15" customHeight="1">
      <c r="A25" s="504"/>
      <c r="B25" s="504"/>
      <c r="C25" s="504"/>
      <c r="D25" s="506" t="str">
        <f>IF(MasterSheet!$A$1=1,MasterSheet!C343,MasterSheet!B343)</f>
        <v xml:space="preserve">Akcize </v>
      </c>
      <c r="E25" s="644">
        <f>+SUM('2014 - plan'!D25:G25)</f>
        <v>42502433.11330238</v>
      </c>
      <c r="F25" s="644">
        <f>+'2014 - execution '!P25</f>
        <v>38421071.460000001</v>
      </c>
      <c r="G25" s="645">
        <f t="shared" si="7"/>
        <v>-4081361.653302379</v>
      </c>
      <c r="H25" s="646">
        <f t="shared" si="0"/>
        <v>90.397345859183304</v>
      </c>
      <c r="I25" s="644">
        <f>+SUM('2013 - execution'!D25:G25)</f>
        <v>40915043.93</v>
      </c>
      <c r="J25" s="647">
        <f t="shared" si="1"/>
        <v>-2493972.4699999988</v>
      </c>
      <c r="K25" s="648">
        <f t="shared" si="2"/>
        <v>93.904509856406747</v>
      </c>
      <c r="L25" s="644">
        <f>+'2014 - plan'!G25</f>
        <v>11715409.875199232</v>
      </c>
      <c r="M25" s="644">
        <f>+'2014 - execution '!G25</f>
        <v>10780925.279999999</v>
      </c>
      <c r="N25" s="647">
        <f t="shared" si="3"/>
        <v>-934484.59519923292</v>
      </c>
      <c r="O25" s="649">
        <f t="shared" si="4"/>
        <v>-7.9765420514861916</v>
      </c>
      <c r="P25" s="644">
        <f>+'2013 - execution'!G25</f>
        <v>12315837.07</v>
      </c>
      <c r="Q25" s="645">
        <f t="shared" si="5"/>
        <v>-1534911.790000001</v>
      </c>
      <c r="R25" s="649">
        <f t="shared" si="6"/>
        <v>-12.462910813743008</v>
      </c>
      <c r="S25" s="537"/>
      <c r="T25" s="537"/>
      <c r="U25" s="537"/>
      <c r="V25" s="504"/>
      <c r="W25" s="423"/>
      <c r="X25" s="423"/>
      <c r="Y25" s="423"/>
      <c r="Z25" s="423"/>
      <c r="AA25" s="423"/>
      <c r="AB25" s="423"/>
      <c r="AC25" s="423"/>
      <c r="AD25" s="423"/>
      <c r="AE25" s="423"/>
      <c r="AF25" s="423"/>
      <c r="AG25" s="504"/>
      <c r="AH25" s="504"/>
      <c r="AI25" s="504"/>
      <c r="AJ25" s="504"/>
      <c r="AK25" s="504"/>
    </row>
    <row r="26" spans="1:37" ht="15" customHeight="1">
      <c r="A26" s="504"/>
      <c r="B26" s="504"/>
      <c r="C26" s="504"/>
      <c r="D26" s="506" t="str">
        <f>IF(MasterSheet!$A$1=1,MasterSheet!C344,MasterSheet!B344)</f>
        <v>Porez na međ. trgov. i transakcije</v>
      </c>
      <c r="E26" s="644">
        <f>+SUM('2014 - plan'!D26:G26)</f>
        <v>6787006.0016075512</v>
      </c>
      <c r="F26" s="644">
        <f>+'2014 - execution '!P26</f>
        <v>5725558.1200000001</v>
      </c>
      <c r="G26" s="645">
        <f t="shared" si="7"/>
        <v>-1061447.8816075511</v>
      </c>
      <c r="H26" s="646">
        <f t="shared" si="0"/>
        <v>84.360587255173485</v>
      </c>
      <c r="I26" s="644">
        <f>+SUM('2013 - execution'!D26:G26)</f>
        <v>6367818.8899999997</v>
      </c>
      <c r="J26" s="647">
        <f t="shared" si="1"/>
        <v>-642260.76999999955</v>
      </c>
      <c r="K26" s="648">
        <f t="shared" si="2"/>
        <v>89.913959848817242</v>
      </c>
      <c r="L26" s="644">
        <f>+'2014 - plan'!G26</f>
        <v>2227395.5445058988</v>
      </c>
      <c r="M26" s="644">
        <f>+'2014 - execution '!G26</f>
        <v>1828424.62</v>
      </c>
      <c r="N26" s="647">
        <f t="shared" si="3"/>
        <v>-398970.92450589873</v>
      </c>
      <c r="O26" s="649">
        <f t="shared" si="4"/>
        <v>-17.911992573119846</v>
      </c>
      <c r="P26" s="644">
        <f>+'2013 - execution'!G26</f>
        <v>2089824.5</v>
      </c>
      <c r="Q26" s="645">
        <f t="shared" si="5"/>
        <v>-261399.87999999989</v>
      </c>
      <c r="R26" s="649">
        <f t="shared" si="6"/>
        <v>-12.508221623394689</v>
      </c>
      <c r="S26" s="537"/>
      <c r="T26" s="537"/>
      <c r="U26" s="537"/>
      <c r="V26" s="504"/>
      <c r="W26" s="650"/>
      <c r="X26" s="650"/>
      <c r="Y26" s="651"/>
      <c r="Z26" s="650"/>
      <c r="AA26" s="651"/>
      <c r="AB26" s="650"/>
      <c r="AC26" s="650"/>
      <c r="AD26" s="651"/>
      <c r="AE26" s="650"/>
      <c r="AF26" s="651"/>
      <c r="AG26" s="504"/>
      <c r="AH26" s="504"/>
      <c r="AI26" s="504"/>
      <c r="AJ26" s="504"/>
      <c r="AK26" s="504"/>
    </row>
    <row r="27" spans="1:37" ht="15" customHeight="1">
      <c r="A27" s="504"/>
      <c r="B27" s="504"/>
      <c r="C27" s="504"/>
      <c r="D27" s="506" t="str">
        <f>IF(MasterSheet!$A$1=1,MasterSheet!C345,MasterSheet!B345)</f>
        <v>Ostali republički porezi</v>
      </c>
      <c r="E27" s="644">
        <f>+SUM('2014 - plan'!D27:G27)</f>
        <v>1350080.1480711829</v>
      </c>
      <c r="F27" s="644">
        <f>+'2014 - execution '!P27</f>
        <v>1538690.74</v>
      </c>
      <c r="G27" s="645">
        <f t="shared" si="7"/>
        <v>188610.5919288171</v>
      </c>
      <c r="H27" s="646">
        <f t="shared" si="0"/>
        <v>113.97032555424795</v>
      </c>
      <c r="I27" s="644">
        <f>+SUM('2013 - execution'!D27:G27)</f>
        <v>1351332.47</v>
      </c>
      <c r="J27" s="647">
        <f t="shared" si="1"/>
        <v>187358.27000000002</v>
      </c>
      <c r="K27" s="648">
        <f t="shared" si="2"/>
        <v>113.86470570044098</v>
      </c>
      <c r="L27" s="644">
        <f>+'2014 - plan'!G27</f>
        <v>433913.41590605793</v>
      </c>
      <c r="M27" s="644">
        <f>+'2014 - execution '!G27</f>
        <v>507536.21</v>
      </c>
      <c r="N27" s="647">
        <f t="shared" si="3"/>
        <v>73622.794093942095</v>
      </c>
      <c r="O27" s="649">
        <f t="shared" si="4"/>
        <v>16.967162432673291</v>
      </c>
      <c r="P27" s="644">
        <f>+'2013 - execution'!G27</f>
        <v>434315.91</v>
      </c>
      <c r="Q27" s="645">
        <f t="shared" si="5"/>
        <v>73220.300000000047</v>
      </c>
      <c r="R27" s="649">
        <f t="shared" si="6"/>
        <v>16.858765316702318</v>
      </c>
      <c r="S27" s="537"/>
      <c r="T27" s="537"/>
      <c r="U27" s="537"/>
      <c r="V27" s="504"/>
      <c r="W27" s="652"/>
      <c r="X27" s="652"/>
      <c r="Y27" s="651"/>
      <c r="Z27" s="652"/>
      <c r="AA27" s="651"/>
      <c r="AB27" s="652"/>
      <c r="AC27" s="652"/>
      <c r="AD27" s="651"/>
      <c r="AE27" s="652"/>
      <c r="AF27" s="651"/>
      <c r="AG27" s="504"/>
      <c r="AH27" s="504"/>
      <c r="AI27" s="504"/>
      <c r="AJ27" s="504"/>
      <c r="AK27" s="504"/>
    </row>
    <row r="28" spans="1:37" ht="15" customHeight="1">
      <c r="A28" s="504"/>
      <c r="B28" s="504"/>
      <c r="C28" s="504"/>
      <c r="D28" s="514" t="str">
        <f>IF(MasterSheet!$A$1=1,MasterSheet!C346,MasterSheet!B346)</f>
        <v>Doprinosi</v>
      </c>
      <c r="E28" s="644">
        <f>+SUM('2014 - plan'!D28:G28)</f>
        <v>95851898.029375598</v>
      </c>
      <c r="F28" s="435">
        <f>+'2014 - execution '!P28</f>
        <v>107214194.44</v>
      </c>
      <c r="G28" s="430">
        <f t="shared" si="7"/>
        <v>11362296.4106244</v>
      </c>
      <c r="H28" s="431">
        <f t="shared" si="0"/>
        <v>111.85401295563517</v>
      </c>
      <c r="I28" s="635">
        <f>+SUM('2013 - execution'!D28:G28)</f>
        <v>95903823.689999998</v>
      </c>
      <c r="J28" s="428">
        <f t="shared" si="1"/>
        <v>11310370.75</v>
      </c>
      <c r="K28" s="564">
        <f t="shared" si="2"/>
        <v>111.79345130863571</v>
      </c>
      <c r="L28" s="644">
        <f>+'2014 - plan'!G28</f>
        <v>27258327.618631121</v>
      </c>
      <c r="M28" s="644">
        <f>+'2014 - execution '!G28</f>
        <v>32199860.619999997</v>
      </c>
      <c r="N28" s="428">
        <f t="shared" si="3"/>
        <v>4941533.0013688765</v>
      </c>
      <c r="O28" s="434">
        <f t="shared" si="4"/>
        <v>18.128525970138128</v>
      </c>
      <c r="P28" s="644">
        <f>+'2013 - execution'!G28</f>
        <v>27280628.250000004</v>
      </c>
      <c r="Q28" s="430">
        <f t="shared" si="5"/>
        <v>4919232.3699999936</v>
      </c>
      <c r="R28" s="434">
        <f t="shared" si="6"/>
        <v>18.031961452353997</v>
      </c>
      <c r="S28" s="398"/>
      <c r="T28" s="398"/>
      <c r="U28" s="398"/>
      <c r="V28" s="504"/>
      <c r="W28" s="653"/>
      <c r="X28" s="653"/>
      <c r="Y28" s="654"/>
      <c r="Z28" s="653"/>
      <c r="AA28" s="654"/>
      <c r="AB28" s="653"/>
      <c r="AC28" s="653"/>
      <c r="AD28" s="654"/>
      <c r="AE28" s="653"/>
      <c r="AF28" s="654"/>
      <c r="AG28" s="504"/>
      <c r="AH28" s="504"/>
      <c r="AI28" s="504"/>
      <c r="AJ28" s="504"/>
      <c r="AK28" s="504"/>
    </row>
    <row r="29" spans="1:37" ht="15" customHeight="1">
      <c r="A29" s="504"/>
      <c r="B29" s="504"/>
      <c r="C29" s="504"/>
      <c r="D29" s="506" t="str">
        <f>IF(MasterSheet!$A$1=1,MasterSheet!C347,MasterSheet!B347)</f>
        <v>Doprinosi za PIO</v>
      </c>
      <c r="E29" s="644">
        <f>+SUM('2014 - plan'!D29:G29)</f>
        <v>54989661.972328596</v>
      </c>
      <c r="F29" s="644">
        <f>+'2014 - execution '!P29</f>
        <v>66108983.25</v>
      </c>
      <c r="G29" s="645">
        <f t="shared" si="7"/>
        <v>11119321.277671404</v>
      </c>
      <c r="H29" s="646">
        <f t="shared" si="0"/>
        <v>120.22074855318581</v>
      </c>
      <c r="I29" s="644">
        <f>+SUM('2013 - execution'!D29:G29)</f>
        <v>56644148.189999998</v>
      </c>
      <c r="J29" s="647">
        <f t="shared" si="1"/>
        <v>9464835.0600000024</v>
      </c>
      <c r="K29" s="648">
        <f t="shared" si="2"/>
        <v>116.70929012517294</v>
      </c>
      <c r="L29" s="644">
        <f>+'2014 - plan'!G29</f>
        <v>15916413.916518303</v>
      </c>
      <c r="M29" s="644">
        <f>+'2014 - execution '!G29</f>
        <v>19478759.109999999</v>
      </c>
      <c r="N29" s="647">
        <f t="shared" si="3"/>
        <v>3562345.1934816968</v>
      </c>
      <c r="O29" s="649">
        <f t="shared" si="4"/>
        <v>22.381581756834308</v>
      </c>
      <c r="P29" s="644">
        <f>+'2013 - execution'!G29</f>
        <v>16395294.609999999</v>
      </c>
      <c r="Q29" s="645">
        <f t="shared" si="5"/>
        <v>3083464.5</v>
      </c>
      <c r="R29" s="649">
        <f t="shared" si="6"/>
        <v>18.807008799459453</v>
      </c>
      <c r="S29" s="537"/>
      <c r="T29" s="537"/>
      <c r="U29" s="537"/>
      <c r="V29" s="504"/>
      <c r="W29" s="653"/>
      <c r="X29" s="653"/>
      <c r="Y29" s="654"/>
      <c r="Z29" s="653"/>
      <c r="AA29" s="654"/>
      <c r="AB29" s="653"/>
      <c r="AC29" s="653"/>
      <c r="AD29" s="654"/>
      <c r="AE29" s="653"/>
      <c r="AF29" s="654"/>
      <c r="AG29" s="504"/>
      <c r="AH29" s="504"/>
      <c r="AI29" s="504"/>
      <c r="AJ29" s="504"/>
      <c r="AK29" s="504"/>
    </row>
    <row r="30" spans="1:37" ht="15" customHeight="1">
      <c r="A30" s="504"/>
      <c r="B30" s="504"/>
      <c r="C30" s="504"/>
      <c r="D30" s="506" t="str">
        <f>IF(MasterSheet!$A$1=1,MasterSheet!C348,MasterSheet!B348)</f>
        <v>Doprinosi za zdravstvo</v>
      </c>
      <c r="E30" s="644">
        <f>+SUM('2014 - plan'!D30:G30)</f>
        <v>34785583.250584967</v>
      </c>
      <c r="F30" s="644">
        <f>+'2014 - execution '!P30</f>
        <v>35805440.409999996</v>
      </c>
      <c r="G30" s="645">
        <f t="shared" si="7"/>
        <v>1019857.159415029</v>
      </c>
      <c r="H30" s="646">
        <f t="shared" si="0"/>
        <v>102.93183860701222</v>
      </c>
      <c r="I30" s="644">
        <f>+SUM('2013 - execution'!D30:G30)</f>
        <v>33791338.450000003</v>
      </c>
      <c r="J30" s="647">
        <f t="shared" si="1"/>
        <v>2014101.9599999934</v>
      </c>
      <c r="K30" s="648">
        <f t="shared" si="2"/>
        <v>105.96040894615702</v>
      </c>
      <c r="L30" s="644">
        <f>+'2014 - plan'!G30</f>
        <v>9541998.6085077375</v>
      </c>
      <c r="M30" s="644">
        <f>+'2014 - execution '!G30</f>
        <v>11013856.119999999</v>
      </c>
      <c r="N30" s="647">
        <f t="shared" si="3"/>
        <v>1471857.5114922617</v>
      </c>
      <c r="O30" s="649">
        <f t="shared" si="4"/>
        <v>15.425044289777404</v>
      </c>
      <c r="P30" s="644">
        <f>+'2013 - execution'!G30</f>
        <v>9269268.3100000005</v>
      </c>
      <c r="Q30" s="645">
        <f t="shared" si="5"/>
        <v>1744587.8099999987</v>
      </c>
      <c r="R30" s="649">
        <f t="shared" si="6"/>
        <v>18.821203051354971</v>
      </c>
      <c r="S30" s="537"/>
      <c r="T30" s="537"/>
      <c r="U30" s="537"/>
      <c r="V30" s="504"/>
      <c r="W30" s="653"/>
      <c r="X30" s="653"/>
      <c r="Y30" s="654"/>
      <c r="Z30" s="653"/>
      <c r="AA30" s="654"/>
      <c r="AB30" s="653"/>
      <c r="AC30" s="653"/>
      <c r="AD30" s="654"/>
      <c r="AE30" s="653"/>
      <c r="AF30" s="654"/>
      <c r="AG30" s="504"/>
      <c r="AH30" s="504"/>
      <c r="AI30" s="504"/>
      <c r="AJ30" s="504"/>
      <c r="AK30" s="504"/>
    </row>
    <row r="31" spans="1:37" ht="15" customHeight="1">
      <c r="A31" s="504"/>
      <c r="B31" s="504"/>
      <c r="C31" s="504"/>
      <c r="D31" s="506" t="str">
        <f>IF(MasterSheet!$A$1=1,MasterSheet!C349,MasterSheet!B349)</f>
        <v>Doprinosi za nezaposlene</v>
      </c>
      <c r="E31" s="644">
        <f>+SUM('2014 - plan'!D31:G31)</f>
        <v>2920273.3105876148</v>
      </c>
      <c r="F31" s="644">
        <f>+'2014 - execution '!P31</f>
        <v>2882319.74</v>
      </c>
      <c r="G31" s="645">
        <f t="shared" si="7"/>
        <v>-37953.570587614551</v>
      </c>
      <c r="H31" s="646">
        <f t="shared" si="0"/>
        <v>98.700341832731482</v>
      </c>
      <c r="I31" s="644">
        <f>+SUM('2013 - execution'!D31:G31)</f>
        <v>2707313.01</v>
      </c>
      <c r="J31" s="647">
        <f t="shared" si="1"/>
        <v>175006.73000000045</v>
      </c>
      <c r="K31" s="648">
        <f t="shared" si="2"/>
        <v>106.4642222511242</v>
      </c>
      <c r="L31" s="644">
        <f>+'2014 - plan'!G31</f>
        <v>794944.20445414912</v>
      </c>
      <c r="M31" s="644">
        <f>+'2014 - execution '!G31</f>
        <v>896402.02</v>
      </c>
      <c r="N31" s="647">
        <f t="shared" si="3"/>
        <v>101457.8155458509</v>
      </c>
      <c r="O31" s="649">
        <f t="shared" si="4"/>
        <v>12.762885115379532</v>
      </c>
      <c r="P31" s="644">
        <f>+'2013 - execution'!G31</f>
        <v>736973.07</v>
      </c>
      <c r="Q31" s="645">
        <f t="shared" si="5"/>
        <v>159428.95000000007</v>
      </c>
      <c r="R31" s="649">
        <f t="shared" si="6"/>
        <v>21.632941078837533</v>
      </c>
      <c r="S31" s="537"/>
      <c r="T31" s="537"/>
      <c r="U31" s="537"/>
      <c r="V31" s="504"/>
      <c r="W31" s="653"/>
      <c r="X31" s="653"/>
      <c r="Y31" s="654"/>
      <c r="Z31" s="653"/>
      <c r="AA31" s="654"/>
      <c r="AB31" s="653"/>
      <c r="AC31" s="653"/>
      <c r="AD31" s="654"/>
      <c r="AE31" s="653"/>
      <c r="AF31" s="654"/>
      <c r="AG31" s="504"/>
      <c r="AH31" s="504"/>
      <c r="AI31" s="504"/>
      <c r="AJ31" s="504"/>
      <c r="AK31" s="504"/>
    </row>
    <row r="32" spans="1:37" ht="15" customHeight="1">
      <c r="A32" s="504"/>
      <c r="B32" s="504"/>
      <c r="C32" s="504"/>
      <c r="D32" s="506" t="str">
        <f>IF(MasterSheet!$A$1=1,MasterSheet!C350,MasterSheet!B350)</f>
        <v>Ostali doprinosi</v>
      </c>
      <c r="E32" s="644">
        <f>+SUM('2014 - plan'!D32:G32)</f>
        <v>3156379.4958744114</v>
      </c>
      <c r="F32" s="644">
        <f>+'2014 - execution '!P32</f>
        <v>2417451.04</v>
      </c>
      <c r="G32" s="645">
        <f t="shared" si="7"/>
        <v>-738928.45587441139</v>
      </c>
      <c r="H32" s="646">
        <f t="shared" si="0"/>
        <v>76.589365859199191</v>
      </c>
      <c r="I32" s="644">
        <f>+SUM('2013 - execution'!D32:G32)</f>
        <v>2761024.04</v>
      </c>
      <c r="J32" s="647">
        <f t="shared" si="1"/>
        <v>-343573</v>
      </c>
      <c r="K32" s="648">
        <f t="shared" si="2"/>
        <v>87.556319864567357</v>
      </c>
      <c r="L32" s="644">
        <f>+'2014 - plan'!G32</f>
        <v>1004970.8891509315</v>
      </c>
      <c r="M32" s="644">
        <f>+'2014 - execution '!G32</f>
        <v>810843.37</v>
      </c>
      <c r="N32" s="647">
        <f t="shared" si="3"/>
        <v>-194127.5191509315</v>
      </c>
      <c r="O32" s="649">
        <f t="shared" si="4"/>
        <v>-19.316730588578906</v>
      </c>
      <c r="P32" s="644">
        <f>+'2013 - execution'!G32</f>
        <v>879092.26</v>
      </c>
      <c r="Q32" s="645">
        <f t="shared" si="5"/>
        <v>-68248.890000000014</v>
      </c>
      <c r="R32" s="649">
        <f t="shared" si="6"/>
        <v>-7.7635639745025173</v>
      </c>
      <c r="S32" s="537"/>
      <c r="T32" s="537"/>
      <c r="U32" s="537"/>
      <c r="V32" s="504"/>
      <c r="W32" s="653"/>
      <c r="X32" s="653"/>
      <c r="Y32" s="654"/>
      <c r="Z32" s="653"/>
      <c r="AA32" s="654"/>
      <c r="AB32" s="653"/>
      <c r="AC32" s="653"/>
      <c r="AD32" s="654"/>
      <c r="AE32" s="653"/>
      <c r="AF32" s="654"/>
      <c r="AG32" s="504"/>
      <c r="AH32" s="504"/>
      <c r="AI32" s="504"/>
      <c r="AJ32" s="504"/>
      <c r="AK32" s="504"/>
    </row>
    <row r="33" spans="1:37" ht="15" customHeight="1">
      <c r="A33" s="504"/>
      <c r="B33" s="504"/>
      <c r="C33" s="504"/>
      <c r="D33" s="514" t="str">
        <f>IF(MasterSheet!$A$1=1,MasterSheet!C351,MasterSheet!B351)</f>
        <v>Takse</v>
      </c>
      <c r="E33" s="644">
        <f>+SUM('2014 - plan'!D33:G33)</f>
        <v>5582664.8525945451</v>
      </c>
      <c r="F33" s="435">
        <f>+'2014 - execution '!P33</f>
        <v>5606342.2899999991</v>
      </c>
      <c r="G33" s="430">
        <f t="shared" si="7"/>
        <v>23677.437405453995</v>
      </c>
      <c r="H33" s="431">
        <f t="shared" si="0"/>
        <v>100.42412428527658</v>
      </c>
      <c r="I33" s="635">
        <f>+SUM('2013 - execution'!D33:G33)</f>
        <v>7271985.7800000003</v>
      </c>
      <c r="J33" s="428">
        <f t="shared" si="1"/>
        <v>-1665643.4900000012</v>
      </c>
      <c r="K33" s="564">
        <f t="shared" si="2"/>
        <v>77.095066734302648</v>
      </c>
      <c r="L33" s="644">
        <f>+'2014 - plan'!G33</f>
        <v>1769167.7909803819</v>
      </c>
      <c r="M33" s="644">
        <f>+'2014 - execution '!G33</f>
        <v>1095615.51</v>
      </c>
      <c r="N33" s="428">
        <f t="shared" si="3"/>
        <v>-673552.28098038188</v>
      </c>
      <c r="O33" s="434">
        <f t="shared" si="4"/>
        <v>-38.071701531889971</v>
      </c>
      <c r="P33" s="644">
        <f>+'2013 - execution'!G33</f>
        <v>2230267.9299999997</v>
      </c>
      <c r="Q33" s="430">
        <f t="shared" si="5"/>
        <v>-1134652.4199999997</v>
      </c>
      <c r="R33" s="434">
        <f t="shared" si="6"/>
        <v>-50.875161891423502</v>
      </c>
      <c r="S33" s="398"/>
      <c r="T33" s="398"/>
      <c r="U33" s="398"/>
      <c r="V33" s="504"/>
      <c r="W33" s="653"/>
      <c r="X33" s="653"/>
      <c r="Y33" s="654"/>
      <c r="Z33" s="653"/>
      <c r="AA33" s="654"/>
      <c r="AB33" s="653"/>
      <c r="AC33" s="653"/>
      <c r="AD33" s="654"/>
      <c r="AE33" s="653"/>
      <c r="AF33" s="654"/>
      <c r="AG33" s="504"/>
      <c r="AH33" s="504"/>
      <c r="AI33" s="504"/>
      <c r="AJ33" s="504"/>
      <c r="AK33" s="504"/>
    </row>
    <row r="34" spans="1:37" ht="15" customHeight="1">
      <c r="A34" s="504"/>
      <c r="B34" s="504"/>
      <c r="C34" s="504"/>
      <c r="D34" s="506" t="str">
        <f>IF(MasterSheet!$A$1=1,MasterSheet!C352,MasterSheet!B352)</f>
        <v>Administrativne takse</v>
      </c>
      <c r="E34" s="644">
        <f>+SUM('2014 - plan'!D34:G34)</f>
        <v>2250109.8154464369</v>
      </c>
      <c r="F34" s="644">
        <f>+'2014 - execution '!P34</f>
        <v>2149101.9</v>
      </c>
      <c r="G34" s="645">
        <f t="shared" si="7"/>
        <v>-101007.91544643696</v>
      </c>
      <c r="H34" s="646">
        <f t="shared" si="0"/>
        <v>95.510978408562863</v>
      </c>
      <c r="I34" s="644">
        <f>+SUM('2013 - execution'!D34:G34)</f>
        <v>2177408.4900000002</v>
      </c>
      <c r="J34" s="647">
        <f t="shared" si="1"/>
        <v>-28306.590000000317</v>
      </c>
      <c r="K34" s="648">
        <f t="shared" si="2"/>
        <v>98.699987157669227</v>
      </c>
      <c r="L34" s="644">
        <f>+'2014 - plan'!G34</f>
        <v>827362.00845956581</v>
      </c>
      <c r="M34" s="644">
        <f>+'2014 - execution '!G34</f>
        <v>653179.1</v>
      </c>
      <c r="N34" s="647">
        <f t="shared" si="3"/>
        <v>-174182.90845956584</v>
      </c>
      <c r="O34" s="649">
        <f t="shared" si="4"/>
        <v>-21.052804779357757</v>
      </c>
      <c r="P34" s="644">
        <f>+'2013 - execution'!G34</f>
        <v>800629.84</v>
      </c>
      <c r="Q34" s="645">
        <f t="shared" si="5"/>
        <v>-147450.74</v>
      </c>
      <c r="R34" s="649">
        <f t="shared" si="6"/>
        <v>-18.416842919569419</v>
      </c>
      <c r="S34" s="537"/>
      <c r="T34" s="537"/>
      <c r="U34" s="537"/>
      <c r="V34" s="504"/>
      <c r="W34" s="653"/>
      <c r="X34" s="653"/>
      <c r="Y34" s="654"/>
      <c r="Z34" s="653"/>
      <c r="AA34" s="654"/>
      <c r="AB34" s="653"/>
      <c r="AC34" s="653"/>
      <c r="AD34" s="654"/>
      <c r="AE34" s="653"/>
      <c r="AF34" s="654"/>
      <c r="AG34" s="504"/>
      <c r="AH34" s="504"/>
      <c r="AI34" s="504"/>
      <c r="AJ34" s="504"/>
      <c r="AK34" s="504"/>
    </row>
    <row r="35" spans="1:37" ht="15" customHeight="1">
      <c r="A35" s="504"/>
      <c r="B35" s="504"/>
      <c r="C35" s="504"/>
      <c r="D35" s="506" t="str">
        <f>IF(MasterSheet!$A$1=1,MasterSheet!C353,MasterSheet!B353)</f>
        <v>Sudske takse</v>
      </c>
      <c r="E35" s="644">
        <f>+SUM('2014 - plan'!D35:G35)</f>
        <v>958351.89718014037</v>
      </c>
      <c r="F35" s="644">
        <f>+'2014 - execution '!P35</f>
        <v>2175145.9299999997</v>
      </c>
      <c r="G35" s="645">
        <f t="shared" si="7"/>
        <v>1216794.0328198592</v>
      </c>
      <c r="H35" s="646">
        <f t="shared" si="0"/>
        <v>226.96735263948037</v>
      </c>
      <c r="I35" s="644">
        <f>+SUM('2013 - execution'!D35:G35)</f>
        <v>1188212.3500000001</v>
      </c>
      <c r="J35" s="647">
        <f t="shared" si="1"/>
        <v>986933.57999999961</v>
      </c>
      <c r="K35" s="648">
        <f t="shared" si="2"/>
        <v>183.06037048007451</v>
      </c>
      <c r="L35" s="644">
        <f>+'2014 - plan'!G35</f>
        <v>275003.00170006976</v>
      </c>
      <c r="M35" s="644">
        <f>+'2014 - execution '!G35</f>
        <v>297710.26</v>
      </c>
      <c r="N35" s="647">
        <f t="shared" si="3"/>
        <v>22707.258299930254</v>
      </c>
      <c r="O35" s="649">
        <f t="shared" si="4"/>
        <v>8.2570947078955044</v>
      </c>
      <c r="P35" s="644">
        <f>+'2013 - execution'!G35</f>
        <v>340962.4</v>
      </c>
      <c r="Q35" s="645">
        <f t="shared" si="5"/>
        <v>-43252.140000000014</v>
      </c>
      <c r="R35" s="649">
        <f t="shared" si="6"/>
        <v>-12.685310755672774</v>
      </c>
      <c r="S35" s="537"/>
      <c r="T35" s="537"/>
      <c r="U35" s="537"/>
      <c r="V35" s="504"/>
      <c r="W35" s="652"/>
      <c r="X35" s="652"/>
      <c r="Y35" s="651"/>
      <c r="Z35" s="652"/>
      <c r="AA35" s="651"/>
      <c r="AB35" s="652"/>
      <c r="AC35" s="652"/>
      <c r="AD35" s="651"/>
      <c r="AE35" s="652"/>
      <c r="AF35" s="651"/>
      <c r="AG35" s="504"/>
      <c r="AH35" s="504"/>
      <c r="AI35" s="504"/>
      <c r="AJ35" s="504"/>
      <c r="AK35" s="504"/>
    </row>
    <row r="36" spans="1:37" ht="15" customHeight="1">
      <c r="A36" s="504"/>
      <c r="B36" s="504"/>
      <c r="C36" s="504"/>
      <c r="D36" s="506" t="str">
        <f>IF(MasterSheet!$A$1=1,MasterSheet!C354,MasterSheet!B354)</f>
        <v>Boravišne takse</v>
      </c>
      <c r="E36" s="644">
        <f>+SUM('2014 - plan'!D36:G36)</f>
        <v>61026.940971473741</v>
      </c>
      <c r="F36" s="644">
        <f>+'2014 - execution '!P36</f>
        <v>44055.93</v>
      </c>
      <c r="G36" s="645">
        <f t="shared" si="7"/>
        <v>-16971.010971473741</v>
      </c>
      <c r="H36" s="646">
        <f t="shared" si="0"/>
        <v>72.190952550928913</v>
      </c>
      <c r="I36" s="644">
        <f>+SUM('2013 - execution'!D36:G36)</f>
        <v>61461.17</v>
      </c>
      <c r="J36" s="647">
        <f t="shared" si="1"/>
        <v>-17405.239999999998</v>
      </c>
      <c r="K36" s="648">
        <f t="shared" si="2"/>
        <v>71.680916585219578</v>
      </c>
      <c r="L36" s="644">
        <f>+'2014 - plan'!G36</f>
        <v>30023.611015219602</v>
      </c>
      <c r="M36" s="644">
        <f>+'2014 - execution '!G36</f>
        <v>15407.26</v>
      </c>
      <c r="N36" s="647">
        <f t="shared" si="3"/>
        <v>-14616.351015219601</v>
      </c>
      <c r="O36" s="649">
        <f t="shared" si="4"/>
        <v>-48.682854996390226</v>
      </c>
      <c r="P36" s="644">
        <f>+'2013 - execution'!G36</f>
        <v>30237.24</v>
      </c>
      <c r="Q36" s="645">
        <f t="shared" si="5"/>
        <v>-14829.980000000001</v>
      </c>
      <c r="R36" s="649">
        <f t="shared" si="6"/>
        <v>-49.045415520728739</v>
      </c>
      <c r="S36" s="537"/>
      <c r="T36" s="537"/>
      <c r="U36" s="537"/>
      <c r="V36" s="504"/>
      <c r="W36" s="653"/>
      <c r="X36" s="653"/>
      <c r="Y36" s="654"/>
      <c r="Z36" s="653"/>
      <c r="AA36" s="654"/>
      <c r="AB36" s="653"/>
      <c r="AC36" s="653"/>
      <c r="AD36" s="654"/>
      <c r="AE36" s="653"/>
      <c r="AF36" s="654"/>
      <c r="AG36" s="504"/>
      <c r="AH36" s="504"/>
      <c r="AI36" s="504"/>
      <c r="AJ36" s="504"/>
      <c r="AK36" s="504"/>
    </row>
    <row r="37" spans="1:37" ht="15" customHeight="1">
      <c r="A37" s="504"/>
      <c r="B37" s="504"/>
      <c r="C37" s="504"/>
      <c r="D37" s="506" t="str">
        <f>IF(MasterSheet!$A$1=1,MasterSheet!C355,MasterSheet!B355)</f>
        <v>Ostale takse</v>
      </c>
      <c r="E37" s="644">
        <f>+SUM('2014 - plan'!D37:G37)</f>
        <v>2313176.1989964941</v>
      </c>
      <c r="F37" s="644">
        <f>+'2014 - execution '!P37</f>
        <v>1238038.5299999998</v>
      </c>
      <c r="G37" s="645">
        <f t="shared" si="7"/>
        <v>-1075137.6689964943</v>
      </c>
      <c r="H37" s="646">
        <f t="shared" si="0"/>
        <v>53.52115115731727</v>
      </c>
      <c r="I37" s="644">
        <f>+SUM('2013 - execution'!D37:G37)</f>
        <v>3844903.7700000005</v>
      </c>
      <c r="J37" s="647">
        <f t="shared" si="1"/>
        <v>-2606865.2400000007</v>
      </c>
      <c r="K37" s="648">
        <f t="shared" si="2"/>
        <v>32.19946724440387</v>
      </c>
      <c r="L37" s="644">
        <f>+'2014 - plan'!G37</f>
        <v>636779.16980552685</v>
      </c>
      <c r="M37" s="644">
        <f>+'2014 - execution '!G37</f>
        <v>129318.89</v>
      </c>
      <c r="N37" s="647">
        <f t="shared" si="3"/>
        <v>-507460.27980552684</v>
      </c>
      <c r="O37" s="649">
        <f t="shared" si="4"/>
        <v>-79.691721065641303</v>
      </c>
      <c r="P37" s="644">
        <f>+'2013 - execution'!G37</f>
        <v>1058438.45</v>
      </c>
      <c r="Q37" s="645">
        <f t="shared" si="5"/>
        <v>-929119.55999999994</v>
      </c>
      <c r="R37" s="649">
        <f t="shared" si="6"/>
        <v>-87.782105799349978</v>
      </c>
      <c r="S37" s="537"/>
      <c r="T37" s="537"/>
      <c r="U37" s="537"/>
      <c r="V37" s="504"/>
      <c r="W37" s="653"/>
      <c r="X37" s="653"/>
      <c r="Y37" s="654"/>
      <c r="Z37" s="653"/>
      <c r="AA37" s="654"/>
      <c r="AB37" s="653"/>
      <c r="AC37" s="653"/>
      <c r="AD37" s="654"/>
      <c r="AE37" s="653"/>
      <c r="AF37" s="654"/>
      <c r="AG37" s="504"/>
      <c r="AH37" s="504"/>
      <c r="AI37" s="504"/>
      <c r="AJ37" s="504"/>
      <c r="AK37" s="504"/>
    </row>
    <row r="38" spans="1:37" ht="15" customHeight="1">
      <c r="A38" s="504"/>
      <c r="B38" s="504"/>
      <c r="C38" s="504"/>
      <c r="D38" s="514" t="str">
        <f>IF(MasterSheet!$A$1=1,MasterSheet!C356,MasterSheet!B356)</f>
        <v>Naknade</v>
      </c>
      <c r="E38" s="644">
        <f>+SUM('2014 - plan'!D38:G38)</f>
        <v>4420950.3585062055</v>
      </c>
      <c r="F38" s="435">
        <f>+'2014 - execution '!P38</f>
        <v>3769742.6800000006</v>
      </c>
      <c r="G38" s="430">
        <f t="shared" si="7"/>
        <v>-651207.67850620486</v>
      </c>
      <c r="H38" s="431">
        <f t="shared" si="0"/>
        <v>85.269961757131313</v>
      </c>
      <c r="I38" s="635">
        <f>+SUM('2013 - execution'!D38:G38)</f>
        <v>4443270.4000000004</v>
      </c>
      <c r="J38" s="428">
        <f t="shared" si="1"/>
        <v>-673527.71999999974</v>
      </c>
      <c r="K38" s="564">
        <f t="shared" si="2"/>
        <v>84.841622062884142</v>
      </c>
      <c r="L38" s="644">
        <f>+'2014 - plan'!G38</f>
        <v>1012251.8295932285</v>
      </c>
      <c r="M38" s="644">
        <f>+'2014 - execution '!G38</f>
        <v>876230.8</v>
      </c>
      <c r="N38" s="428">
        <f t="shared" si="3"/>
        <v>-136021.02959322848</v>
      </c>
      <c r="O38" s="434">
        <f t="shared" si="4"/>
        <v>-13.437469374383667</v>
      </c>
      <c r="P38" s="644">
        <f>+'2013 - execution'!G38</f>
        <v>988260.99</v>
      </c>
      <c r="Q38" s="430">
        <f t="shared" si="5"/>
        <v>-112030.18999999994</v>
      </c>
      <c r="R38" s="434">
        <f t="shared" si="6"/>
        <v>-11.336093515135104</v>
      </c>
      <c r="S38" s="398"/>
      <c r="T38" s="398"/>
      <c r="U38" s="398"/>
      <c r="V38" s="504"/>
      <c r="W38" s="653"/>
      <c r="X38" s="653"/>
      <c r="Y38" s="654"/>
      <c r="Z38" s="653"/>
      <c r="AA38" s="654"/>
      <c r="AB38" s="653"/>
      <c r="AC38" s="653"/>
      <c r="AD38" s="654"/>
      <c r="AE38" s="653"/>
      <c r="AF38" s="654"/>
      <c r="AG38" s="504"/>
      <c r="AH38" s="504"/>
      <c r="AI38" s="504"/>
      <c r="AJ38" s="504"/>
      <c r="AK38" s="504"/>
    </row>
    <row r="39" spans="1:37" ht="15" customHeight="1">
      <c r="A39" s="504"/>
      <c r="B39" s="504"/>
      <c r="C39" s="504"/>
      <c r="D39" s="506" t="str">
        <f>IF(MasterSheet!$A$1=1,MasterSheet!C357,MasterSheet!B357)</f>
        <v>Nakn. za koriš. dob. od opš. int.</v>
      </c>
      <c r="E39" s="644">
        <f>+SUM('2014 - plan'!D39:G39)</f>
        <v>96479.718743360805</v>
      </c>
      <c r="F39" s="644">
        <f>+'2014 - execution '!P39</f>
        <v>45674.37</v>
      </c>
      <c r="G39" s="645">
        <f t="shared" si="7"/>
        <v>-50805.348743360802</v>
      </c>
      <c r="H39" s="646">
        <f t="shared" si="0"/>
        <v>47.340902932662267</v>
      </c>
      <c r="I39" s="644">
        <f>+SUM('2013 - execution'!D39:G39)</f>
        <v>89383.799999999988</v>
      </c>
      <c r="J39" s="647">
        <f t="shared" si="1"/>
        <v>-43709.429999999986</v>
      </c>
      <c r="K39" s="648">
        <f t="shared" si="2"/>
        <v>51.099158907990052</v>
      </c>
      <c r="L39" s="644">
        <f>+'2014 - plan'!G39</f>
        <v>52237.811965447087</v>
      </c>
      <c r="M39" s="644">
        <f>+'2014 - execution '!G39</f>
        <v>7337.36</v>
      </c>
      <c r="N39" s="647">
        <f t="shared" si="3"/>
        <v>-44900.451965447086</v>
      </c>
      <c r="O39" s="649">
        <f t="shared" si="4"/>
        <v>-85.953929301530991</v>
      </c>
      <c r="P39" s="644">
        <f>+'2013 - execution'!G39</f>
        <v>48395.81</v>
      </c>
      <c r="Q39" s="645">
        <f t="shared" si="5"/>
        <v>-41058.449999999997</v>
      </c>
      <c r="R39" s="649">
        <f t="shared" si="6"/>
        <v>-84.838852784982834</v>
      </c>
      <c r="S39" s="537"/>
      <c r="T39" s="537"/>
      <c r="U39" s="537"/>
      <c r="V39" s="504"/>
      <c r="W39" s="653"/>
      <c r="X39" s="653"/>
      <c r="Y39" s="654"/>
      <c r="Z39" s="653"/>
      <c r="AA39" s="654"/>
      <c r="AB39" s="653"/>
      <c r="AC39" s="653"/>
      <c r="AD39" s="654"/>
      <c r="AE39" s="653"/>
      <c r="AF39" s="654"/>
      <c r="AG39" s="504"/>
      <c r="AH39" s="504"/>
      <c r="AI39" s="504"/>
      <c r="AJ39" s="504"/>
      <c r="AK39" s="504"/>
    </row>
    <row r="40" spans="1:37" ht="15" customHeight="1">
      <c r="A40" s="504"/>
      <c r="B40" s="504"/>
      <c r="C40" s="504"/>
      <c r="D40" s="506" t="str">
        <f>IF(MasterSheet!$A$1=1,MasterSheet!C358,MasterSheet!B358)</f>
        <v>Naknada za kor. prirodnih dobara</v>
      </c>
      <c r="E40" s="644">
        <f>+SUM('2014 - plan'!D40:G40)</f>
        <v>453534.56007449736</v>
      </c>
      <c r="F40" s="644">
        <f>+'2014 - execution '!P40</f>
        <v>475488.25</v>
      </c>
      <c r="G40" s="645">
        <f t="shared" si="7"/>
        <v>21953.689925502636</v>
      </c>
      <c r="H40" s="646">
        <f t="shared" si="0"/>
        <v>104.84057707132538</v>
      </c>
      <c r="I40" s="644">
        <f>+SUM('2013 - execution'!D40:G40)</f>
        <v>452903.02</v>
      </c>
      <c r="J40" s="647">
        <f t="shared" si="1"/>
        <v>22585.229999999981</v>
      </c>
      <c r="K40" s="648">
        <f t="shared" si="2"/>
        <v>104.98676957375996</v>
      </c>
      <c r="L40" s="644">
        <f>+'2014 - plan'!G40</f>
        <v>139217.3680976172</v>
      </c>
      <c r="M40" s="644">
        <f>+'2014 - execution '!G40</f>
        <v>82870.850000000006</v>
      </c>
      <c r="N40" s="647">
        <f t="shared" si="3"/>
        <v>-56346.518097617198</v>
      </c>
      <c r="O40" s="649">
        <f t="shared" si="4"/>
        <v>-40.473770527042163</v>
      </c>
      <c r="P40" s="644">
        <f>+'2013 - execution'!G40</f>
        <v>139023.51</v>
      </c>
      <c r="Q40" s="645">
        <f t="shared" si="5"/>
        <v>-56152.66</v>
      </c>
      <c r="R40" s="649">
        <f t="shared" si="6"/>
        <v>-40.390765561882304</v>
      </c>
      <c r="S40" s="537"/>
      <c r="T40" s="537"/>
      <c r="U40" s="537"/>
      <c r="V40" s="504"/>
      <c r="W40" s="652"/>
      <c r="X40" s="652"/>
      <c r="Y40" s="651"/>
      <c r="Z40" s="652"/>
      <c r="AA40" s="651"/>
      <c r="AB40" s="652"/>
      <c r="AC40" s="652"/>
      <c r="AD40" s="651"/>
      <c r="AE40" s="652"/>
      <c r="AF40" s="651"/>
      <c r="AG40" s="504"/>
      <c r="AH40" s="504"/>
      <c r="AI40" s="504"/>
      <c r="AJ40" s="504"/>
      <c r="AK40" s="504"/>
    </row>
    <row r="41" spans="1:37" ht="15" customHeight="1">
      <c r="A41" s="504"/>
      <c r="B41" s="504"/>
      <c r="C41" s="504"/>
      <c r="D41" s="506" t="str">
        <f>IF(MasterSheet!$A$1=1,MasterSheet!C359,MasterSheet!B359)</f>
        <v>Ekološke naknade</v>
      </c>
      <c r="E41" s="644">
        <f>+SUM('2014 - plan'!D41:G41)</f>
        <v>264862.34653821297</v>
      </c>
      <c r="F41" s="644">
        <f>+'2014 - execution '!P41</f>
        <v>27602.54</v>
      </c>
      <c r="G41" s="645">
        <f t="shared" si="7"/>
        <v>-237259.80653821296</v>
      </c>
      <c r="H41" s="646">
        <f t="shared" si="0"/>
        <v>10.421466229824272</v>
      </c>
      <c r="I41" s="644">
        <f>+SUM('2013 - execution'!D41:G41)</f>
        <v>193385.91</v>
      </c>
      <c r="J41" s="647">
        <f t="shared" si="1"/>
        <v>-165783.37</v>
      </c>
      <c r="K41" s="648">
        <f t="shared" si="2"/>
        <v>14.273294264302915</v>
      </c>
      <c r="L41" s="644">
        <f>+'2014 - plan'!G41</f>
        <v>179198.95167301106</v>
      </c>
      <c r="M41" s="644">
        <f>+'2014 - execution '!G41</f>
        <v>12964.26</v>
      </c>
      <c r="N41" s="647">
        <f t="shared" si="3"/>
        <v>-166234.69167301105</v>
      </c>
      <c r="O41" s="649">
        <f t="shared" si="4"/>
        <v>-92.765437588242023</v>
      </c>
      <c r="P41" s="644">
        <f>+'2013 - execution'!G41</f>
        <v>130839.86</v>
      </c>
      <c r="Q41" s="645">
        <f t="shared" si="5"/>
        <v>-117875.6</v>
      </c>
      <c r="R41" s="649">
        <f t="shared" si="6"/>
        <v>-90.091505753674767</v>
      </c>
      <c r="S41" s="537"/>
      <c r="T41" s="537"/>
      <c r="U41" s="537"/>
      <c r="V41" s="504"/>
      <c r="W41" s="653"/>
      <c r="X41" s="653"/>
      <c r="Y41" s="654"/>
      <c r="Z41" s="653"/>
      <c r="AA41" s="654"/>
      <c r="AB41" s="653"/>
      <c r="AC41" s="653"/>
      <c r="AD41" s="654"/>
      <c r="AE41" s="653"/>
      <c r="AF41" s="654"/>
      <c r="AG41" s="504"/>
      <c r="AH41" s="504"/>
      <c r="AI41" s="504"/>
      <c r="AJ41" s="504"/>
      <c r="AK41" s="504"/>
    </row>
    <row r="42" spans="1:37">
      <c r="A42" s="504"/>
      <c r="B42" s="504"/>
      <c r="C42" s="504"/>
      <c r="D42" s="506" t="str">
        <f>IF(MasterSheet!$A$1=1,MasterSheet!C360,MasterSheet!B360)</f>
        <v>Naknade za priređ.  igara na sreću</v>
      </c>
      <c r="E42" s="644">
        <f>+SUM('2014 - plan'!D42:G42)</f>
        <v>1073749.0313134461</v>
      </c>
      <c r="F42" s="644">
        <f>+'2014 - execution '!P42</f>
        <v>1441100.04</v>
      </c>
      <c r="G42" s="645">
        <f t="shared" si="7"/>
        <v>367351.00868655392</v>
      </c>
      <c r="H42" s="646">
        <f t="shared" si="0"/>
        <v>134.21199907740058</v>
      </c>
      <c r="I42" s="644">
        <f>+SUM('2013 - execution'!D42:G42)</f>
        <v>1092760.9099999999</v>
      </c>
      <c r="J42" s="647">
        <f t="shared" si="1"/>
        <v>348339.13000000012</v>
      </c>
      <c r="K42" s="648">
        <f t="shared" si="2"/>
        <v>131.87697572381137</v>
      </c>
      <c r="L42" s="644">
        <f>+'2014 - plan'!G42</f>
        <v>291256.03931849444</v>
      </c>
      <c r="M42" s="644">
        <f>+'2014 - execution '!G42</f>
        <v>354782.12</v>
      </c>
      <c r="N42" s="647">
        <f t="shared" si="3"/>
        <v>63526.080681505555</v>
      </c>
      <c r="O42" s="649">
        <f t="shared" si="4"/>
        <v>21.811077576330874</v>
      </c>
      <c r="P42" s="644">
        <f>+'2013 - execution'!G42</f>
        <v>296413.03999999998</v>
      </c>
      <c r="Q42" s="645">
        <f t="shared" si="5"/>
        <v>58369.080000000016</v>
      </c>
      <c r="R42" s="649">
        <f t="shared" si="6"/>
        <v>19.691805731623674</v>
      </c>
      <c r="S42" s="537"/>
      <c r="T42" s="537"/>
      <c r="U42" s="537"/>
      <c r="V42" s="504"/>
      <c r="W42" s="653"/>
      <c r="X42" s="653"/>
      <c r="Y42" s="654"/>
      <c r="Z42" s="653"/>
      <c r="AA42" s="654"/>
      <c r="AB42" s="653"/>
      <c r="AC42" s="653"/>
      <c r="AD42" s="654"/>
      <c r="AE42" s="653"/>
      <c r="AF42" s="654"/>
      <c r="AG42" s="504"/>
      <c r="AH42" s="504"/>
      <c r="AI42" s="504"/>
      <c r="AJ42" s="504"/>
      <c r="AK42" s="504"/>
    </row>
    <row r="43" spans="1:37">
      <c r="A43" s="504"/>
      <c r="B43" s="504"/>
      <c r="C43" s="504"/>
      <c r="D43" s="506" t="str">
        <f>IF(MasterSheet!$A$1=1,MasterSheet!C361,MasterSheet!B361)</f>
        <v>Naknade za puteve</v>
      </c>
      <c r="E43" s="644">
        <f>+SUM('2014 - plan'!D43:G43)</f>
        <v>815574.59752394911</v>
      </c>
      <c r="F43" s="644">
        <f>+'2014 - execution '!P43</f>
        <v>695456.03</v>
      </c>
      <c r="G43" s="645">
        <f t="shared" si="7"/>
        <v>-120118.56752394908</v>
      </c>
      <c r="H43" s="646">
        <f>+F43/E43*100</f>
        <v>85.271909168257068</v>
      </c>
      <c r="I43" s="644">
        <f>+SUM('2013 - execution'!D43:G43)</f>
        <v>889281.2</v>
      </c>
      <c r="J43" s="647">
        <f t="shared" si="1"/>
        <v>-193825.16999999993</v>
      </c>
      <c r="K43" s="648">
        <f t="shared" si="2"/>
        <v>78.204287912529807</v>
      </c>
      <c r="L43" s="644">
        <f>+'2014 - plan'!G43</f>
        <v>251630.44241899281</v>
      </c>
      <c r="M43" s="644">
        <f>+'2014 - execution '!G43</f>
        <v>255519.42</v>
      </c>
      <c r="N43" s="647">
        <f t="shared" si="3"/>
        <v>3888.9775810072024</v>
      </c>
      <c r="O43" s="649">
        <f t="shared" si="4"/>
        <v>1.5455115619642044</v>
      </c>
      <c r="P43" s="644">
        <f>+'2013 - execution'!G43</f>
        <v>274371.25</v>
      </c>
      <c r="Q43" s="645">
        <f t="shared" si="5"/>
        <v>-18851.829999999987</v>
      </c>
      <c r="R43" s="649">
        <f t="shared" si="6"/>
        <v>-6.8709203314851663</v>
      </c>
      <c r="S43" s="537"/>
      <c r="T43" s="537"/>
      <c r="U43" s="537"/>
      <c r="V43" s="504"/>
      <c r="W43" s="653"/>
      <c r="X43" s="653"/>
      <c r="Y43" s="654"/>
      <c r="Z43" s="653"/>
      <c r="AA43" s="654"/>
      <c r="AB43" s="653"/>
      <c r="AC43" s="653"/>
      <c r="AD43" s="654"/>
      <c r="AE43" s="653"/>
      <c r="AF43" s="654"/>
      <c r="AG43" s="504"/>
      <c r="AH43" s="504"/>
      <c r="AI43" s="504"/>
      <c r="AJ43" s="504"/>
      <c r="AK43" s="504"/>
    </row>
    <row r="44" spans="1:37">
      <c r="A44" s="504"/>
      <c r="B44" s="504"/>
      <c r="C44" s="504"/>
      <c r="D44" s="506" t="str">
        <f>IF(MasterSheet!$A$1=1,MasterSheet!C362,MasterSheet!B362)</f>
        <v>Ostale naknade</v>
      </c>
      <c r="E44" s="644">
        <f>+SUM('2014 - plan'!D44:G44)</f>
        <v>1716750.1043127389</v>
      </c>
      <c r="F44" s="644">
        <f>+'2014 - execution '!P44</f>
        <v>1084421.45</v>
      </c>
      <c r="G44" s="645">
        <f t="shared" si="7"/>
        <v>-632328.65431273892</v>
      </c>
      <c r="H44" s="646">
        <f t="shared" si="0"/>
        <v>63.167111350438674</v>
      </c>
      <c r="I44" s="644">
        <f>+SUM('2013 - execution'!D44:G44)</f>
        <v>1725555.56</v>
      </c>
      <c r="J44" s="647">
        <f t="shared" si="1"/>
        <v>-641134.1100000001</v>
      </c>
      <c r="K44" s="648">
        <f t="shared" si="2"/>
        <v>62.844771570264591</v>
      </c>
      <c r="L44" s="644">
        <f>+'2014 - plan'!G44</f>
        <v>98711.216119666002</v>
      </c>
      <c r="M44" s="644">
        <f>+'2014 - execution '!G44</f>
        <v>162756.79</v>
      </c>
      <c r="N44" s="647">
        <f t="shared" si="3"/>
        <v>64045.573880334006</v>
      </c>
      <c r="O44" s="649">
        <f t="shared" si="4"/>
        <v>64.881759538543832</v>
      </c>
      <c r="P44" s="644">
        <f>+'2013 - execution'!G44</f>
        <v>99217.52</v>
      </c>
      <c r="Q44" s="645">
        <f t="shared" si="5"/>
        <v>63539.270000000004</v>
      </c>
      <c r="R44" s="649">
        <f t="shared" si="6"/>
        <v>64.040373111523053</v>
      </c>
      <c r="S44" s="537"/>
      <c r="T44" s="537"/>
      <c r="U44" s="537"/>
      <c r="V44" s="504"/>
      <c r="W44" s="653"/>
      <c r="X44" s="653"/>
      <c r="Y44" s="654"/>
      <c r="Z44" s="653"/>
      <c r="AA44" s="654"/>
      <c r="AB44" s="653"/>
      <c r="AC44" s="653"/>
      <c r="AD44" s="654"/>
      <c r="AE44" s="653"/>
      <c r="AF44" s="654"/>
      <c r="AG44" s="504"/>
      <c r="AH44" s="504"/>
      <c r="AI44" s="504"/>
      <c r="AJ44" s="504"/>
      <c r="AK44" s="504"/>
    </row>
    <row r="45" spans="1:37">
      <c r="A45" s="504"/>
      <c r="B45" s="504"/>
      <c r="C45" s="504"/>
      <c r="D45" s="514" t="str">
        <f>IF(MasterSheet!$A$1=1,MasterSheet!C363,MasterSheet!B363)</f>
        <v>Ostali prihodi</v>
      </c>
      <c r="E45" s="644">
        <f>+SUM('2014 - plan'!D45:G45)</f>
        <v>7565641.7222165279</v>
      </c>
      <c r="F45" s="435">
        <f>+'2014 - execution '!P45</f>
        <v>7193701.7800000003</v>
      </c>
      <c r="G45" s="430">
        <f t="shared" si="7"/>
        <v>-371939.94221652765</v>
      </c>
      <c r="H45" s="431">
        <f t="shared" si="0"/>
        <v>95.083828234631767</v>
      </c>
      <c r="I45" s="635">
        <f>+SUM('2013 - execution'!D45:G45)</f>
        <v>7956731.8400000008</v>
      </c>
      <c r="J45" s="428">
        <f t="shared" si="1"/>
        <v>-763030.06000000052</v>
      </c>
      <c r="K45" s="564">
        <f t="shared" si="2"/>
        <v>90.410257938264266</v>
      </c>
      <c r="L45" s="644">
        <f>+'2014 - plan'!G45</f>
        <v>2595680.0159037258</v>
      </c>
      <c r="M45" s="644">
        <f>+'2014 - execution '!G45</f>
        <v>1910888.05</v>
      </c>
      <c r="N45" s="428">
        <f t="shared" si="3"/>
        <v>-684791.96590372571</v>
      </c>
      <c r="O45" s="434">
        <f t="shared" si="4"/>
        <v>-26.381987059576176</v>
      </c>
      <c r="P45" s="644">
        <f>+'2013 - execution'!G45</f>
        <v>2753021.1100000003</v>
      </c>
      <c r="Q45" s="430">
        <f t="shared" si="5"/>
        <v>-842133.06000000029</v>
      </c>
      <c r="R45" s="434">
        <f t="shared" si="6"/>
        <v>-30.589415276950064</v>
      </c>
      <c r="S45" s="398"/>
      <c r="T45" s="398"/>
      <c r="U45" s="398"/>
      <c r="V45" s="504"/>
      <c r="W45" s="652"/>
      <c r="X45" s="652"/>
      <c r="Y45" s="651"/>
      <c r="Z45" s="652"/>
      <c r="AA45" s="651"/>
      <c r="AB45" s="652"/>
      <c r="AC45" s="652"/>
      <c r="AD45" s="651"/>
      <c r="AE45" s="652"/>
      <c r="AF45" s="651"/>
      <c r="AG45" s="504"/>
      <c r="AH45" s="504"/>
      <c r="AI45" s="504"/>
      <c r="AJ45" s="504"/>
      <c r="AK45" s="504"/>
    </row>
    <row r="46" spans="1:37">
      <c r="A46" s="504"/>
      <c r="B46" s="504"/>
      <c r="C46" s="504"/>
      <c r="D46" s="506" t="str">
        <f>IF(MasterSheet!$A$1=1,MasterSheet!C364,MasterSheet!B364)</f>
        <v>Prihodi od kapitala</v>
      </c>
      <c r="E46" s="644">
        <f>+SUM('2014 - plan'!D46:G46)</f>
        <v>974266.81367699848</v>
      </c>
      <c r="F46" s="644">
        <f>+'2014 - execution '!P46</f>
        <v>959605.17</v>
      </c>
      <c r="G46" s="645">
        <f t="shared" si="7"/>
        <v>-14661.643676998443</v>
      </c>
      <c r="H46" s="646">
        <f t="shared" si="0"/>
        <v>98.495110017997661</v>
      </c>
      <c r="I46" s="644">
        <f>+SUM('2013 - execution'!D46:G46)</f>
        <v>1062521.6200000001</v>
      </c>
      <c r="J46" s="647">
        <f t="shared" si="1"/>
        <v>-102916.45000000007</v>
      </c>
      <c r="K46" s="648">
        <f t="shared" si="2"/>
        <v>90.313942976520323</v>
      </c>
      <c r="L46" s="644">
        <f>+'2014 - plan'!G46</f>
        <v>907796.75200148032</v>
      </c>
      <c r="M46" s="644">
        <f>+'2014 - execution '!G46</f>
        <v>133541.67000000001</v>
      </c>
      <c r="N46" s="647">
        <f t="shared" si="3"/>
        <v>-774255.08200148027</v>
      </c>
      <c r="O46" s="649">
        <f>+M46/L46*100-100</f>
        <v>-85.2894747964705</v>
      </c>
      <c r="P46" s="644">
        <f>+'2013 - execution'!G46</f>
        <v>990030.31</v>
      </c>
      <c r="Q46" s="645">
        <f t="shared" si="5"/>
        <v>-856488.64</v>
      </c>
      <c r="R46" s="649">
        <f t="shared" si="6"/>
        <v>-86.511355394765644</v>
      </c>
      <c r="S46" s="537"/>
      <c r="T46" s="537"/>
      <c r="U46" s="537"/>
      <c r="V46" s="504"/>
      <c r="W46" s="653"/>
      <c r="X46" s="653"/>
      <c r="Y46" s="654"/>
      <c r="Z46" s="653"/>
      <c r="AA46" s="654"/>
      <c r="AB46" s="653"/>
      <c r="AC46" s="653"/>
      <c r="AD46" s="654"/>
      <c r="AE46" s="653"/>
      <c r="AF46" s="654"/>
      <c r="AG46" s="504"/>
      <c r="AH46" s="504"/>
      <c r="AI46" s="504"/>
      <c r="AJ46" s="504"/>
      <c r="AK46" s="504"/>
    </row>
    <row r="47" spans="1:37">
      <c r="A47" s="504"/>
      <c r="B47" s="504"/>
      <c r="C47" s="504"/>
      <c r="D47" s="506" t="str">
        <f>IF(MasterSheet!$A$1=1,MasterSheet!C365,MasterSheet!B365)</f>
        <v>Novčane kazne i oduzete imovinske koristi</v>
      </c>
      <c r="E47" s="644">
        <f>+SUM('2014 - plan'!D47:G47)</f>
        <v>2756034.2885402571</v>
      </c>
      <c r="F47" s="644">
        <f>+'2014 - execution '!P47</f>
        <v>3409721.62</v>
      </c>
      <c r="G47" s="645">
        <f t="shared" si="7"/>
        <v>653687.33145974297</v>
      </c>
      <c r="H47" s="646">
        <f t="shared" si="0"/>
        <v>123.71840343851348</v>
      </c>
      <c r="I47" s="644">
        <f>+SUM('2013 - execution'!D47:G47)</f>
        <v>2870858.98</v>
      </c>
      <c r="J47" s="647">
        <f t="shared" si="1"/>
        <v>538862.64000000013</v>
      </c>
      <c r="K47" s="648">
        <f t="shared" si="2"/>
        <v>118.77008392798172</v>
      </c>
      <c r="L47" s="644">
        <f>+'2014 - plan'!G47</f>
        <v>753352.97544523817</v>
      </c>
      <c r="M47" s="644">
        <f>+'2014 - execution '!G47</f>
        <v>945260.91</v>
      </c>
      <c r="N47" s="647">
        <f t="shared" si="3"/>
        <v>191907.93455476186</v>
      </c>
      <c r="O47" s="649">
        <f t="shared" si="4"/>
        <v>25.473840392193665</v>
      </c>
      <c r="P47" s="644">
        <f>+'2013 - execution'!G47</f>
        <v>784739.93</v>
      </c>
      <c r="Q47" s="645">
        <f t="shared" si="5"/>
        <v>160520.97999999998</v>
      </c>
      <c r="R47" s="649">
        <f t="shared" si="6"/>
        <v>20.455309315023641</v>
      </c>
      <c r="S47" s="537"/>
      <c r="T47" s="537"/>
      <c r="U47" s="537"/>
      <c r="V47" s="398"/>
      <c r="W47" s="653"/>
      <c r="X47" s="653"/>
      <c r="Y47" s="654"/>
      <c r="Z47" s="653"/>
      <c r="AA47" s="654"/>
      <c r="AB47" s="653"/>
      <c r="AC47" s="653"/>
      <c r="AD47" s="654"/>
      <c r="AE47" s="653"/>
      <c r="AF47" s="654"/>
      <c r="AG47" s="504"/>
      <c r="AH47" s="504"/>
      <c r="AI47" s="504"/>
      <c r="AJ47" s="504"/>
      <c r="AK47" s="504"/>
    </row>
    <row r="48" spans="1:37">
      <c r="A48" s="504"/>
      <c r="B48" s="504"/>
      <c r="C48" s="504"/>
      <c r="D48" s="506" t="str">
        <f>IF(MasterSheet!$A$1=1,MasterSheet!C366,MasterSheet!B366)</f>
        <v>Prihodi koje organi ostvaruju vršenjem svoje djel.</v>
      </c>
      <c r="E48" s="644">
        <f>+SUM('2014 - plan'!D48:G48)</f>
        <v>587553.17474289378</v>
      </c>
      <c r="F48" s="644">
        <f>+'2014 - execution '!P48</f>
        <v>659347.78</v>
      </c>
      <c r="G48" s="645">
        <f t="shared" si="7"/>
        <v>71794.605257106246</v>
      </c>
      <c r="H48" s="646">
        <f t="shared" si="0"/>
        <v>112.21925237465065</v>
      </c>
      <c r="I48" s="644">
        <f>+SUM('2013 - execution'!D48:G48)</f>
        <v>576757.19999999995</v>
      </c>
      <c r="J48" s="647">
        <f t="shared" si="1"/>
        <v>82590.580000000075</v>
      </c>
      <c r="K48" s="648">
        <f t="shared" si="2"/>
        <v>114.31981776733781</v>
      </c>
      <c r="L48" s="644">
        <f>+'2014 - plan'!G48</f>
        <v>169433.33677156322</v>
      </c>
      <c r="M48" s="644">
        <f>+'2014 - execution '!G48</f>
        <v>218231.41</v>
      </c>
      <c r="N48" s="647">
        <f t="shared" si="3"/>
        <v>48798.073228436784</v>
      </c>
      <c r="O48" s="649">
        <f t="shared" si="4"/>
        <v>28.800750878340011</v>
      </c>
      <c r="P48" s="644">
        <f>+'2013 - execution'!G48</f>
        <v>166320.09</v>
      </c>
      <c r="Q48" s="645">
        <f t="shared" si="5"/>
        <v>51911.320000000007</v>
      </c>
      <c r="R48" s="649">
        <f t="shared" si="6"/>
        <v>31.211695472266769</v>
      </c>
      <c r="S48" s="537"/>
      <c r="T48" s="537"/>
      <c r="U48" s="537"/>
      <c r="V48" s="398"/>
      <c r="W48" s="653"/>
      <c r="X48" s="653"/>
      <c r="Y48" s="654"/>
      <c r="Z48" s="653"/>
      <c r="AA48" s="654"/>
      <c r="AB48" s="653"/>
      <c r="AC48" s="653"/>
      <c r="AD48" s="654"/>
      <c r="AE48" s="653"/>
      <c r="AF48" s="654"/>
      <c r="AG48" s="504"/>
      <c r="AH48" s="504"/>
      <c r="AI48" s="504"/>
      <c r="AJ48" s="504"/>
      <c r="AK48" s="504"/>
    </row>
    <row r="49" spans="1:37">
      <c r="A49" s="504"/>
      <c r="B49" s="504"/>
      <c r="C49" s="504"/>
      <c r="D49" s="506" t="str">
        <f>IF(MasterSheet!$A$1=1,MasterSheet!C367,MasterSheet!B367)</f>
        <v>Ostali prihodi</v>
      </c>
      <c r="E49" s="644">
        <f>+SUM('2014 - plan'!D49:G49)</f>
        <v>3247787.4452563785</v>
      </c>
      <c r="F49" s="644">
        <f>+'2014 - execution '!P49</f>
        <v>2165027.21</v>
      </c>
      <c r="G49" s="645">
        <f t="shared" si="7"/>
        <v>-1082760.2352563785</v>
      </c>
      <c r="H49" s="646">
        <f t="shared" si="0"/>
        <v>66.661604137985506</v>
      </c>
      <c r="I49" s="644">
        <f>+SUM('2013 - execution'!D49:G49)</f>
        <v>3446594.04</v>
      </c>
      <c r="J49" s="647">
        <f t="shared" si="1"/>
        <v>-1281566.83</v>
      </c>
      <c r="K49" s="648">
        <f t="shared" si="2"/>
        <v>62.81642644516382</v>
      </c>
      <c r="L49" s="644">
        <f>+'2014 - plan'!G49</f>
        <v>765096.95168544387</v>
      </c>
      <c r="M49" s="644">
        <f>+'2014 - execution '!G49</f>
        <v>613854.06000000006</v>
      </c>
      <c r="N49" s="647">
        <f t="shared" si="3"/>
        <v>-151242.89168544381</v>
      </c>
      <c r="O49" s="649">
        <f t="shared" si="4"/>
        <v>-19.767807380785996</v>
      </c>
      <c r="P49" s="644">
        <f>+'2013 - execution'!G49</f>
        <v>811930.78</v>
      </c>
      <c r="Q49" s="645">
        <f t="shared" si="5"/>
        <v>-198076.71999999997</v>
      </c>
      <c r="R49" s="649">
        <f t="shared" si="6"/>
        <v>-24.395764377845111</v>
      </c>
      <c r="S49" s="537"/>
      <c r="T49" s="537"/>
      <c r="U49" s="537"/>
      <c r="V49" s="398"/>
      <c r="W49" s="653"/>
      <c r="X49" s="653"/>
      <c r="Y49" s="654"/>
      <c r="Z49" s="653"/>
      <c r="AA49" s="654"/>
      <c r="AB49" s="653"/>
      <c r="AC49" s="653"/>
      <c r="AD49" s="654"/>
      <c r="AE49" s="653"/>
      <c r="AF49" s="654"/>
      <c r="AG49" s="504"/>
      <c r="AH49" s="504"/>
      <c r="AI49" s="504"/>
      <c r="AJ49" s="504"/>
      <c r="AK49" s="504"/>
    </row>
    <row r="50" spans="1:37" ht="26.25" thickBot="1">
      <c r="A50" s="504"/>
      <c r="B50" s="504"/>
      <c r="C50" s="504"/>
      <c r="D50" s="539" t="str">
        <f>IF(MasterSheet!$A$1=1,MasterSheet!C368,MasterSheet!B368)</f>
        <v>Primici od otplate kredita i sredstva prenijeta iz prethodne godine</v>
      </c>
      <c r="E50" s="644">
        <f>+SUM('2014 - plan'!D50:G50)</f>
        <v>969470.16110605118</v>
      </c>
      <c r="F50" s="435">
        <f>+'2014 - execution '!P50</f>
        <v>915889.89</v>
      </c>
      <c r="G50" s="430">
        <f t="shared" si="7"/>
        <v>-53580.271106051165</v>
      </c>
      <c r="H50" s="431">
        <f t="shared" si="0"/>
        <v>94.473241853578827</v>
      </c>
      <c r="I50" s="635">
        <f>+SUM('2013 - execution'!D50:G50)</f>
        <v>1040771.66</v>
      </c>
      <c r="J50" s="428">
        <f t="shared" si="1"/>
        <v>-124881.77000000002</v>
      </c>
      <c r="K50" s="564">
        <f t="shared" si="2"/>
        <v>88.001040497201856</v>
      </c>
      <c r="L50" s="644">
        <f>+'2014 - plan'!G50</f>
        <v>278484.14214295219</v>
      </c>
      <c r="M50" s="644">
        <f>+'2014 - execution '!G50</f>
        <v>369726.11</v>
      </c>
      <c r="N50" s="428">
        <f t="shared" si="3"/>
        <v>91241.967857047799</v>
      </c>
      <c r="O50" s="565">
        <f t="shared" si="4"/>
        <v>32.763792995513256</v>
      </c>
      <c r="P50" s="644">
        <f>+'2013 - execution'!G50</f>
        <v>298965.78000000003</v>
      </c>
      <c r="Q50" s="430">
        <f t="shared" si="5"/>
        <v>70760.329999999958</v>
      </c>
      <c r="R50" s="565">
        <f t="shared" si="6"/>
        <v>23.668371008882687</v>
      </c>
      <c r="S50" s="398"/>
      <c r="T50" s="398"/>
      <c r="U50" s="398"/>
      <c r="V50" s="398"/>
      <c r="W50" s="653"/>
      <c r="X50" s="653"/>
      <c r="Y50" s="654"/>
      <c r="Z50" s="653"/>
      <c r="AA50" s="654"/>
      <c r="AB50" s="653"/>
      <c r="AC50" s="653"/>
      <c r="AD50" s="654"/>
      <c r="AE50" s="653"/>
      <c r="AF50" s="654"/>
      <c r="AG50" s="504"/>
      <c r="AH50" s="504"/>
      <c r="AI50" s="504"/>
      <c r="AJ50" s="504"/>
      <c r="AK50" s="504"/>
    </row>
    <row r="51" spans="1:37" ht="14.25" thickTop="1" thickBot="1">
      <c r="A51" s="504"/>
      <c r="B51" s="504"/>
      <c r="C51" s="504"/>
      <c r="D51" s="655" t="str">
        <f>IF(MasterSheet!$A$1=1,MasterSheet!C413,MasterSheet!B413)</f>
        <v>Donacije</v>
      </c>
      <c r="E51" s="656">
        <f>+SUM('2014 - plan'!D51:G51)</f>
        <v>2666666.6666666665</v>
      </c>
      <c r="F51" s="656">
        <f>+'2014 - execution '!P51</f>
        <v>1685067.04</v>
      </c>
      <c r="G51" s="657">
        <f>+F51-E51</f>
        <v>-981599.62666666647</v>
      </c>
      <c r="H51" s="658" t="s">
        <v>367</v>
      </c>
      <c r="I51" s="656">
        <f>+SUM('2013 - execution'!D51:G51)</f>
        <v>1087028.53</v>
      </c>
      <c r="J51" s="659">
        <f>+F51-I51</f>
        <v>598038.51</v>
      </c>
      <c r="K51" s="660">
        <f>F51/I51*100</f>
        <v>155.01589824877917</v>
      </c>
      <c r="L51" s="661">
        <f>+'2014 - plan'!G51</f>
        <v>666666.66666666663</v>
      </c>
      <c r="M51" s="662">
        <f>+'2014 - execution '!G51</f>
        <v>637220.35</v>
      </c>
      <c r="N51" s="663">
        <f>+M51-L51</f>
        <v>-29446.316666666651</v>
      </c>
      <c r="O51" s="664" t="s">
        <v>367</v>
      </c>
      <c r="P51" s="662">
        <f>+'2013 - execution'!G51</f>
        <v>144375.03</v>
      </c>
      <c r="Q51" s="657">
        <f>+M51-P51</f>
        <v>492845.31999999995</v>
      </c>
      <c r="R51" s="665">
        <f>M51/P51*100-100</f>
        <v>341.36465287660894</v>
      </c>
      <c r="S51" s="537"/>
      <c r="T51" s="537"/>
      <c r="U51" s="537"/>
      <c r="V51" s="504"/>
      <c r="W51" s="504"/>
      <c r="X51" s="504"/>
      <c r="Y51" s="504"/>
      <c r="Z51" s="504"/>
      <c r="AA51" s="504"/>
      <c r="AB51" s="504"/>
      <c r="AC51" s="504"/>
      <c r="AD51" s="504"/>
      <c r="AE51" s="504"/>
      <c r="AF51" s="504"/>
      <c r="AG51" s="504"/>
      <c r="AH51" s="504"/>
      <c r="AI51" s="504"/>
      <c r="AJ51" s="504"/>
      <c r="AK51" s="504"/>
    </row>
    <row r="52" spans="1:37" ht="14.25" thickTop="1" thickBot="1">
      <c r="A52" s="504"/>
      <c r="B52" s="504"/>
      <c r="C52" s="504"/>
      <c r="D52" s="666" t="str">
        <f>IF(MasterSheet!$A$1=1,MasterSheet!C369,MasterSheet!B369)</f>
        <v>Izdaci</v>
      </c>
      <c r="E52" s="667">
        <f>+SUM('2014 - plan'!D52:G52)</f>
        <v>445868356.60666674</v>
      </c>
      <c r="F52" s="667">
        <f>+'2014 - execution '!P52</f>
        <v>421374527.72000009</v>
      </c>
      <c r="G52" s="439">
        <f t="shared" si="7"/>
        <v>-24493828.886666656</v>
      </c>
      <c r="H52" s="668">
        <f>+F52/E52*100</f>
        <v>94.506488625234624</v>
      </c>
      <c r="I52" s="667">
        <f>+SUM('2013 - execution'!D52:G52)</f>
        <v>399100917.90275723</v>
      </c>
      <c r="J52" s="439">
        <f t="shared" si="1"/>
        <v>22273609.817242861</v>
      </c>
      <c r="K52" s="668">
        <f t="shared" si="2"/>
        <v>105.58094677764433</v>
      </c>
      <c r="L52" s="667">
        <f>+'2014 - plan'!G52</f>
        <v>111467089.15166669</v>
      </c>
      <c r="M52" s="667">
        <f>+'2014 - execution '!G52</f>
        <v>122269919.07000001</v>
      </c>
      <c r="N52" s="439">
        <f t="shared" si="3"/>
        <v>10802829.918333322</v>
      </c>
      <c r="O52" s="668">
        <f t="shared" si="4"/>
        <v>9.6914972845792562</v>
      </c>
      <c r="P52" s="667">
        <f>+'2013 - execution'!G52</f>
        <v>119840650.6732593</v>
      </c>
      <c r="Q52" s="439">
        <f t="shared" si="5"/>
        <v>2429268.3967407048</v>
      </c>
      <c r="R52" s="668">
        <f t="shared" si="6"/>
        <v>2.0270821153700211</v>
      </c>
      <c r="S52" s="669"/>
      <c r="T52" s="669"/>
      <c r="U52" s="669"/>
      <c r="V52" s="398"/>
      <c r="W52" s="653"/>
      <c r="X52" s="653"/>
      <c r="Y52" s="654"/>
      <c r="Z52" s="653"/>
      <c r="AA52" s="654"/>
      <c r="AB52" s="653"/>
      <c r="AC52" s="653"/>
      <c r="AD52" s="654"/>
      <c r="AE52" s="653"/>
      <c r="AF52" s="654"/>
      <c r="AG52" s="504"/>
      <c r="AH52" s="504"/>
      <c r="AI52" s="504"/>
      <c r="AJ52" s="504"/>
      <c r="AK52" s="504"/>
    </row>
    <row r="53" spans="1:37" ht="14.25" thickTop="1" thickBot="1">
      <c r="A53" s="504"/>
      <c r="B53" s="504"/>
      <c r="C53" s="504"/>
      <c r="D53" s="666" t="str">
        <f>IF(MasterSheet!$A$1=1,MasterSheet!C370,MasterSheet!B370)</f>
        <v>Tekuća budžetska potrošnja</v>
      </c>
      <c r="E53" s="667">
        <f>+SUM('2014 - plan'!D53:G53)</f>
        <v>411928189.94000006</v>
      </c>
      <c r="F53" s="667">
        <f>+'2014 - execution '!P53</f>
        <v>409704585.82000005</v>
      </c>
      <c r="G53" s="439">
        <f t="shared" si="7"/>
        <v>-2223604.1200000048</v>
      </c>
      <c r="H53" s="668">
        <f t="shared" si="0"/>
        <v>99.460196176347168</v>
      </c>
      <c r="I53" s="667">
        <f>+SUM('2013 - execution'!D53:G53)</f>
        <v>388334861.15275723</v>
      </c>
      <c r="J53" s="439">
        <f t="shared" si="1"/>
        <v>21369724.667242825</v>
      </c>
      <c r="K53" s="668">
        <f t="shared" si="2"/>
        <v>105.50291174060644</v>
      </c>
      <c r="L53" s="667">
        <f>+'2014 - plan'!G53</f>
        <v>102982047.48500001</v>
      </c>
      <c r="M53" s="667">
        <f>+'2014 - execution '!G53</f>
        <v>119168181.96000001</v>
      </c>
      <c r="N53" s="439">
        <f t="shared" si="3"/>
        <v>16186134.474999994</v>
      </c>
      <c r="O53" s="668">
        <f t="shared" si="4"/>
        <v>15.717433154897805</v>
      </c>
      <c r="P53" s="667">
        <f>+'2013 - execution'!G53</f>
        <v>115642978.0032593</v>
      </c>
      <c r="Q53" s="439">
        <f t="shared" si="5"/>
        <v>3525203.9567407072</v>
      </c>
      <c r="R53" s="668">
        <f t="shared" si="6"/>
        <v>3.0483510694798497</v>
      </c>
      <c r="S53" s="669"/>
      <c r="T53" s="669"/>
      <c r="U53" s="669"/>
      <c r="V53" s="398"/>
      <c r="W53" s="653"/>
      <c r="X53" s="653"/>
      <c r="Y53" s="654"/>
      <c r="Z53" s="653"/>
      <c r="AA53" s="654"/>
      <c r="AB53" s="653"/>
      <c r="AC53" s="653"/>
      <c r="AD53" s="654"/>
      <c r="AE53" s="653"/>
      <c r="AF53" s="654"/>
      <c r="AG53" s="504"/>
      <c r="AH53" s="504"/>
      <c r="AI53" s="504"/>
      <c r="AJ53" s="504"/>
      <c r="AK53" s="504"/>
    </row>
    <row r="54" spans="1:37" ht="13.5" thickTop="1">
      <c r="A54" s="504"/>
      <c r="B54" s="504"/>
      <c r="C54" s="504"/>
      <c r="D54" s="514" t="str">
        <f>IF(MasterSheet!$A$1=1,MasterSheet!C371,MasterSheet!B371)</f>
        <v>Tekući izdaci</v>
      </c>
      <c r="E54" s="429">
        <f>+SUM('2014 - plan'!D54:G54)</f>
        <v>208508824.48666671</v>
      </c>
      <c r="F54" s="429">
        <f>+'2014 - execution '!P54</f>
        <v>202466840.52000004</v>
      </c>
      <c r="G54" s="430">
        <f t="shared" si="7"/>
        <v>-6041983.9666666687</v>
      </c>
      <c r="H54" s="431">
        <f t="shared" si="0"/>
        <v>97.102288605030708</v>
      </c>
      <c r="I54" s="429">
        <f>+SUM('2013 - execution'!D54:G54)</f>
        <v>197713097.81275725</v>
      </c>
      <c r="J54" s="432">
        <f t="shared" si="1"/>
        <v>4753742.7072427869</v>
      </c>
      <c r="K54" s="433">
        <f t="shared" si="2"/>
        <v>102.40436408100022</v>
      </c>
      <c r="L54" s="429">
        <f>+'2014 - plan'!G54</f>
        <v>52127206.121666677</v>
      </c>
      <c r="M54" s="670">
        <f>+'2014 - execution '!G54</f>
        <v>69656616.760000005</v>
      </c>
      <c r="N54" s="430">
        <f t="shared" si="3"/>
        <v>17529410.638333328</v>
      </c>
      <c r="O54" s="434">
        <f t="shared" si="4"/>
        <v>33.628141507179748</v>
      </c>
      <c r="P54" s="670">
        <f>+'2013 - execution'!G54</f>
        <v>68150209.093259305</v>
      </c>
      <c r="Q54" s="428">
        <f t="shared" si="5"/>
        <v>1506407.6667407006</v>
      </c>
      <c r="R54" s="434">
        <f t="shared" si="6"/>
        <v>2.2104226630900996</v>
      </c>
      <c r="S54" s="398"/>
      <c r="T54" s="398"/>
      <c r="U54" s="398"/>
      <c r="V54" s="504"/>
      <c r="W54" s="652"/>
      <c r="X54" s="652"/>
      <c r="Y54" s="651"/>
      <c r="Z54" s="652"/>
      <c r="AA54" s="651"/>
      <c r="AB54" s="652"/>
      <c r="AC54" s="652"/>
      <c r="AD54" s="651"/>
      <c r="AE54" s="652"/>
      <c r="AF54" s="651"/>
      <c r="AG54" s="504"/>
      <c r="AH54" s="504"/>
      <c r="AI54" s="504"/>
      <c r="AJ54" s="504"/>
      <c r="AK54" s="504"/>
    </row>
    <row r="55" spans="1:37">
      <c r="A55" s="504"/>
      <c r="B55" s="504"/>
      <c r="C55" s="504"/>
      <c r="D55" s="514" t="str">
        <f>IF(MasterSheet!$A$1=1,MasterSheet!C372,MasterSheet!B372)</f>
        <v>Bruto zarade i doprinosi na teret poslodavca</v>
      </c>
      <c r="E55" s="435">
        <f>+SUM('2014 - plan'!D55:G55)</f>
        <v>128829564.57333338</v>
      </c>
      <c r="F55" s="435">
        <f>+'2014 - execution '!P55</f>
        <v>126064364.31000005</v>
      </c>
      <c r="G55" s="430">
        <f t="shared" si="7"/>
        <v>-2765200.2633333355</v>
      </c>
      <c r="H55" s="431">
        <f t="shared" si="0"/>
        <v>97.853598067732889</v>
      </c>
      <c r="I55" s="435">
        <f>+SUM('2013 - execution'!D55:G55)</f>
        <v>123496253.19275728</v>
      </c>
      <c r="J55" s="436">
        <f t="shared" si="1"/>
        <v>2568111.1172427684</v>
      </c>
      <c r="K55" s="433">
        <f t="shared" si="2"/>
        <v>102.07950528930976</v>
      </c>
      <c r="L55" s="671">
        <f>+'2014 - plan'!G55</f>
        <v>32207391.143333346</v>
      </c>
      <c r="M55" s="671">
        <f>+'2014 - execution '!G55</f>
        <v>33391470.590000015</v>
      </c>
      <c r="N55" s="430">
        <f t="shared" si="3"/>
        <v>1184079.4466666691</v>
      </c>
      <c r="O55" s="434">
        <f t="shared" si="4"/>
        <v>3.6764214816317349</v>
      </c>
      <c r="P55" s="671">
        <f>+'2013 - execution'!G55</f>
        <v>30639324.873259313</v>
      </c>
      <c r="Q55" s="428">
        <f t="shared" si="5"/>
        <v>2752145.7167407013</v>
      </c>
      <c r="R55" s="434">
        <f t="shared" si="6"/>
        <v>8.9823967340176409</v>
      </c>
      <c r="S55" s="398"/>
      <c r="T55" s="398"/>
      <c r="U55" s="398"/>
      <c r="V55" s="504"/>
      <c r="W55" s="653"/>
      <c r="X55" s="653"/>
      <c r="Y55" s="654"/>
      <c r="Z55" s="653"/>
      <c r="AA55" s="654"/>
      <c r="AB55" s="653"/>
      <c r="AC55" s="653"/>
      <c r="AD55" s="654"/>
      <c r="AE55" s="653"/>
      <c r="AF55" s="654"/>
      <c r="AG55" s="504"/>
      <c r="AH55" s="504"/>
      <c r="AI55" s="504"/>
      <c r="AJ55" s="504"/>
      <c r="AK55" s="504"/>
    </row>
    <row r="56" spans="1:37">
      <c r="A56" s="504"/>
      <c r="B56" s="504"/>
      <c r="C56" s="504"/>
      <c r="D56" s="506" t="str">
        <f>IF(MasterSheet!$A$1=1,MasterSheet!C373,MasterSheet!B373)</f>
        <v>Neto zarade</v>
      </c>
      <c r="E56" s="644">
        <f>+SUM('2014 - plan'!D56:G56)</f>
        <v>75498921.860000059</v>
      </c>
      <c r="F56" s="644">
        <f>+'2014 - execution '!P56</f>
        <v>75328436.810000032</v>
      </c>
      <c r="G56" s="645">
        <f t="shared" si="7"/>
        <v>-170485.05000002682</v>
      </c>
      <c r="H56" s="646">
        <f t="shared" si="0"/>
        <v>99.774188762170454</v>
      </c>
      <c r="I56" s="644">
        <f>+SUM('2013 - execution'!D56:G56)</f>
        <v>74796835.700000018</v>
      </c>
      <c r="J56" s="672">
        <f t="shared" si="1"/>
        <v>531601.11000001431</v>
      </c>
      <c r="K56" s="673">
        <f t="shared" si="2"/>
        <v>100.71072673733443</v>
      </c>
      <c r="L56" s="671">
        <f>+'2014 - plan'!G56</f>
        <v>18874730.465000015</v>
      </c>
      <c r="M56" s="671">
        <f>+'2014 - execution '!G56</f>
        <v>18838523.720000006</v>
      </c>
      <c r="N56" s="645">
        <f t="shared" si="3"/>
        <v>-36206.745000008494</v>
      </c>
      <c r="O56" s="649">
        <f t="shared" si="4"/>
        <v>-0.19182655385276348</v>
      </c>
      <c r="P56" s="671">
        <f>+'2013 - execution'!G56</f>
        <v>18557037.069999985</v>
      </c>
      <c r="Q56" s="647">
        <f t="shared" si="5"/>
        <v>281486.65000002086</v>
      </c>
      <c r="R56" s="649">
        <f t="shared" si="6"/>
        <v>1.5168728118514281</v>
      </c>
      <c r="S56" s="537"/>
      <c r="T56" s="537"/>
      <c r="U56" s="531"/>
      <c r="V56" s="504"/>
      <c r="W56" s="653"/>
      <c r="X56" s="653"/>
      <c r="Y56" s="654"/>
      <c r="Z56" s="653"/>
      <c r="AA56" s="654"/>
      <c r="AB56" s="653"/>
      <c r="AC56" s="653"/>
      <c r="AD56" s="654"/>
      <c r="AE56" s="653"/>
      <c r="AF56" s="654"/>
      <c r="AG56" s="504"/>
      <c r="AH56" s="504"/>
      <c r="AI56" s="504"/>
      <c r="AJ56" s="504"/>
      <c r="AK56" s="504"/>
    </row>
    <row r="57" spans="1:37">
      <c r="A57" s="504"/>
      <c r="B57" s="504"/>
      <c r="C57" s="504"/>
      <c r="D57" s="506" t="str">
        <f>IF(MasterSheet!$A$1=1,MasterSheet!C374,MasterSheet!B374)</f>
        <v>Porez na zarade</v>
      </c>
      <c r="E57" s="644">
        <f>+SUM('2014 - plan'!D57:G57)</f>
        <v>10853639.493333329</v>
      </c>
      <c r="F57" s="644">
        <f>+'2014 - execution '!P57</f>
        <v>10690436.079999998</v>
      </c>
      <c r="G57" s="645">
        <f t="shared" si="7"/>
        <v>-163203.4133333303</v>
      </c>
      <c r="H57" s="646">
        <f t="shared" si="0"/>
        <v>98.496325463605316</v>
      </c>
      <c r="I57" s="644">
        <f>+SUM('2013 - execution'!D57:G57)</f>
        <v>9693824.9444500338</v>
      </c>
      <c r="J57" s="672">
        <f t="shared" si="1"/>
        <v>996611.13554996438</v>
      </c>
      <c r="K57" s="673">
        <f t="shared" si="2"/>
        <v>110.28088645360312</v>
      </c>
      <c r="L57" s="671">
        <f>+'2014 - plan'!G57</f>
        <v>2713409.8733333321</v>
      </c>
      <c r="M57" s="671">
        <f>+'2014 - execution '!G57</f>
        <v>3206011.6400000011</v>
      </c>
      <c r="N57" s="645">
        <f t="shared" si="3"/>
        <v>492601.76666666893</v>
      </c>
      <c r="O57" s="649">
        <f t="shared" si="4"/>
        <v>18.154344152272301</v>
      </c>
      <c r="P57" s="671">
        <f>+'2013 - execution'!G57</f>
        <v>2405030.4690128728</v>
      </c>
      <c r="Q57" s="647">
        <f t="shared" si="5"/>
        <v>800981.17098712828</v>
      </c>
      <c r="R57" s="649">
        <f t="shared" si="6"/>
        <v>33.304408459984501</v>
      </c>
      <c r="S57" s="537"/>
      <c r="T57" s="537"/>
      <c r="U57" s="531"/>
      <c r="V57" s="504"/>
      <c r="W57" s="653"/>
      <c r="X57" s="653"/>
      <c r="Y57" s="654"/>
      <c r="Z57" s="653"/>
      <c r="AA57" s="654"/>
      <c r="AB57" s="653"/>
      <c r="AC57" s="653"/>
      <c r="AD57" s="654"/>
      <c r="AE57" s="653"/>
      <c r="AF57" s="654"/>
      <c r="AG57" s="504"/>
      <c r="AH57" s="504"/>
      <c r="AI57" s="504"/>
      <c r="AJ57" s="504"/>
      <c r="AK57" s="504"/>
    </row>
    <row r="58" spans="1:37">
      <c r="A58" s="504"/>
      <c r="B58" s="504"/>
      <c r="C58" s="504"/>
      <c r="D58" s="506" t="str">
        <f>IF(MasterSheet!$A$1=1,MasterSheet!C375,MasterSheet!B375)</f>
        <v>Doprinosi na teret zaposlenog</v>
      </c>
      <c r="E58" s="644">
        <f>+SUM('2014 - plan'!D58:G58)</f>
        <v>27040722.046666667</v>
      </c>
      <c r="F58" s="644">
        <f>+'2014 - execution '!P58</f>
        <v>25133343.460000005</v>
      </c>
      <c r="G58" s="645">
        <f t="shared" si="7"/>
        <v>-1907378.5866666622</v>
      </c>
      <c r="H58" s="646">
        <f t="shared" si="0"/>
        <v>92.946273463501001</v>
      </c>
      <c r="I58" s="644">
        <f>+SUM('2013 - execution'!D58:G58)</f>
        <v>25295903.814251062</v>
      </c>
      <c r="J58" s="672">
        <f t="shared" si="1"/>
        <v>-162560.35425105691</v>
      </c>
      <c r="K58" s="673">
        <f t="shared" si="2"/>
        <v>99.357364909968254</v>
      </c>
      <c r="L58" s="671">
        <f>+'2014 - plan'!G58</f>
        <v>6760180.5116666667</v>
      </c>
      <c r="M58" s="671">
        <f>+'2014 - execution '!G58</f>
        <v>6909301.3700000057</v>
      </c>
      <c r="N58" s="645">
        <f t="shared" si="3"/>
        <v>149120.85833333898</v>
      </c>
      <c r="O58" s="649">
        <f t="shared" si="4"/>
        <v>2.2058709538301144</v>
      </c>
      <c r="P58" s="671">
        <f>+'2013 - execution'!G58</f>
        <v>6275894.1659374358</v>
      </c>
      <c r="Q58" s="647">
        <f t="shared" si="5"/>
        <v>633407.20406256989</v>
      </c>
      <c r="R58" s="649">
        <f t="shared" si="6"/>
        <v>10.092700535015425</v>
      </c>
      <c r="S58" s="537"/>
      <c r="T58" s="537"/>
      <c r="U58" s="531"/>
      <c r="V58" s="504"/>
      <c r="W58" s="653"/>
      <c r="X58" s="653"/>
      <c r="Y58" s="654"/>
      <c r="Z58" s="653"/>
      <c r="AA58" s="654"/>
      <c r="AB58" s="653"/>
      <c r="AC58" s="653"/>
      <c r="AD58" s="654"/>
      <c r="AE58" s="653"/>
      <c r="AF58" s="654"/>
      <c r="AG58" s="504"/>
      <c r="AH58" s="504"/>
      <c r="AI58" s="504"/>
      <c r="AJ58" s="504"/>
      <c r="AK58" s="504"/>
    </row>
    <row r="59" spans="1:37">
      <c r="A59" s="504"/>
      <c r="B59" s="504"/>
      <c r="C59" s="504"/>
      <c r="D59" s="506" t="str">
        <f>IF(MasterSheet!$A$1=1,MasterSheet!C376,MasterSheet!B376)</f>
        <v>Doprinosi na teret poslodavca</v>
      </c>
      <c r="E59" s="644">
        <f>+SUM('2014 - plan'!D59:G59)</f>
        <v>13899769.420000002</v>
      </c>
      <c r="F59" s="644">
        <f>+'2014 - execution '!P59</f>
        <v>13662288.89000001</v>
      </c>
      <c r="G59" s="645">
        <f t="shared" si="7"/>
        <v>-237480.52999999188</v>
      </c>
      <c r="H59" s="646">
        <f t="shared" si="0"/>
        <v>98.291478636629122</v>
      </c>
      <c r="I59" s="644">
        <f>+SUM('2013 - execution'!D59:G59)</f>
        <v>13247528.596080486</v>
      </c>
      <c r="J59" s="672">
        <f t="shared" si="1"/>
        <v>414760.29391952418</v>
      </c>
      <c r="K59" s="673">
        <f t="shared" si="2"/>
        <v>103.13085033869818</v>
      </c>
      <c r="L59" s="671">
        <f>+'2014 - plan'!G59</f>
        <v>3474942.3550000004</v>
      </c>
      <c r="M59" s="671">
        <f>+'2014 - execution '!G59</f>
        <v>3971889.810000001</v>
      </c>
      <c r="N59" s="645">
        <f t="shared" si="3"/>
        <v>496947.45500000054</v>
      </c>
      <c r="O59" s="649">
        <f t="shared" si="4"/>
        <v>14.300883417100607</v>
      </c>
      <c r="P59" s="671">
        <f>+'2013 - execution'!G59</f>
        <v>3286701.5956311421</v>
      </c>
      <c r="Q59" s="647">
        <f t="shared" si="5"/>
        <v>685188.21436885884</v>
      </c>
      <c r="R59" s="649">
        <f t="shared" si="6"/>
        <v>20.847290039340578</v>
      </c>
      <c r="S59" s="537"/>
      <c r="T59" s="537"/>
      <c r="U59" s="531"/>
      <c r="V59" s="504"/>
      <c r="W59" s="652"/>
      <c r="X59" s="652"/>
      <c r="Y59" s="651"/>
      <c r="Z59" s="652"/>
      <c r="AA59" s="651"/>
      <c r="AB59" s="652"/>
      <c r="AC59" s="652"/>
      <c r="AD59" s="651"/>
      <c r="AE59" s="652"/>
      <c r="AF59" s="651"/>
      <c r="AG59" s="504"/>
      <c r="AH59" s="504"/>
      <c r="AI59" s="504"/>
      <c r="AJ59" s="504"/>
      <c r="AK59" s="504"/>
    </row>
    <row r="60" spans="1:37">
      <c r="A60" s="504"/>
      <c r="B60" s="504"/>
      <c r="C60" s="504"/>
      <c r="D60" s="506" t="str">
        <f>IF(MasterSheet!$A$1=1,MasterSheet!C377,MasterSheet!B377)</f>
        <v>Prirez na porez na dohodak</v>
      </c>
      <c r="E60" s="644">
        <f>+SUM('2014 - plan'!D60:G60)</f>
        <v>1536511.7533333336</v>
      </c>
      <c r="F60" s="644">
        <f>+'2014 - execution '!P60</f>
        <v>1249859.0699999989</v>
      </c>
      <c r="G60" s="645">
        <f t="shared" si="7"/>
        <v>-286652.68333333475</v>
      </c>
      <c r="H60" s="646">
        <f t="shared" si="0"/>
        <v>81.343931622295386</v>
      </c>
      <c r="I60" s="644">
        <f>+SUM('2013 - execution'!D60:G60)</f>
        <v>462160.1379756853</v>
      </c>
      <c r="J60" s="672">
        <f t="shared" si="1"/>
        <v>787698.9320243136</v>
      </c>
      <c r="K60" s="673">
        <f t="shared" si="2"/>
        <v>270.43852710329492</v>
      </c>
      <c r="L60" s="671">
        <f>+'2014 - plan'!G60</f>
        <v>384127.93833333341</v>
      </c>
      <c r="M60" s="671">
        <f>+'2014 - execution '!G60</f>
        <v>465744.04999999958</v>
      </c>
      <c r="N60" s="645">
        <f t="shared" si="3"/>
        <v>81616.111666666169</v>
      </c>
      <c r="O60" s="649">
        <f t="shared" si="4"/>
        <v>21.247116786345927</v>
      </c>
      <c r="P60" s="671">
        <f>+'2013 - execution'!G60</f>
        <v>114661.57267788133</v>
      </c>
      <c r="Q60" s="647">
        <f t="shared" si="5"/>
        <v>351082.47732211824</v>
      </c>
      <c r="R60" s="649">
        <f t="shared" si="6"/>
        <v>306.19018135082968</v>
      </c>
      <c r="S60" s="537"/>
      <c r="T60" s="537"/>
      <c r="U60" s="531"/>
      <c r="V60" s="504"/>
      <c r="W60" s="526"/>
      <c r="X60" s="504"/>
      <c r="Y60" s="504"/>
      <c r="Z60" s="504"/>
      <c r="AA60" s="504"/>
      <c r="AB60" s="504"/>
      <c r="AC60" s="504"/>
      <c r="AD60" s="504"/>
      <c r="AE60" s="504"/>
      <c r="AF60" s="504"/>
      <c r="AG60" s="504"/>
      <c r="AH60" s="504"/>
      <c r="AI60" s="504"/>
      <c r="AJ60" s="504"/>
      <c r="AK60" s="504"/>
    </row>
    <row r="61" spans="1:37">
      <c r="A61" s="504"/>
      <c r="B61" s="504"/>
      <c r="C61" s="504"/>
      <c r="D61" s="514" t="str">
        <f>IF(MasterSheet!$A$1=1,MasterSheet!C378,MasterSheet!B378)</f>
        <v>Ostala lična primanja</v>
      </c>
      <c r="E61" s="435">
        <f>+SUM('2014 - plan'!D61:G61)</f>
        <v>3826054.6533333333</v>
      </c>
      <c r="F61" s="435">
        <f>+'2014 - execution '!P61</f>
        <v>3028179.1399999997</v>
      </c>
      <c r="G61" s="430">
        <f t="shared" si="7"/>
        <v>-797875.51333333366</v>
      </c>
      <c r="H61" s="431">
        <f t="shared" si="0"/>
        <v>79.146259381365368</v>
      </c>
      <c r="I61" s="435">
        <f>+SUM('2013 - execution'!D61:G61)</f>
        <v>5100577.1099999994</v>
      </c>
      <c r="J61" s="436">
        <f t="shared" si="1"/>
        <v>-2072397.9699999997</v>
      </c>
      <c r="K61" s="433">
        <f t="shared" si="2"/>
        <v>59.369343403574192</v>
      </c>
      <c r="L61" s="671">
        <f>+'2014 - plan'!G61</f>
        <v>956513.66333333333</v>
      </c>
      <c r="M61" s="671">
        <f>+'2014 - execution '!G61</f>
        <v>817179.90999999992</v>
      </c>
      <c r="N61" s="430">
        <f t="shared" si="3"/>
        <v>-139333.75333333341</v>
      </c>
      <c r="O61" s="434">
        <f t="shared" si="4"/>
        <v>-14.566833561767666</v>
      </c>
      <c r="P61" s="671">
        <f>+'2013 - execution'!G61</f>
        <v>1826112.77</v>
      </c>
      <c r="Q61" s="428">
        <f t="shared" si="5"/>
        <v>-1008932.8600000001</v>
      </c>
      <c r="R61" s="434">
        <f t="shared" si="6"/>
        <v>-55.250304174807347</v>
      </c>
      <c r="S61" s="398"/>
      <c r="T61" s="398"/>
      <c r="U61" s="531"/>
      <c r="V61" s="504"/>
      <c r="W61" s="526"/>
      <c r="X61" s="504"/>
      <c r="Y61" s="504"/>
      <c r="Z61" s="504"/>
      <c r="AA61" s="504"/>
      <c r="AB61" s="504"/>
      <c r="AC61" s="504"/>
      <c r="AD61" s="504"/>
      <c r="AE61" s="504"/>
      <c r="AF61" s="504"/>
      <c r="AG61" s="504"/>
      <c r="AH61" s="504"/>
      <c r="AI61" s="504"/>
      <c r="AJ61" s="504"/>
      <c r="AK61" s="504"/>
    </row>
    <row r="62" spans="1:37">
      <c r="A62" s="504"/>
      <c r="B62" s="504"/>
      <c r="C62" s="504"/>
      <c r="D62" s="514" t="str">
        <f>IF(MasterSheet!$A$1=1,MasterSheet!C379,MasterSheet!B379)</f>
        <v>Rashodi za materijal i usluge</v>
      </c>
      <c r="E62" s="435">
        <f>+SUM('2014 - plan'!D62:G62)</f>
        <v>29736776.756666668</v>
      </c>
      <c r="F62" s="435">
        <f>+'2014 - execution '!P62</f>
        <v>20627753.899999999</v>
      </c>
      <c r="G62" s="430">
        <f t="shared" si="7"/>
        <v>-9109022.8566666692</v>
      </c>
      <c r="H62" s="431">
        <f t="shared" si="0"/>
        <v>69.367820422485693</v>
      </c>
      <c r="I62" s="435">
        <f>+SUM('2013 - execution'!D62:G62)</f>
        <v>25394028.319999997</v>
      </c>
      <c r="J62" s="436">
        <f t="shared" si="1"/>
        <v>-4766274.4199999981</v>
      </c>
      <c r="K62" s="433">
        <f t="shared" si="2"/>
        <v>81.230727319280234</v>
      </c>
      <c r="L62" s="671">
        <f>+'2014 - plan'!G62</f>
        <v>7434194.1891666669</v>
      </c>
      <c r="M62" s="671">
        <f>+'2014 - execution '!G62</f>
        <v>5241118.04</v>
      </c>
      <c r="N62" s="430">
        <f t="shared" si="3"/>
        <v>-2193076.1491666669</v>
      </c>
      <c r="O62" s="434">
        <f t="shared" si="4"/>
        <v>-29.499850197113275</v>
      </c>
      <c r="P62" s="671">
        <f>+'2013 - execution'!G62</f>
        <v>7472942.379999999</v>
      </c>
      <c r="Q62" s="428">
        <f t="shared" si="5"/>
        <v>-2231824.3399999989</v>
      </c>
      <c r="R62" s="434">
        <f t="shared" si="6"/>
        <v>-29.865402762546111</v>
      </c>
      <c r="S62" s="398"/>
      <c r="T62" s="398"/>
      <c r="U62" s="531"/>
      <c r="V62" s="504"/>
      <c r="W62" s="526"/>
      <c r="X62" s="504"/>
      <c r="Y62" s="504"/>
      <c r="Z62" s="504"/>
      <c r="AA62" s="504"/>
      <c r="AB62" s="504"/>
      <c r="AC62" s="504"/>
      <c r="AD62" s="504"/>
      <c r="AE62" s="504"/>
      <c r="AF62" s="504"/>
      <c r="AG62" s="504"/>
      <c r="AH62" s="504"/>
      <c r="AI62" s="504"/>
      <c r="AJ62" s="504"/>
      <c r="AK62" s="504"/>
    </row>
    <row r="63" spans="1:37">
      <c r="A63" s="504"/>
      <c r="B63" s="504"/>
      <c r="C63" s="504"/>
      <c r="D63" s="514" t="str">
        <f>IF(MasterSheet!$A$1=1,MasterSheet!C380,MasterSheet!B380)</f>
        <v>Tekuće održavanje</v>
      </c>
      <c r="E63" s="435">
        <f>+SUM('2014 - plan'!D63:G63)</f>
        <v>7218467.7333333325</v>
      </c>
      <c r="F63" s="435">
        <f>+'2014 - execution '!P63</f>
        <v>4200593.2799999993</v>
      </c>
      <c r="G63" s="430">
        <f t="shared" si="7"/>
        <v>-3017874.4533333331</v>
      </c>
      <c r="H63" s="431">
        <f t="shared" si="0"/>
        <v>58.192312207791176</v>
      </c>
      <c r="I63" s="435">
        <f>+SUM('2013 - execution'!D63:G63)</f>
        <v>3834928.6</v>
      </c>
      <c r="J63" s="436">
        <f t="shared" si="1"/>
        <v>365664.67999999924</v>
      </c>
      <c r="K63" s="433">
        <f t="shared" si="2"/>
        <v>109.53511051027127</v>
      </c>
      <c r="L63" s="671">
        <f>+'2014 - plan'!G63</f>
        <v>1804616.9333333331</v>
      </c>
      <c r="M63" s="671">
        <f>+'2014 - execution '!G63</f>
        <v>2186611.2799999998</v>
      </c>
      <c r="N63" s="430">
        <f t="shared" si="3"/>
        <v>381994.34666666668</v>
      </c>
      <c r="O63" s="434">
        <f t="shared" si="4"/>
        <v>21.167614002218158</v>
      </c>
      <c r="P63" s="671">
        <f>+'2013 - execution'!G63</f>
        <v>860683.32</v>
      </c>
      <c r="Q63" s="428">
        <f t="shared" si="5"/>
        <v>1325927.96</v>
      </c>
      <c r="R63" s="434">
        <f t="shared" si="6"/>
        <v>154.05526390356908</v>
      </c>
      <c r="S63" s="398"/>
      <c r="T63" s="398"/>
      <c r="U63" s="531"/>
      <c r="V63" s="504"/>
      <c r="W63" s="526"/>
      <c r="X63" s="504"/>
      <c r="Y63" s="504"/>
      <c r="Z63" s="504"/>
      <c r="AA63" s="504"/>
      <c r="AB63" s="504"/>
      <c r="AC63" s="504"/>
      <c r="AD63" s="504"/>
      <c r="AE63" s="504"/>
      <c r="AF63" s="504"/>
      <c r="AG63" s="504"/>
      <c r="AH63" s="504"/>
      <c r="AI63" s="504"/>
      <c r="AJ63" s="504"/>
      <c r="AK63" s="504"/>
    </row>
    <row r="64" spans="1:37">
      <c r="A64" s="504"/>
      <c r="B64" s="504"/>
      <c r="C64" s="504"/>
      <c r="D64" s="514" t="str">
        <f>IF(MasterSheet!$A$1=1,MasterSheet!C381,MasterSheet!B381)</f>
        <v>Kamate</v>
      </c>
      <c r="E64" s="435">
        <f>+SUM('2014 - plan'!D64:G64)</f>
        <v>24438707.706666667</v>
      </c>
      <c r="F64" s="435">
        <f>+'2014 - execution '!P64</f>
        <v>32709373.149999999</v>
      </c>
      <c r="G64" s="430">
        <f t="shared" si="7"/>
        <v>8270665.4433333315</v>
      </c>
      <c r="H64" s="431">
        <f t="shared" si="0"/>
        <v>133.84248276383767</v>
      </c>
      <c r="I64" s="435">
        <f>+SUM('2013 - execution'!D64:G64)</f>
        <v>29279516.610000003</v>
      </c>
      <c r="J64" s="436">
        <f t="shared" si="1"/>
        <v>3429856.5399999954</v>
      </c>
      <c r="K64" s="433">
        <f t="shared" si="2"/>
        <v>111.71418430736175</v>
      </c>
      <c r="L64" s="671">
        <f>+'2014 - plan'!G64</f>
        <v>6109676.9266666668</v>
      </c>
      <c r="M64" s="671">
        <f>+'2014 - execution '!G64</f>
        <v>24662849.41</v>
      </c>
      <c r="N64" s="430">
        <f t="shared" si="3"/>
        <v>18553172.483333334</v>
      </c>
      <c r="O64" s="434">
        <f t="shared" si="4"/>
        <v>303.66863429971278</v>
      </c>
      <c r="P64" s="671">
        <f>+'2013 - execution'!G64</f>
        <v>24827472.130000003</v>
      </c>
      <c r="Q64" s="428">
        <f t="shared" si="5"/>
        <v>-164622.72000000253</v>
      </c>
      <c r="R64" s="434">
        <f t="shared" si="6"/>
        <v>-0.66306677996863073</v>
      </c>
      <c r="S64" s="398"/>
      <c r="T64" s="398"/>
      <c r="U64" s="531"/>
      <c r="V64" s="504"/>
      <c r="W64" s="504"/>
      <c r="X64" s="504"/>
      <c r="Y64" s="504"/>
      <c r="Z64" s="504"/>
      <c r="AA64" s="504"/>
      <c r="AB64" s="504"/>
      <c r="AC64" s="504"/>
      <c r="AD64" s="504"/>
      <c r="AE64" s="504"/>
      <c r="AF64" s="504"/>
      <c r="AG64" s="504"/>
      <c r="AH64" s="504"/>
      <c r="AI64" s="504"/>
      <c r="AJ64" s="504"/>
      <c r="AK64" s="504"/>
    </row>
    <row r="65" spans="1:37">
      <c r="A65" s="504"/>
      <c r="B65" s="504"/>
      <c r="C65" s="504"/>
      <c r="D65" s="514" t="str">
        <f>IF(MasterSheet!$A$1=1,MasterSheet!C382,MasterSheet!B382)</f>
        <v>Renta</v>
      </c>
      <c r="E65" s="435">
        <f>+SUM('2014 - plan'!D65:G65)</f>
        <v>2724267.38</v>
      </c>
      <c r="F65" s="435">
        <f>+'2014 - execution '!P65</f>
        <v>2766516.8</v>
      </c>
      <c r="G65" s="430">
        <f t="shared" si="7"/>
        <v>42249.419999999925</v>
      </c>
      <c r="H65" s="431">
        <f t="shared" si="0"/>
        <v>101.55085438052707</v>
      </c>
      <c r="I65" s="435">
        <f>+SUM('2013 - execution'!D65:G65)</f>
        <v>2422400.3199999998</v>
      </c>
      <c r="J65" s="436">
        <f t="shared" si="1"/>
        <v>344116.47999999998</v>
      </c>
      <c r="K65" s="433">
        <f t="shared" si="2"/>
        <v>114.2055991802379</v>
      </c>
      <c r="L65" s="671">
        <f>+'2014 - plan'!G65</f>
        <v>681066.84499999997</v>
      </c>
      <c r="M65" s="671">
        <f>+'2014 - execution '!G65</f>
        <v>662523.6399999999</v>
      </c>
      <c r="N65" s="430">
        <f t="shared" si="3"/>
        <v>-18543.205000000075</v>
      </c>
      <c r="O65" s="434">
        <f t="shared" si="4"/>
        <v>-2.7226703422921901</v>
      </c>
      <c r="P65" s="671">
        <f>+'2013 - execution'!G65</f>
        <v>605035.82999999984</v>
      </c>
      <c r="Q65" s="428">
        <f t="shared" si="5"/>
        <v>57487.810000000056</v>
      </c>
      <c r="R65" s="434">
        <f t="shared" si="6"/>
        <v>9.5015546434663349</v>
      </c>
      <c r="S65" s="398"/>
      <c r="T65" s="398"/>
      <c r="U65" s="531"/>
      <c r="V65" s="504"/>
      <c r="W65" s="504"/>
      <c r="X65" s="504"/>
      <c r="Y65" s="504"/>
      <c r="Z65" s="504"/>
      <c r="AA65" s="504"/>
      <c r="AB65" s="504"/>
      <c r="AC65" s="504"/>
      <c r="AD65" s="504"/>
      <c r="AE65" s="504"/>
      <c r="AF65" s="504"/>
      <c r="AG65" s="504"/>
      <c r="AH65" s="504"/>
      <c r="AI65" s="504"/>
      <c r="AJ65" s="504"/>
      <c r="AK65" s="504"/>
    </row>
    <row r="66" spans="1:37">
      <c r="A66" s="504"/>
      <c r="B66" s="504"/>
      <c r="C66" s="504"/>
      <c r="D66" s="514" t="str">
        <f>IF(MasterSheet!$A$1=1,MasterSheet!C383,MasterSheet!B383)</f>
        <v>Subvencije</v>
      </c>
      <c r="E66" s="435">
        <f>+SUM('2014 - plan'!D66:G66)</f>
        <v>6291533.333333333</v>
      </c>
      <c r="F66" s="435">
        <f>+'2014 - execution '!P66</f>
        <v>7190130.3099999996</v>
      </c>
      <c r="G66" s="430">
        <f t="shared" si="7"/>
        <v>898596.97666666657</v>
      </c>
      <c r="H66" s="431">
        <f t="shared" si="0"/>
        <v>114.28263873141682</v>
      </c>
      <c r="I66" s="435">
        <f>+SUM('2013 - execution'!D66:G66)</f>
        <v>4983723.379999999</v>
      </c>
      <c r="J66" s="436">
        <f t="shared" si="1"/>
        <v>2206406.9300000006</v>
      </c>
      <c r="K66" s="433">
        <f t="shared" si="2"/>
        <v>144.27225914773786</v>
      </c>
      <c r="L66" s="671">
        <f>+'2014 - plan'!G66</f>
        <v>1572883.3333333333</v>
      </c>
      <c r="M66" s="671">
        <f>+'2014 - execution '!G66</f>
        <v>1097205.76</v>
      </c>
      <c r="N66" s="430">
        <f t="shared" si="3"/>
        <v>-475677.57333333325</v>
      </c>
      <c r="O66" s="434">
        <f t="shared" si="4"/>
        <v>-30.242393905036394</v>
      </c>
      <c r="P66" s="671">
        <f>+'2013 - execution'!G66</f>
        <v>667057.27</v>
      </c>
      <c r="Q66" s="428">
        <f t="shared" si="5"/>
        <v>430148.49</v>
      </c>
      <c r="R66" s="434">
        <f t="shared" si="6"/>
        <v>64.484491713882363</v>
      </c>
      <c r="S66" s="398"/>
      <c r="T66" s="398"/>
      <c r="U66" s="531"/>
      <c r="V66" s="504"/>
      <c r="W66" s="504"/>
      <c r="X66" s="504"/>
      <c r="Y66" s="504"/>
      <c r="Z66" s="504"/>
      <c r="AA66" s="504"/>
      <c r="AB66" s="504"/>
      <c r="AC66" s="504"/>
      <c r="AD66" s="504"/>
      <c r="AE66" s="504"/>
      <c r="AF66" s="504"/>
      <c r="AG66" s="504"/>
      <c r="AH66" s="504"/>
      <c r="AI66" s="504"/>
      <c r="AJ66" s="504"/>
      <c r="AK66" s="504"/>
    </row>
    <row r="67" spans="1:37">
      <c r="A67" s="504"/>
      <c r="B67" s="504"/>
      <c r="C67" s="504"/>
      <c r="D67" s="514" t="str">
        <f>IF(MasterSheet!$A$1=1,MasterSheet!C384,MasterSheet!B384)</f>
        <v>Ostali izdaci</v>
      </c>
      <c r="E67" s="435">
        <f>+SUM('2014 - plan'!D67:G67)</f>
        <v>1942464.5766666664</v>
      </c>
      <c r="F67" s="435">
        <f>+'2014 - execution '!P67</f>
        <v>4666053.0599999987</v>
      </c>
      <c r="G67" s="430">
        <f t="shared" si="7"/>
        <v>2723588.4833333325</v>
      </c>
      <c r="H67" s="431">
        <f t="shared" si="0"/>
        <v>240.21303225035388</v>
      </c>
      <c r="I67" s="435">
        <f>+SUM('2013 - execution'!D67:G67)</f>
        <v>1708131.2100000004</v>
      </c>
      <c r="J67" s="436">
        <f t="shared" si="1"/>
        <v>2957921.8499999982</v>
      </c>
      <c r="K67" s="433">
        <f t="shared" si="2"/>
        <v>273.16713333749095</v>
      </c>
      <c r="L67" s="671">
        <f>+'2014 - plan'!G67</f>
        <v>485616.14416666661</v>
      </c>
      <c r="M67" s="671">
        <f>+'2014 - execution '!G67</f>
        <v>1187251.9799999995</v>
      </c>
      <c r="N67" s="430">
        <f t="shared" si="3"/>
        <v>701635.83583333297</v>
      </c>
      <c r="O67" s="434">
        <f t="shared" si="4"/>
        <v>144.48363059209314</v>
      </c>
      <c r="P67" s="671">
        <f>+'2013 - execution'!G67</f>
        <v>549708.51</v>
      </c>
      <c r="Q67" s="428">
        <f t="shared" si="5"/>
        <v>637543.46999999951</v>
      </c>
      <c r="R67" s="434">
        <f t="shared" si="6"/>
        <v>115.97846102109634</v>
      </c>
      <c r="S67" s="398"/>
      <c r="T67" s="398"/>
      <c r="U67" s="531"/>
      <c r="V67" s="504"/>
      <c r="W67" s="504"/>
      <c r="X67" s="504"/>
      <c r="Y67" s="504"/>
      <c r="Z67" s="504"/>
      <c r="AA67" s="504"/>
      <c r="AB67" s="504"/>
      <c r="AC67" s="504"/>
      <c r="AD67" s="504"/>
      <c r="AE67" s="504"/>
      <c r="AF67" s="504"/>
      <c r="AG67" s="504"/>
      <c r="AH67" s="504"/>
      <c r="AI67" s="504"/>
      <c r="AJ67" s="504"/>
      <c r="AK67" s="504"/>
    </row>
    <row r="68" spans="1:37">
      <c r="A68" s="504"/>
      <c r="B68" s="504"/>
      <c r="C68" s="504"/>
      <c r="D68" s="514" t="str">
        <f>IF(MasterSheet!$A$1=1,MasterSheet!C385,MasterSheet!B385)</f>
        <v>Kapitalni izdaci u tekućem budžetu</v>
      </c>
      <c r="E68" s="435">
        <f>+SUM('2014 - plan'!D68:G68)</f>
        <v>3500987.7733333334</v>
      </c>
      <c r="F68" s="435">
        <f>+'2014 - execution '!P68</f>
        <v>1213876.57</v>
      </c>
      <c r="G68" s="430">
        <f t="shared" si="7"/>
        <v>-2287111.2033333331</v>
      </c>
      <c r="H68" s="434">
        <f t="shared" si="0"/>
        <v>34.672402435848937</v>
      </c>
      <c r="I68" s="435">
        <f>+SUM('2013 - execution'!D68:G68)</f>
        <v>1493539.07</v>
      </c>
      <c r="J68" s="436" t="s">
        <v>367</v>
      </c>
      <c r="K68" s="433" t="s">
        <v>367</v>
      </c>
      <c r="L68" s="671">
        <f>+'2014 - plan'!G68</f>
        <v>875246.94333333336</v>
      </c>
      <c r="M68" s="671">
        <f>+'2014 - execution '!G68</f>
        <v>410406.14999999997</v>
      </c>
      <c r="N68" s="430">
        <f t="shared" si="3"/>
        <v>-464840.79333333339</v>
      </c>
      <c r="O68" s="434">
        <f t="shared" si="4"/>
        <v>-53.109673432621307</v>
      </c>
      <c r="P68" s="671">
        <f>+'2013 - execution'!G68</f>
        <v>701872.01</v>
      </c>
      <c r="Q68" s="428" t="s">
        <v>367</v>
      </c>
      <c r="R68" s="434">
        <f t="shared" si="6"/>
        <v>-41.526924545687471</v>
      </c>
      <c r="S68" s="398"/>
      <c r="T68" s="398"/>
      <c r="U68" s="531"/>
      <c r="V68" s="504"/>
      <c r="W68" s="504"/>
      <c r="X68" s="504"/>
      <c r="Y68" s="504"/>
      <c r="Z68" s="504"/>
      <c r="AA68" s="504"/>
      <c r="AB68" s="504"/>
      <c r="AC68" s="504"/>
      <c r="AD68" s="504"/>
      <c r="AE68" s="504"/>
      <c r="AF68" s="504"/>
      <c r="AG68" s="504"/>
      <c r="AH68" s="504"/>
      <c r="AI68" s="504"/>
      <c r="AJ68" s="504"/>
      <c r="AK68" s="504"/>
    </row>
    <row r="69" spans="1:37">
      <c r="A69" s="504"/>
      <c r="B69" s="504"/>
      <c r="C69" s="504"/>
      <c r="D69" s="514" t="str">
        <f>IF(MasterSheet!$A$1=1,MasterSheet!C386,MasterSheet!B386)</f>
        <v>Transferi za socijalnu zaštitu</v>
      </c>
      <c r="E69" s="435">
        <f>+SUM('2014 - plan'!D69:G69)</f>
        <v>166074466.32333338</v>
      </c>
      <c r="F69" s="435">
        <f>+'2014 - execution '!P69</f>
        <v>163314601.51000005</v>
      </c>
      <c r="G69" s="430">
        <f t="shared" si="7"/>
        <v>-2759864.8133333325</v>
      </c>
      <c r="H69" s="434">
        <f t="shared" si="0"/>
        <v>98.338176316665013</v>
      </c>
      <c r="I69" s="435">
        <f>+SUM('2013 - execution'!D69:G69)</f>
        <v>161397293.29999995</v>
      </c>
      <c r="J69" s="436">
        <f>+F69-I69</f>
        <v>1917308.2100000978</v>
      </c>
      <c r="K69" s="433">
        <f>F69/I69*100</f>
        <v>101.18794322432424</v>
      </c>
      <c r="L69" s="671">
        <f>+'2014 - plan'!G69</f>
        <v>41518616.580833346</v>
      </c>
      <c r="M69" s="671">
        <f>+'2014 - execution '!G69</f>
        <v>40423629.730000004</v>
      </c>
      <c r="N69" s="430">
        <f t="shared" si="3"/>
        <v>-1094986.8508333415</v>
      </c>
      <c r="O69" s="434">
        <f t="shared" si="4"/>
        <v>-2.6373394419380389</v>
      </c>
      <c r="P69" s="671">
        <f>+'2013 - execution'!G69</f>
        <v>40445889.590000004</v>
      </c>
      <c r="Q69" s="428">
        <f t="shared" si="5"/>
        <v>-22259.859999999404</v>
      </c>
      <c r="R69" s="434">
        <f t="shared" si="6"/>
        <v>-5.5036148853801592E-2</v>
      </c>
      <c r="S69" s="398"/>
      <c r="T69" s="398"/>
      <c r="U69" s="398"/>
      <c r="V69" s="504"/>
      <c r="W69" s="504"/>
      <c r="X69" s="504"/>
      <c r="Y69" s="504"/>
      <c r="Z69" s="504"/>
      <c r="AA69" s="504"/>
      <c r="AB69" s="504"/>
      <c r="AC69" s="504"/>
      <c r="AD69" s="504"/>
      <c r="AE69" s="504"/>
      <c r="AF69" s="504"/>
      <c r="AG69" s="504"/>
      <c r="AH69" s="504"/>
      <c r="AI69" s="504"/>
      <c r="AJ69" s="504"/>
      <c r="AK69" s="504"/>
    </row>
    <row r="70" spans="1:37">
      <c r="A70" s="504"/>
      <c r="B70" s="504"/>
      <c r="C70" s="504"/>
      <c r="D70" s="506" t="str">
        <f>IF(MasterSheet!$A$1=1,MasterSheet!C387,MasterSheet!B387)</f>
        <v>Prava iz oblasti socijalne zaštite</v>
      </c>
      <c r="E70" s="644">
        <f>+SUM('2014 - plan'!D70:G70)</f>
        <v>19548333.333333332</v>
      </c>
      <c r="F70" s="644">
        <f>+'2014 - execution '!P70</f>
        <v>20439807.34</v>
      </c>
      <c r="G70" s="645">
        <f t="shared" si="7"/>
        <v>891474.00666666776</v>
      </c>
      <c r="H70" s="646">
        <f t="shared" si="0"/>
        <v>104.56035812089692</v>
      </c>
      <c r="I70" s="644">
        <f>+SUM('2013 - execution'!D70:G70)</f>
        <v>22628177.970000003</v>
      </c>
      <c r="J70" s="672">
        <f t="shared" ref="J70:J98" si="8">+F70-I70</f>
        <v>-2188370.6300000027</v>
      </c>
      <c r="K70" s="433">
        <f t="shared" ref="K70:K78" si="9">F70/I70*100</f>
        <v>90.329002039398389</v>
      </c>
      <c r="L70" s="674">
        <f>+'2014 - plan'!G70</f>
        <v>4887083.333333333</v>
      </c>
      <c r="M70" s="674">
        <f>+'2014 - execution '!G70</f>
        <v>5048089.1400000006</v>
      </c>
      <c r="N70" s="645">
        <f t="shared" si="3"/>
        <v>161005.80666666757</v>
      </c>
      <c r="O70" s="649">
        <f t="shared" si="4"/>
        <v>3.2945173160542396</v>
      </c>
      <c r="P70" s="674">
        <f>+'2013 - execution'!G70</f>
        <v>5564842.5499999998</v>
      </c>
      <c r="Q70" s="647">
        <f t="shared" si="5"/>
        <v>-516753.40999999922</v>
      </c>
      <c r="R70" s="649">
        <f t="shared" si="6"/>
        <v>-9.2860382905172969</v>
      </c>
      <c r="S70" s="537"/>
      <c r="T70" s="537"/>
      <c r="U70" s="531"/>
      <c r="V70" s="504"/>
      <c r="W70" s="504"/>
      <c r="X70" s="504"/>
      <c r="Y70" s="504"/>
      <c r="Z70" s="504"/>
      <c r="AA70" s="504"/>
      <c r="AB70" s="504"/>
      <c r="AC70" s="504"/>
      <c r="AD70" s="504"/>
      <c r="AE70" s="504"/>
      <c r="AF70" s="504"/>
      <c r="AG70" s="504"/>
      <c r="AH70" s="504"/>
      <c r="AI70" s="504"/>
      <c r="AJ70" s="504"/>
      <c r="AK70" s="504"/>
    </row>
    <row r="71" spans="1:37">
      <c r="A71" s="504"/>
      <c r="B71" s="504"/>
      <c r="C71" s="504"/>
      <c r="D71" s="506" t="str">
        <f>IF(MasterSheet!$A$1=1,MasterSheet!C388,MasterSheet!B388)</f>
        <v>Sredstva za tehnološke viškove</v>
      </c>
      <c r="E71" s="644">
        <f>+SUM('2014 - plan'!D71:G71)</f>
        <v>6919374.666666666</v>
      </c>
      <c r="F71" s="644">
        <f>+'2014 - execution '!P71</f>
        <v>7358604.9500000002</v>
      </c>
      <c r="G71" s="645">
        <f t="shared" si="7"/>
        <v>439230.28333333414</v>
      </c>
      <c r="H71" s="646">
        <f t="shared" si="0"/>
        <v>106.34783205842686</v>
      </c>
      <c r="I71" s="644">
        <f>+SUM('2013 - execution'!D71:G71)</f>
        <v>4415909.5599999996</v>
      </c>
      <c r="J71" s="672">
        <f t="shared" si="8"/>
        <v>2942695.3900000006</v>
      </c>
      <c r="K71" s="433">
        <f t="shared" si="9"/>
        <v>166.63848862882963</v>
      </c>
      <c r="L71" s="674">
        <f>+'2014 - plan'!G71</f>
        <v>1729843.6666666665</v>
      </c>
      <c r="M71" s="674">
        <f>+'2014 - execution '!G71</f>
        <v>1009266.9</v>
      </c>
      <c r="N71" s="645">
        <f t="shared" si="3"/>
        <v>-720576.76666666649</v>
      </c>
      <c r="O71" s="649">
        <f t="shared" si="4"/>
        <v>-41.655600477191477</v>
      </c>
      <c r="P71" s="674">
        <f>+'2013 - execution'!G71</f>
        <v>929016.34000000008</v>
      </c>
      <c r="Q71" s="647">
        <f t="shared" si="5"/>
        <v>80250.559999999939</v>
      </c>
      <c r="R71" s="649">
        <f t="shared" si="6"/>
        <v>8.638229118768777</v>
      </c>
      <c r="S71" s="537"/>
      <c r="T71" s="537"/>
      <c r="U71" s="531"/>
      <c r="V71" s="504"/>
      <c r="W71" s="504"/>
      <c r="X71" s="504"/>
      <c r="Y71" s="504"/>
      <c r="Z71" s="504"/>
      <c r="AA71" s="504"/>
      <c r="AB71" s="504"/>
      <c r="AC71" s="504"/>
      <c r="AD71" s="504"/>
      <c r="AE71" s="504"/>
      <c r="AF71" s="504"/>
      <c r="AG71" s="504"/>
      <c r="AH71" s="504"/>
      <c r="AI71" s="504"/>
      <c r="AJ71" s="504"/>
      <c r="AK71" s="504"/>
    </row>
    <row r="72" spans="1:37">
      <c r="A72" s="504"/>
      <c r="B72" s="504"/>
      <c r="C72" s="504"/>
      <c r="D72" s="506" t="str">
        <f>IF(MasterSheet!$A$1=1,MasterSheet!C389,MasterSheet!B389)</f>
        <v>Prava iz oblasti penzijskog i invalidskog osiguranja</v>
      </c>
      <c r="E72" s="644">
        <f>+SUM('2014 - plan'!D72:G72)</f>
        <v>132440091.65666668</v>
      </c>
      <c r="F72" s="644">
        <f>+'2014 - execution '!P72</f>
        <v>128568191.97000004</v>
      </c>
      <c r="G72" s="645">
        <f t="shared" si="7"/>
        <v>-3871899.6866666377</v>
      </c>
      <c r="H72" s="646">
        <f t="shared" si="0"/>
        <v>97.076489725857314</v>
      </c>
      <c r="I72" s="644">
        <f>+SUM('2013 - execution'!D72:G72)</f>
        <v>127828517.27999997</v>
      </c>
      <c r="J72" s="672">
        <f t="shared" si="8"/>
        <v>739674.69000007212</v>
      </c>
      <c r="K72" s="433">
        <f t="shared" si="9"/>
        <v>100.57864606876403</v>
      </c>
      <c r="L72" s="674">
        <f>+'2014 - plan'!G72</f>
        <v>33110022.91416667</v>
      </c>
      <c r="M72" s="674">
        <f>+'2014 - execution '!G72</f>
        <v>32175533.070000004</v>
      </c>
      <c r="N72" s="645">
        <f t="shared" si="3"/>
        <v>-934489.84416666627</v>
      </c>
      <c r="O72" s="649">
        <f t="shared" si="4"/>
        <v>-2.8223775217226716</v>
      </c>
      <c r="P72" s="674">
        <f>+'2013 - execution'!G72</f>
        <v>31901739.649999999</v>
      </c>
      <c r="Q72" s="647">
        <f t="shared" si="5"/>
        <v>273793.42000000551</v>
      </c>
      <c r="R72" s="649">
        <f t="shared" si="6"/>
        <v>0.8582397794096579</v>
      </c>
      <c r="S72" s="537"/>
      <c r="T72" s="537"/>
      <c r="U72" s="531"/>
      <c r="V72" s="504"/>
      <c r="W72" s="504"/>
      <c r="X72" s="504"/>
      <c r="Y72" s="504"/>
      <c r="Z72" s="504"/>
      <c r="AA72" s="504"/>
      <c r="AB72" s="504"/>
      <c r="AC72" s="504"/>
      <c r="AD72" s="504"/>
      <c r="AE72" s="504"/>
      <c r="AF72" s="504"/>
      <c r="AG72" s="504"/>
      <c r="AH72" s="504"/>
      <c r="AI72" s="504"/>
      <c r="AJ72" s="504"/>
      <c r="AK72" s="504"/>
    </row>
    <row r="73" spans="1:37">
      <c r="A73" s="504"/>
      <c r="B73" s="504"/>
      <c r="C73" s="504"/>
      <c r="D73" s="506" t="str">
        <f>IF(MasterSheet!$A$1=1,MasterSheet!C390,MasterSheet!B390)</f>
        <v>Ostala prava iz oblasti zdravstvene zaštite</v>
      </c>
      <c r="E73" s="644">
        <f>+SUM('2014 - plan'!D73:G73)</f>
        <v>4833333.333333333</v>
      </c>
      <c r="F73" s="644">
        <f>+'2014 - execution '!P73</f>
        <v>4769436.45</v>
      </c>
      <c r="G73" s="645">
        <f t="shared" si="7"/>
        <v>-63896.883333332837</v>
      </c>
      <c r="H73" s="646">
        <f t="shared" si="0"/>
        <v>98.677995517241385</v>
      </c>
      <c r="I73" s="644">
        <f>+SUM('2013 - execution'!D73:G73)</f>
        <v>4389691.2200000007</v>
      </c>
      <c r="J73" s="672">
        <f t="shared" si="8"/>
        <v>379745.22999999952</v>
      </c>
      <c r="K73" s="433">
        <f t="shared" si="9"/>
        <v>108.65084150497491</v>
      </c>
      <c r="L73" s="674">
        <f>+'2014 - plan'!G73</f>
        <v>1208333.3333333333</v>
      </c>
      <c r="M73" s="674">
        <f>+'2014 - execution '!G73</f>
        <v>1570673.39</v>
      </c>
      <c r="N73" s="645">
        <f t="shared" si="3"/>
        <v>362340.05666666664</v>
      </c>
      <c r="O73" s="649">
        <f t="shared" si="4"/>
        <v>29.986763310344827</v>
      </c>
      <c r="P73" s="674">
        <f>+'2013 - execution'!G73</f>
        <v>1544704.71</v>
      </c>
      <c r="Q73" s="647">
        <f t="shared" si="5"/>
        <v>25968.679999999935</v>
      </c>
      <c r="R73" s="649">
        <f t="shared" si="6"/>
        <v>1.6811420222833391</v>
      </c>
      <c r="S73" s="537"/>
      <c r="T73" s="675"/>
      <c r="U73" s="531"/>
      <c r="V73" s="504"/>
      <c r="W73" s="504"/>
      <c r="X73" s="504"/>
      <c r="Y73" s="504"/>
      <c r="Z73" s="504"/>
      <c r="AA73" s="504"/>
      <c r="AB73" s="504"/>
      <c r="AC73" s="504"/>
      <c r="AD73" s="504"/>
      <c r="AE73" s="504"/>
      <c r="AF73" s="504"/>
      <c r="AG73" s="504"/>
      <c r="AH73" s="504"/>
      <c r="AI73" s="504"/>
      <c r="AJ73" s="504"/>
      <c r="AK73" s="504"/>
    </row>
    <row r="74" spans="1:37">
      <c r="A74" s="504"/>
      <c r="B74" s="504"/>
      <c r="C74" s="504"/>
      <c r="D74" s="506" t="str">
        <f>IF(MasterSheet!$A$1=1,MasterSheet!C391,MasterSheet!B391)</f>
        <v>Ostala prava iz oblasti zdravstvenog osiguranja</v>
      </c>
      <c r="E74" s="644">
        <f>+SUM('2014 - plan'!D74:G74)</f>
        <v>2333333.333333333</v>
      </c>
      <c r="F74" s="644">
        <f>+'2014 - execution '!P74</f>
        <v>2178560.7999999998</v>
      </c>
      <c r="G74" s="645">
        <f t="shared" si="7"/>
        <v>-154772.53333333321</v>
      </c>
      <c r="H74" s="646">
        <f t="shared" si="0"/>
        <v>93.366891428571435</v>
      </c>
      <c r="I74" s="644">
        <f>+SUM('2013 - execution'!D74:G74)</f>
        <v>2134997.27</v>
      </c>
      <c r="J74" s="672">
        <f t="shared" si="8"/>
        <v>43563.529999999795</v>
      </c>
      <c r="K74" s="433">
        <f t="shared" si="9"/>
        <v>102.0404489791221</v>
      </c>
      <c r="L74" s="674">
        <f>+'2014 - plan'!G74</f>
        <v>583333.33333333326</v>
      </c>
      <c r="M74" s="674">
        <f>+'2014 - execution '!G74</f>
        <v>620067.23</v>
      </c>
      <c r="N74" s="645">
        <f t="shared" si="3"/>
        <v>36733.896666666726</v>
      </c>
      <c r="O74" s="649">
        <f t="shared" si="4"/>
        <v>6.2972394285714302</v>
      </c>
      <c r="P74" s="674">
        <f>+'2013 - execution'!G74</f>
        <v>505586.33999999997</v>
      </c>
      <c r="Q74" s="647">
        <f t="shared" si="5"/>
        <v>114480.89000000001</v>
      </c>
      <c r="R74" s="649">
        <f t="shared" si="6"/>
        <v>22.643192852085363</v>
      </c>
      <c r="S74" s="537"/>
      <c r="T74" s="537"/>
      <c r="U74" s="531"/>
      <c r="V74" s="504"/>
      <c r="W74" s="504"/>
      <c r="X74" s="504"/>
      <c r="Y74" s="504"/>
      <c r="Z74" s="504"/>
      <c r="AA74" s="504"/>
      <c r="AB74" s="504"/>
      <c r="AC74" s="504"/>
      <c r="AD74" s="504"/>
      <c r="AE74" s="504"/>
      <c r="AF74" s="504"/>
      <c r="AG74" s="504"/>
      <c r="AH74" s="504"/>
      <c r="AI74" s="504"/>
      <c r="AJ74" s="504"/>
      <c r="AK74" s="504"/>
    </row>
    <row r="75" spans="1:37" ht="12.75" customHeight="1">
      <c r="A75" s="504"/>
      <c r="B75" s="504"/>
      <c r="C75" s="504"/>
      <c r="D75" s="539" t="str">
        <f>IF(MasterSheet!$A$1=1,MasterSheet!C392,MasterSheet!B392)</f>
        <v>Transferi institucijama pojedinicima nevladinom i javnom sektoru</v>
      </c>
      <c r="E75" s="435">
        <f>+SUM('2014 - plan'!D75:G75)</f>
        <v>33680015.873333335</v>
      </c>
      <c r="F75" s="435">
        <f>+'2014 - execution '!P75</f>
        <v>29142644.289999999</v>
      </c>
      <c r="G75" s="430">
        <f t="shared" si="7"/>
        <v>-4537371.5833333358</v>
      </c>
      <c r="H75" s="431">
        <f t="shared" si="0"/>
        <v>86.52800046057618</v>
      </c>
      <c r="I75" s="435">
        <f>+SUM('2013 - execution'!D75:G75)</f>
        <v>26781882.350000001</v>
      </c>
      <c r="J75" s="436">
        <f t="shared" si="8"/>
        <v>2360761.9399999976</v>
      </c>
      <c r="K75" s="433">
        <f>F75/I75*100</f>
        <v>108.81477227458582</v>
      </c>
      <c r="L75" s="674">
        <f>+'2014 - plan'!G75</f>
        <v>8420003.9683333337</v>
      </c>
      <c r="M75" s="674">
        <f>+'2014 - execution '!G75</f>
        <v>8801515.4700000007</v>
      </c>
      <c r="N75" s="430">
        <f t="shared" si="3"/>
        <v>381511.50166666694</v>
      </c>
      <c r="O75" s="434">
        <f t="shared" si="4"/>
        <v>4.5310133237643129</v>
      </c>
      <c r="P75" s="674">
        <f>+'2013 - execution'!G75</f>
        <v>5884665.6100000003</v>
      </c>
      <c r="Q75" s="428">
        <f t="shared" si="5"/>
        <v>2916849.8600000003</v>
      </c>
      <c r="R75" s="434">
        <f t="shared" si="6"/>
        <v>49.566960186205023</v>
      </c>
      <c r="S75" s="398"/>
      <c r="T75" s="398"/>
      <c r="U75" s="398"/>
      <c r="V75" s="504"/>
      <c r="W75" s="504"/>
      <c r="X75" s="504"/>
      <c r="Y75" s="504"/>
      <c r="Z75" s="504"/>
      <c r="AA75" s="504"/>
      <c r="AB75" s="504"/>
      <c r="AC75" s="504"/>
      <c r="AD75" s="504"/>
      <c r="AE75" s="504"/>
      <c r="AF75" s="504"/>
      <c r="AG75" s="504"/>
      <c r="AH75" s="504"/>
      <c r="AI75" s="504"/>
      <c r="AJ75" s="504"/>
      <c r="AK75" s="504"/>
    </row>
    <row r="76" spans="1:37">
      <c r="A76" s="504"/>
      <c r="B76" s="504"/>
      <c r="C76" s="504"/>
      <c r="D76" s="506" t="str">
        <f>IF(MasterSheet!$A$1=1,MasterSheet!C393,MasterSheet!B393)</f>
        <v>Transferi javnim institucijama</v>
      </c>
      <c r="E76" s="644">
        <f>+SUM('2014 - plan'!D76:G76)</f>
        <v>25615695.413333334</v>
      </c>
      <c r="F76" s="644">
        <f>+'2014 - execution '!P76</f>
        <v>26378944.960000001</v>
      </c>
      <c r="G76" s="645">
        <f t="shared" si="7"/>
        <v>763249.54666666687</v>
      </c>
      <c r="H76" s="676">
        <f t="shared" si="0"/>
        <v>102.97961673244048</v>
      </c>
      <c r="I76" s="644">
        <f>+SUM('2013 - execution'!D76:G76)</f>
        <v>21121430.75</v>
      </c>
      <c r="J76" s="645">
        <f t="shared" si="8"/>
        <v>5257514.2100000009</v>
      </c>
      <c r="K76" s="433">
        <f t="shared" si="9"/>
        <v>124.89184692187578</v>
      </c>
      <c r="L76" s="674">
        <f>+'2014 - plan'!G76</f>
        <v>6403923.8533333335</v>
      </c>
      <c r="M76" s="674">
        <f>+'2014 - execution '!G76</f>
        <v>8801515.4700000007</v>
      </c>
      <c r="N76" s="647">
        <f t="shared" si="3"/>
        <v>2397591.6166666672</v>
      </c>
      <c r="O76" s="649">
        <f t="shared" si="4"/>
        <v>37.439414827187335</v>
      </c>
      <c r="P76" s="674">
        <f>+'2013 - execution'!G76</f>
        <v>4020786.17</v>
      </c>
      <c r="Q76" s="645">
        <f t="shared" si="5"/>
        <v>4780729.3000000007</v>
      </c>
      <c r="R76" s="649">
        <f t="shared" si="6"/>
        <v>118.90036171707189</v>
      </c>
      <c r="S76" s="537"/>
      <c r="T76" s="537"/>
      <c r="U76" s="531"/>
      <c r="V76" s="504"/>
      <c r="W76" s="504"/>
      <c r="X76" s="504"/>
      <c r="Y76" s="504"/>
      <c r="Z76" s="504"/>
      <c r="AA76" s="504"/>
      <c r="AB76" s="504"/>
      <c r="AC76" s="504"/>
      <c r="AD76" s="504"/>
      <c r="AE76" s="504"/>
      <c r="AF76" s="504"/>
      <c r="AG76" s="504"/>
      <c r="AH76" s="504"/>
      <c r="AI76" s="504"/>
      <c r="AJ76" s="504"/>
      <c r="AK76" s="504"/>
    </row>
    <row r="77" spans="1:37">
      <c r="A77" s="504"/>
      <c r="B77" s="504"/>
      <c r="C77" s="504"/>
      <c r="D77" s="506" t="str">
        <f>IF(MasterSheet!$A$1=1,MasterSheet!C394,MasterSheet!B394)</f>
        <v>Transferi nevladinim organizacijama</v>
      </c>
      <c r="E77" s="644">
        <f>+SUM('2014 - plan'!D77:G77)</f>
        <v>824503.31333333335</v>
      </c>
      <c r="F77" s="644">
        <f>+'2014 - execution '!P77</f>
        <v>55675</v>
      </c>
      <c r="G77" s="645">
        <f t="shared" si="7"/>
        <v>-768828.31333333335</v>
      </c>
      <c r="H77" s="676">
        <f t="shared" si="0"/>
        <v>6.7525501838088431</v>
      </c>
      <c r="I77" s="644">
        <f>+SUM('2013 - execution'!D77:G77)</f>
        <v>68950.009999999995</v>
      </c>
      <c r="J77" s="645">
        <f t="shared" si="8"/>
        <v>-13275.009999999995</v>
      </c>
      <c r="K77" s="433">
        <f t="shared" si="9"/>
        <v>80.746906345626357</v>
      </c>
      <c r="L77" s="674">
        <f>+'2014 - plan'!G77</f>
        <v>206125.82833333334</v>
      </c>
      <c r="M77" s="674">
        <f>+'2014 - execution '!G77</f>
        <v>0</v>
      </c>
      <c r="N77" s="647">
        <f t="shared" si="3"/>
        <v>-206125.82833333334</v>
      </c>
      <c r="O77" s="649">
        <f t="shared" si="4"/>
        <v>-100</v>
      </c>
      <c r="P77" s="674">
        <f>+'2013 - execution'!G77</f>
        <v>0</v>
      </c>
      <c r="Q77" s="645">
        <f t="shared" si="5"/>
        <v>0</v>
      </c>
      <c r="R77" s="649" t="s">
        <v>367</v>
      </c>
      <c r="S77" s="537"/>
      <c r="T77" s="537"/>
      <c r="U77" s="531"/>
      <c r="V77" s="504"/>
      <c r="W77" s="504"/>
      <c r="X77" s="504"/>
      <c r="Y77" s="504"/>
      <c r="Z77" s="504"/>
      <c r="AA77" s="504"/>
      <c r="AB77" s="504"/>
      <c r="AC77" s="504"/>
      <c r="AD77" s="504"/>
      <c r="AE77" s="504"/>
      <c r="AF77" s="504"/>
      <c r="AG77" s="504"/>
      <c r="AH77" s="504"/>
      <c r="AI77" s="504"/>
      <c r="AJ77" s="504"/>
      <c r="AK77" s="504"/>
    </row>
    <row r="78" spans="1:37">
      <c r="A78" s="504"/>
      <c r="B78" s="504"/>
      <c r="C78" s="504"/>
      <c r="D78" s="506" t="str">
        <f>IF(MasterSheet!$A$1=1,MasterSheet!C395,MasterSheet!B395)</f>
        <v>Transferi pojedincima</v>
      </c>
      <c r="E78" s="644">
        <f>+SUM('2014 - plan'!D78:G78)</f>
        <v>6483884</v>
      </c>
      <c r="F78" s="644">
        <f>+'2014 - execution '!P78</f>
        <v>2708024.33</v>
      </c>
      <c r="G78" s="645">
        <f t="shared" si="7"/>
        <v>-3775859.67</v>
      </c>
      <c r="H78" s="676">
        <f t="shared" si="0"/>
        <v>41.765465421651591</v>
      </c>
      <c r="I78" s="644">
        <f>+SUM('2013 - execution'!D78:G78)</f>
        <v>5585001.5899999999</v>
      </c>
      <c r="J78" s="645">
        <f t="shared" si="8"/>
        <v>-2876977.26</v>
      </c>
      <c r="K78" s="433">
        <f t="shared" si="9"/>
        <v>48.487440627568382</v>
      </c>
      <c r="L78" s="674">
        <f>+'2014 - plan'!G78</f>
        <v>1620971</v>
      </c>
      <c r="M78" s="674">
        <f>+'2014 - execution '!G78</f>
        <v>0</v>
      </c>
      <c r="N78" s="647">
        <f t="shared" si="3"/>
        <v>-1620971</v>
      </c>
      <c r="O78" s="649">
        <f t="shared" si="4"/>
        <v>-100</v>
      </c>
      <c r="P78" s="674">
        <f>+'2013 - execution'!G78</f>
        <v>1859879.4400000002</v>
      </c>
      <c r="Q78" s="645">
        <f t="shared" si="5"/>
        <v>-1859879.4400000002</v>
      </c>
      <c r="R78" s="649">
        <f t="shared" si="6"/>
        <v>-100</v>
      </c>
      <c r="S78" s="537"/>
      <c r="T78" s="537"/>
      <c r="U78" s="531"/>
      <c r="V78" s="504"/>
      <c r="W78" s="504"/>
      <c r="X78" s="504"/>
      <c r="Y78" s="504"/>
      <c r="Z78" s="504"/>
      <c r="AA78" s="504"/>
      <c r="AB78" s="504"/>
      <c r="AC78" s="504"/>
      <c r="AD78" s="504"/>
      <c r="AE78" s="504"/>
      <c r="AF78" s="504"/>
      <c r="AG78" s="504"/>
      <c r="AH78" s="504"/>
      <c r="AI78" s="504"/>
      <c r="AJ78" s="504"/>
      <c r="AK78" s="504"/>
    </row>
    <row r="79" spans="1:37">
      <c r="A79" s="504"/>
      <c r="B79" s="504"/>
      <c r="C79" s="504"/>
      <c r="D79" s="506" t="str">
        <f>IF(MasterSheet!$A$1=1,MasterSheet!C396,MasterSheet!B396)</f>
        <v>Transferi opštinama</v>
      </c>
      <c r="E79" s="644">
        <f>+SUM('2014 - plan'!D79:G79)</f>
        <v>630705.59</v>
      </c>
      <c r="F79" s="644">
        <f>+'2014 - execution '!P79</f>
        <v>0</v>
      </c>
      <c r="G79" s="645">
        <f t="shared" si="7"/>
        <v>-630705.59</v>
      </c>
      <c r="H79" s="676">
        <f t="shared" si="0"/>
        <v>0</v>
      </c>
      <c r="I79" s="644">
        <f>+SUM('2013 - execution'!D79:G79)</f>
        <v>6500</v>
      </c>
      <c r="J79" s="645">
        <f t="shared" si="8"/>
        <v>-6500</v>
      </c>
      <c r="K79" s="433">
        <f>F79/I79*'Analitics tab 2014'!I111094</f>
        <v>0</v>
      </c>
      <c r="L79" s="674">
        <f>+'2014 - plan'!G79</f>
        <v>157676.39749999999</v>
      </c>
      <c r="M79" s="674">
        <f>+'2014 - execution '!G79</f>
        <v>0</v>
      </c>
      <c r="N79" s="647">
        <f t="shared" si="3"/>
        <v>-157676.39749999999</v>
      </c>
      <c r="O79" s="649">
        <f t="shared" si="4"/>
        <v>-100</v>
      </c>
      <c r="P79" s="674">
        <f>+'2013 - execution'!G79</f>
        <v>4000</v>
      </c>
      <c r="Q79" s="645">
        <f t="shared" si="5"/>
        <v>-4000</v>
      </c>
      <c r="R79" s="649" t="s">
        <v>367</v>
      </c>
      <c r="S79" s="537"/>
      <c r="T79" s="537"/>
      <c r="U79" s="531"/>
      <c r="V79" s="504"/>
      <c r="W79" s="504"/>
      <c r="X79" s="504"/>
      <c r="Y79" s="504"/>
      <c r="Z79" s="504"/>
      <c r="AA79" s="504"/>
      <c r="AB79" s="504"/>
      <c r="AC79" s="504"/>
      <c r="AD79" s="504"/>
      <c r="AE79" s="504"/>
      <c r="AF79" s="504"/>
      <c r="AG79" s="504"/>
      <c r="AH79" s="504"/>
      <c r="AI79" s="504"/>
      <c r="AJ79" s="504"/>
      <c r="AK79" s="504"/>
    </row>
    <row r="80" spans="1:37">
      <c r="A80" s="504"/>
      <c r="B80" s="504"/>
      <c r="C80" s="504"/>
      <c r="D80" s="506" t="s">
        <v>412</v>
      </c>
      <c r="E80" s="644">
        <f>+SUM('2014 - plan'!D80:G80)</f>
        <v>8560.89</v>
      </c>
      <c r="F80" s="644">
        <f>+'2014 - execution '!P80</f>
        <v>0</v>
      </c>
      <c r="G80" s="645"/>
      <c r="H80" s="676"/>
      <c r="I80" s="644">
        <f>+SUM('2013 - execution'!D80:G80)</f>
        <v>0</v>
      </c>
      <c r="J80" s="645"/>
      <c r="K80" s="433"/>
      <c r="L80" s="674">
        <f>+'2014 - plan'!G80</f>
        <v>2140.2224999999999</v>
      </c>
      <c r="M80" s="674">
        <f>+'2014 - execution '!G80</f>
        <v>0</v>
      </c>
      <c r="N80" s="647"/>
      <c r="O80" s="649">
        <f t="shared" si="4"/>
        <v>-100</v>
      </c>
      <c r="P80" s="674">
        <f>+'2013 - execution'!G80</f>
        <v>0</v>
      </c>
      <c r="Q80" s="645"/>
      <c r="R80" s="649" t="s">
        <v>367</v>
      </c>
      <c r="S80" s="537"/>
      <c r="T80" s="537"/>
      <c r="U80" s="531"/>
      <c r="V80" s="504"/>
      <c r="W80" s="504"/>
      <c r="X80" s="504"/>
      <c r="Y80" s="504"/>
      <c r="Z80" s="504"/>
      <c r="AA80" s="504"/>
      <c r="AB80" s="504"/>
      <c r="AC80" s="504"/>
      <c r="AD80" s="504"/>
      <c r="AE80" s="504"/>
      <c r="AF80" s="504"/>
      <c r="AG80" s="504"/>
      <c r="AH80" s="504"/>
      <c r="AI80" s="504"/>
      <c r="AJ80" s="504"/>
      <c r="AK80" s="504"/>
    </row>
    <row r="81" spans="1:37" ht="13.5" thickBot="1">
      <c r="A81" s="504"/>
      <c r="B81" s="504"/>
      <c r="C81" s="504"/>
      <c r="D81" s="540" t="str">
        <f>IF(MasterSheet!$A$1=1,MasterSheet!C397,MasterSheet!B397)</f>
        <v>Transferi javnim preduzećima</v>
      </c>
      <c r="E81" s="644">
        <f>+SUM('2014 - plan'!D81:G81)</f>
        <v>116666.66666666667</v>
      </c>
      <c r="F81" s="644">
        <f>+'2014 - execution '!P81</f>
        <v>0</v>
      </c>
      <c r="G81" s="645">
        <f t="shared" si="7"/>
        <v>-116666.66666666667</v>
      </c>
      <c r="H81" s="676"/>
      <c r="I81" s="644">
        <f>+SUM('2013 - execution'!D81:G81)</f>
        <v>0</v>
      </c>
      <c r="J81" s="645">
        <f t="shared" si="8"/>
        <v>0</v>
      </c>
      <c r="K81" s="433">
        <v>0</v>
      </c>
      <c r="L81" s="674">
        <f>+'2014 - plan'!G81</f>
        <v>29166.666666666668</v>
      </c>
      <c r="M81" s="674">
        <f>+'2014 - execution '!G81</f>
        <v>0</v>
      </c>
      <c r="N81" s="647">
        <f t="shared" si="3"/>
        <v>-29166.666666666668</v>
      </c>
      <c r="O81" s="649">
        <f t="shared" si="4"/>
        <v>-100</v>
      </c>
      <c r="P81" s="674">
        <f>+'2013 - execution'!G81</f>
        <v>0</v>
      </c>
      <c r="Q81" s="645">
        <f t="shared" si="5"/>
        <v>0</v>
      </c>
      <c r="R81" s="649" t="s">
        <v>367</v>
      </c>
      <c r="S81" s="537"/>
      <c r="T81" s="537"/>
      <c r="U81" s="531"/>
      <c r="V81" s="504"/>
      <c r="W81" s="504"/>
      <c r="X81" s="504"/>
      <c r="Y81" s="504"/>
      <c r="Z81" s="504"/>
      <c r="AA81" s="504"/>
      <c r="AB81" s="504"/>
      <c r="AC81" s="504"/>
      <c r="AD81" s="504"/>
      <c r="AE81" s="504"/>
      <c r="AF81" s="504"/>
      <c r="AG81" s="504"/>
      <c r="AH81" s="504"/>
      <c r="AI81" s="504"/>
      <c r="AJ81" s="504"/>
      <c r="AK81" s="504"/>
    </row>
    <row r="82" spans="1:37" ht="14.25" thickTop="1" thickBot="1">
      <c r="A82" s="504"/>
      <c r="B82" s="504"/>
      <c r="C82" s="504"/>
      <c r="D82" s="641" t="str">
        <f>IF(MasterSheet!$A$1=1,MasterSheet!C398,MasterSheet!B398)</f>
        <v>Kapitalni budžet</v>
      </c>
      <c r="E82" s="439">
        <f>+SUM('2014 - plan'!D82:G82)</f>
        <v>33940166.666666664</v>
      </c>
      <c r="F82" s="439">
        <f>+'2014 - execution '!P82</f>
        <v>11669941.899999999</v>
      </c>
      <c r="G82" s="440">
        <f t="shared" si="7"/>
        <v>-22270224.766666666</v>
      </c>
      <c r="H82" s="441">
        <f t="shared" si="0"/>
        <v>34.383867394090579</v>
      </c>
      <c r="I82" s="439">
        <f>+SUM('2013 - execution'!D82:G82)</f>
        <v>10766056.75</v>
      </c>
      <c r="J82" s="440">
        <f t="shared" si="8"/>
        <v>903885.14999999851</v>
      </c>
      <c r="K82" s="442">
        <f>F82/I82*100</f>
        <v>108.39569371580731</v>
      </c>
      <c r="L82" s="667">
        <f>+'2014 - plan'!G82</f>
        <v>8485041.666666666</v>
      </c>
      <c r="M82" s="667">
        <f>+'2014 - execution '!G82</f>
        <v>3101737.11</v>
      </c>
      <c r="N82" s="443">
        <f t="shared" si="3"/>
        <v>-5383304.5566666666</v>
      </c>
      <c r="O82" s="444">
        <f t="shared" si="4"/>
        <v>-63.444644919245142</v>
      </c>
      <c r="P82" s="667">
        <f>+'2013 - execution'!G82</f>
        <v>4197672.67</v>
      </c>
      <c r="Q82" s="440">
        <f t="shared" si="5"/>
        <v>-1095935.56</v>
      </c>
      <c r="R82" s="444">
        <f t="shared" si="6"/>
        <v>-26.108171030877443</v>
      </c>
      <c r="S82" s="398"/>
      <c r="T82" s="398"/>
      <c r="U82" s="669"/>
      <c r="V82" s="504"/>
      <c r="W82" s="504"/>
      <c r="X82" s="504"/>
      <c r="Y82" s="504"/>
      <c r="Z82" s="504"/>
      <c r="AA82" s="504"/>
      <c r="AB82" s="504"/>
      <c r="AC82" s="504"/>
      <c r="AD82" s="504"/>
      <c r="AE82" s="504"/>
      <c r="AF82" s="504"/>
      <c r="AG82" s="504"/>
      <c r="AH82" s="504"/>
      <c r="AI82" s="504"/>
      <c r="AJ82" s="504"/>
      <c r="AK82" s="504"/>
    </row>
    <row r="83" spans="1:37" ht="13.5" thickTop="1">
      <c r="A83" s="504"/>
      <c r="B83" s="504"/>
      <c r="C83" s="504"/>
      <c r="D83" s="506" t="str">
        <f>IF(MasterSheet!$A$1=1,MasterSheet!C399,MasterSheet!B399)</f>
        <v>Pozajmice i krediti</v>
      </c>
      <c r="E83" s="644">
        <f>+SUM('2014 - plan'!D83:G83)</f>
        <v>713333.33333333337</v>
      </c>
      <c r="F83" s="644">
        <f>+'2014 - execution '!P83</f>
        <v>826265.79</v>
      </c>
      <c r="G83" s="645">
        <f t="shared" si="7"/>
        <v>112932.45666666667</v>
      </c>
      <c r="H83" s="646">
        <f t="shared" si="0"/>
        <v>115.83165280373832</v>
      </c>
      <c r="I83" s="677">
        <f>+SUM('2013 - execution'!D83:G83)</f>
        <v>896995.11</v>
      </c>
      <c r="J83" s="678">
        <f t="shared" si="8"/>
        <v>-70729.319999999949</v>
      </c>
      <c r="K83" s="648">
        <f>F83/I83*100</f>
        <v>92.114860024153316</v>
      </c>
      <c r="L83" s="674">
        <f>+'2014 - plan'!G83</f>
        <v>178333.33333333334</v>
      </c>
      <c r="M83" s="674">
        <f>+'2014 - execution '!G83</f>
        <v>286420</v>
      </c>
      <c r="N83" s="647">
        <f t="shared" si="3"/>
        <v>108086.66666666666</v>
      </c>
      <c r="O83" s="649">
        <f t="shared" si="4"/>
        <v>60.60934579439251</v>
      </c>
      <c r="P83" s="674">
        <f>+'2013 - execution'!G83</f>
        <v>220833.34</v>
      </c>
      <c r="Q83" s="645">
        <f t="shared" si="5"/>
        <v>65586.66</v>
      </c>
      <c r="R83" s="649">
        <f t="shared" si="6"/>
        <v>29.699618726049238</v>
      </c>
      <c r="S83" s="537"/>
      <c r="T83" s="537"/>
      <c r="U83" s="531"/>
      <c r="V83" s="504"/>
      <c r="W83" s="504"/>
      <c r="X83" s="504"/>
      <c r="Y83" s="504"/>
      <c r="Z83" s="504"/>
      <c r="AA83" s="504"/>
      <c r="AB83" s="504"/>
      <c r="AC83" s="504"/>
      <c r="AD83" s="504"/>
      <c r="AE83" s="504"/>
      <c r="AF83" s="504"/>
      <c r="AG83" s="504"/>
      <c r="AH83" s="504"/>
      <c r="AI83" s="504"/>
      <c r="AJ83" s="504"/>
      <c r="AK83" s="504"/>
    </row>
    <row r="84" spans="1:37">
      <c r="A84" s="504"/>
      <c r="B84" s="504"/>
      <c r="C84" s="504"/>
      <c r="D84" s="679" t="str">
        <f>IF(MasterSheet!$A$1=1,MasterSheet!C400,MasterSheet!B400)</f>
        <v>Rezerve</v>
      </c>
      <c r="E84" s="644">
        <f>+SUM('2014 - plan'!D84:G84)</f>
        <v>2951549.9233333333</v>
      </c>
      <c r="F84" s="644">
        <f>+'2014 - execution '!P84</f>
        <v>4271466.6400000006</v>
      </c>
      <c r="G84" s="645">
        <f t="shared" si="7"/>
        <v>1319916.7166666673</v>
      </c>
      <c r="H84" s="646">
        <f t="shared" si="0"/>
        <v>144.71944405317797</v>
      </c>
      <c r="I84" s="677">
        <f>+SUM('2013 - execution'!D84:G84)</f>
        <v>1400072.21</v>
      </c>
      <c r="J84" s="672">
        <f t="shared" si="8"/>
        <v>2871394.4300000006</v>
      </c>
      <c r="K84" s="648" t="s">
        <v>367</v>
      </c>
      <c r="L84" s="674">
        <f>+'2014 - plan'!G84</f>
        <v>737887.48083333333</v>
      </c>
      <c r="M84" s="674">
        <f>+'2014 - execution '!G84</f>
        <v>0</v>
      </c>
      <c r="N84" s="647">
        <f t="shared" si="3"/>
        <v>-737887.48083333333</v>
      </c>
      <c r="O84" s="649">
        <f t="shared" si="4"/>
        <v>-100</v>
      </c>
      <c r="P84" s="674">
        <f>+'2013 - execution'!G84</f>
        <v>795860</v>
      </c>
      <c r="Q84" s="645">
        <f t="shared" si="5"/>
        <v>-795860</v>
      </c>
      <c r="R84" s="649">
        <f t="shared" si="6"/>
        <v>-100</v>
      </c>
      <c r="S84" s="537"/>
      <c r="T84" s="537"/>
      <c r="U84" s="531"/>
      <c r="V84" s="504"/>
      <c r="W84" s="504"/>
      <c r="X84" s="504"/>
      <c r="Y84" s="504"/>
      <c r="Z84" s="504"/>
      <c r="AA84" s="504"/>
      <c r="AB84" s="504"/>
      <c r="AC84" s="504"/>
      <c r="AD84" s="504"/>
      <c r="AE84" s="504"/>
      <c r="AF84" s="504"/>
      <c r="AG84" s="504"/>
      <c r="AH84" s="504"/>
      <c r="AI84" s="504"/>
      <c r="AJ84" s="504"/>
      <c r="AK84" s="504"/>
    </row>
    <row r="85" spans="1:37" ht="13.5" thickBot="1">
      <c r="A85" s="504"/>
      <c r="B85" s="504"/>
      <c r="C85" s="504"/>
      <c r="D85" s="680" t="str">
        <f>IF(MasterSheet!$A$1=1,MasterSheet!C408,MasterSheet!B408)</f>
        <v>Otplata garancija</v>
      </c>
      <c r="E85" s="644">
        <f>+SUM('2014 - plan'!D85:G85)</f>
        <v>0</v>
      </c>
      <c r="F85" s="644">
        <f>+'2014 - execution '!P85</f>
        <v>9682767.0700000003</v>
      </c>
      <c r="G85" s="645">
        <f>+F85-E85</f>
        <v>9682767.0700000003</v>
      </c>
      <c r="H85" s="676" t="s">
        <v>367</v>
      </c>
      <c r="I85" s="677">
        <f>+SUM('2013 - execution'!D85:G85)</f>
        <v>145520.37</v>
      </c>
      <c r="J85" s="645">
        <f>+F85-I85</f>
        <v>9537246.7000000011</v>
      </c>
      <c r="K85" s="648" t="s">
        <v>367</v>
      </c>
      <c r="L85" s="674">
        <f>+'2014 - plan'!G85</f>
        <v>0</v>
      </c>
      <c r="M85" s="674">
        <f>+'2014 - execution '!G85</f>
        <v>0</v>
      </c>
      <c r="N85" s="647">
        <f>+M85-L85</f>
        <v>0</v>
      </c>
      <c r="O85" s="649" t="s">
        <v>367</v>
      </c>
      <c r="P85" s="674">
        <f>+'2013 - execution'!G85</f>
        <v>145520.37</v>
      </c>
      <c r="Q85" s="645">
        <f>+M85-P85</f>
        <v>-145520.37</v>
      </c>
      <c r="R85" s="649" t="s">
        <v>367</v>
      </c>
      <c r="S85" s="537"/>
      <c r="T85" s="537"/>
      <c r="U85" s="531"/>
      <c r="V85" s="504"/>
      <c r="W85" s="504"/>
      <c r="X85" s="504"/>
      <c r="Y85" s="504"/>
      <c r="Z85" s="504"/>
      <c r="AA85" s="504"/>
      <c r="AB85" s="504"/>
      <c r="AC85" s="504"/>
      <c r="AD85" s="504"/>
      <c r="AE85" s="504"/>
      <c r="AF85" s="504"/>
      <c r="AG85" s="504"/>
      <c r="AH85" s="504"/>
      <c r="AI85" s="504"/>
      <c r="AJ85" s="504"/>
      <c r="AK85" s="504"/>
    </row>
    <row r="86" spans="1:37" ht="14.25" hidden="1" thickTop="1" thickBot="1">
      <c r="A86" s="504"/>
      <c r="B86" s="504"/>
      <c r="C86" s="504"/>
      <c r="D86" s="681" t="s">
        <v>152</v>
      </c>
      <c r="E86" s="644">
        <f>+SUM('2014 - plan'!D86:G86)</f>
        <v>0</v>
      </c>
      <c r="F86" s="682">
        <f>+'2014 - execution '!P86</f>
        <v>0</v>
      </c>
      <c r="G86" s="682"/>
      <c r="H86" s="682"/>
      <c r="I86" s="682">
        <f>+SUM('2013 - execution'!D86:G86)</f>
        <v>0</v>
      </c>
      <c r="J86" s="682"/>
      <c r="K86" s="682"/>
      <c r="L86" s="682">
        <f>+'2014 - plan'!G86</f>
        <v>0</v>
      </c>
      <c r="M86" s="682">
        <f>+'2014 - execution '!G86</f>
        <v>0</v>
      </c>
      <c r="N86" s="682"/>
      <c r="O86" s="682" t="e">
        <f t="shared" ref="O86:O98" si="10">+M86/L86*100-100</f>
        <v>#DIV/0!</v>
      </c>
      <c r="P86" s="683">
        <f>+'2013 - execution'!G86</f>
        <v>0</v>
      </c>
      <c r="Q86" s="682"/>
      <c r="R86" s="684" t="e">
        <f t="shared" ref="R86:R98" si="11">M86/P86*100-100</f>
        <v>#DIV/0!</v>
      </c>
      <c r="S86" s="537"/>
      <c r="T86" s="537"/>
      <c r="U86" s="537"/>
      <c r="V86" s="526"/>
      <c r="W86" s="504"/>
      <c r="X86" s="504"/>
      <c r="Y86" s="504"/>
      <c r="Z86" s="504"/>
      <c r="AA86" s="504"/>
      <c r="AB86" s="504"/>
      <c r="AC86" s="504"/>
      <c r="AD86" s="504"/>
      <c r="AE86" s="504"/>
      <c r="AF86" s="504"/>
      <c r="AG86" s="504"/>
      <c r="AH86" s="504"/>
      <c r="AI86" s="504"/>
      <c r="AJ86" s="504"/>
      <c r="AK86" s="504"/>
    </row>
    <row r="87" spans="1:37" ht="14.25" thickTop="1" thickBot="1">
      <c r="A87" s="504"/>
      <c r="B87" s="504"/>
      <c r="C87" s="504"/>
      <c r="D87" s="641" t="str">
        <f>IF(MasterSheet!$A$1=1,MasterSheet!C402,MasterSheet!B402)</f>
        <v>Suficit/ Deficit</v>
      </c>
      <c r="E87" s="667">
        <f>+SUM('2014 - plan'!D87:G87)</f>
        <v>-105401439.75724006</v>
      </c>
      <c r="F87" s="667">
        <f>+'2014 - execution '!P87</f>
        <v>-59136352.120000079</v>
      </c>
      <c r="G87" s="440">
        <f t="shared" si="7"/>
        <v>46265087.637239978</v>
      </c>
      <c r="H87" s="685">
        <f>+F87/E87*100</f>
        <v>56.105829537245945</v>
      </c>
      <c r="I87" s="667">
        <f>+SUM('2013 - execution'!D87:G87)</f>
        <v>-75338498.70275721</v>
      </c>
      <c r="J87" s="440">
        <f t="shared" si="8"/>
        <v>16202146.58275713</v>
      </c>
      <c r="K87" s="686">
        <f t="shared" ref="K87:K97" si="12">F87/I87*100</f>
        <v>78.49420036005553</v>
      </c>
      <c r="L87" s="667">
        <f>+'2014 - plan'!G87</f>
        <v>-4506341.2096453756</v>
      </c>
      <c r="M87" s="443">
        <f>+'2014 - execution '!G87</f>
        <v>-13590362.610000029</v>
      </c>
      <c r="N87" s="443">
        <f t="shared" si="3"/>
        <v>-9084021.4003546536</v>
      </c>
      <c r="O87" s="687">
        <f t="shared" si="10"/>
        <v>201.58307988110636</v>
      </c>
      <c r="P87" s="667">
        <f>+'2013 - execution'!G87</f>
        <v>-15748036.443259314</v>
      </c>
      <c r="Q87" s="443">
        <f t="shared" si="5"/>
        <v>2157673.8332592845</v>
      </c>
      <c r="R87" s="668">
        <f t="shared" si="11"/>
        <v>-13.701224536998339</v>
      </c>
      <c r="S87" s="669"/>
      <c r="T87" s="669"/>
      <c r="U87" s="669"/>
      <c r="V87" s="504"/>
      <c r="W87" s="504"/>
      <c r="X87" s="504"/>
      <c r="Y87" s="504"/>
      <c r="Z87" s="504"/>
      <c r="AA87" s="504"/>
      <c r="AB87" s="504"/>
      <c r="AC87" s="504"/>
      <c r="AD87" s="504"/>
      <c r="AE87" s="504"/>
      <c r="AF87" s="504"/>
      <c r="AG87" s="504"/>
      <c r="AH87" s="504"/>
      <c r="AI87" s="504"/>
      <c r="AJ87" s="504"/>
      <c r="AK87" s="504"/>
    </row>
    <row r="88" spans="1:37" ht="14.25" thickTop="1" thickBot="1">
      <c r="A88" s="504"/>
      <c r="B88" s="504"/>
      <c r="C88" s="504"/>
      <c r="D88" s="641" t="str">
        <f>IF(MasterSheet!$A$1=1,MasterSheet!C403,MasterSheet!B403)</f>
        <v>Primarni deficit</v>
      </c>
      <c r="E88" s="667">
        <f>+SUM('2014 - plan'!D88:G88)</f>
        <v>-80962732.050573394</v>
      </c>
      <c r="F88" s="667">
        <f>+'2014 - execution '!P88</f>
        <v>-26426978.970000077</v>
      </c>
      <c r="G88" s="440">
        <f t="shared" ref="G88:G98" si="13">+F88-E88</f>
        <v>54535753.08057332</v>
      </c>
      <c r="H88" s="685">
        <f t="shared" si="0"/>
        <v>32.640917988652433</v>
      </c>
      <c r="I88" s="667">
        <f>+SUM('2013 - execution'!D88:G88)</f>
        <v>-46058982.092757203</v>
      </c>
      <c r="J88" s="440">
        <f t="shared" si="8"/>
        <v>19632003.122757126</v>
      </c>
      <c r="K88" s="686">
        <f t="shared" si="12"/>
        <v>57.376385167999047</v>
      </c>
      <c r="L88" s="688">
        <f>+'2014 - plan'!G88</f>
        <v>1603335.7170212911</v>
      </c>
      <c r="M88" s="443">
        <f>+'2014 - execution '!G88</f>
        <v>11072486.799999971</v>
      </c>
      <c r="N88" s="443">
        <f t="shared" ref="N88:N98" si="14">+M88-L88</f>
        <v>9469151.0829786807</v>
      </c>
      <c r="O88" s="687">
        <f t="shared" si="10"/>
        <v>590.59066560125382</v>
      </c>
      <c r="P88" s="667">
        <f>+'2013 - execution'!G88</f>
        <v>9079435.686740689</v>
      </c>
      <c r="Q88" s="443">
        <f t="shared" ref="Q88:Q98" si="15">+M88-P88</f>
        <v>1993051.113259282</v>
      </c>
      <c r="R88" s="668">
        <f t="shared" si="11"/>
        <v>21.951266378480639</v>
      </c>
      <c r="S88" s="669"/>
      <c r="T88" s="669"/>
      <c r="U88" s="669"/>
      <c r="V88" s="504"/>
      <c r="W88" s="504"/>
      <c r="X88" s="504"/>
      <c r="Y88" s="504"/>
      <c r="Z88" s="504"/>
      <c r="AA88" s="504"/>
      <c r="AB88" s="504"/>
      <c r="AC88" s="504"/>
      <c r="AD88" s="504"/>
      <c r="AE88" s="504"/>
      <c r="AF88" s="504"/>
      <c r="AG88" s="504"/>
      <c r="AH88" s="504"/>
      <c r="AI88" s="504"/>
      <c r="AJ88" s="504"/>
      <c r="AK88" s="504"/>
    </row>
    <row r="89" spans="1:37" ht="14.25" thickTop="1" thickBot="1">
      <c r="A89" s="504"/>
      <c r="B89" s="504"/>
      <c r="C89" s="504"/>
      <c r="D89" s="641" t="str">
        <f>IF(MasterSheet!$A$1=1,MasterSheet!C404,MasterSheet!B404)</f>
        <v>Otplata duga</v>
      </c>
      <c r="E89" s="667">
        <f>+SUM('2014 - plan'!D89:G89)</f>
        <v>57142301.829999998</v>
      </c>
      <c r="F89" s="667">
        <f>+'2014 - execution '!P89</f>
        <v>59992164.089999996</v>
      </c>
      <c r="G89" s="440">
        <f t="shared" si="13"/>
        <v>2849862.2599999979</v>
      </c>
      <c r="H89" s="689">
        <f t="shared" ref="H89:H97" si="16">+F89/E89*100</f>
        <v>104.98730742152884</v>
      </c>
      <c r="I89" s="667">
        <f>+SUM('2013 - execution'!D89:G89)</f>
        <v>38548201.629999995</v>
      </c>
      <c r="J89" s="443">
        <f t="shared" si="8"/>
        <v>21443962.460000001</v>
      </c>
      <c r="K89" s="686">
        <f t="shared" si="12"/>
        <v>155.628956872819</v>
      </c>
      <c r="L89" s="667">
        <f>+'2014 - plan'!G89</f>
        <v>14285575.4575</v>
      </c>
      <c r="M89" s="443">
        <f>+'2014 - execution '!G89</f>
        <v>38709994.939999998</v>
      </c>
      <c r="N89" s="443">
        <f t="shared" si="14"/>
        <v>24424419.482499998</v>
      </c>
      <c r="O89" s="687">
        <f t="shared" si="10"/>
        <v>170.97259788493193</v>
      </c>
      <c r="P89" s="667">
        <f>+'2013 - execution'!G89</f>
        <v>7894827.54</v>
      </c>
      <c r="Q89" s="443">
        <f t="shared" si="15"/>
        <v>30815167.399999999</v>
      </c>
      <c r="R89" s="668">
        <f t="shared" si="11"/>
        <v>390.32096956990648</v>
      </c>
      <c r="S89" s="669"/>
      <c r="T89" s="669"/>
      <c r="U89" s="669"/>
      <c r="V89" s="504"/>
      <c r="W89" s="504"/>
      <c r="X89" s="504"/>
      <c r="Y89" s="504"/>
      <c r="Z89" s="504"/>
      <c r="AA89" s="504"/>
      <c r="AB89" s="504"/>
      <c r="AC89" s="504"/>
      <c r="AD89" s="504"/>
      <c r="AE89" s="504"/>
      <c r="AF89" s="504"/>
      <c r="AG89" s="504"/>
      <c r="AH89" s="504"/>
      <c r="AI89" s="504"/>
      <c r="AJ89" s="504"/>
      <c r="AK89" s="504"/>
    </row>
    <row r="90" spans="1:37" ht="13.5" thickTop="1">
      <c r="A90" s="504"/>
      <c r="B90" s="504"/>
      <c r="C90" s="504"/>
      <c r="D90" s="506" t="str">
        <f>IF(MasterSheet!$A$1=1,MasterSheet!C405,MasterSheet!B405)</f>
        <v>Otplata duga rezidentima</v>
      </c>
      <c r="E90" s="644">
        <f>+SUM('2014 - plan'!D90:G90)</f>
        <v>10002781.756666666</v>
      </c>
      <c r="F90" s="644">
        <f>+'2014 - execution '!P90</f>
        <v>11020267.209999999</v>
      </c>
      <c r="G90" s="645">
        <f t="shared" si="13"/>
        <v>1017485.4533333331</v>
      </c>
      <c r="H90" s="646">
        <f t="shared" si="16"/>
        <v>110.17202492351888</v>
      </c>
      <c r="I90" s="644">
        <f>+SUM('2013 - execution'!D90:G90)</f>
        <v>16168849.41</v>
      </c>
      <c r="J90" s="647">
        <f t="shared" si="8"/>
        <v>-5148582.2000000011</v>
      </c>
      <c r="K90" s="673">
        <f t="shared" si="12"/>
        <v>68.157399024226535</v>
      </c>
      <c r="L90" s="674">
        <f>+'2014 - plan'!G90</f>
        <v>2500695.4391666665</v>
      </c>
      <c r="M90" s="269">
        <f>+'2014 - execution '!G90</f>
        <v>3685616.07</v>
      </c>
      <c r="N90" s="647">
        <f t="shared" si="14"/>
        <v>1184920.6308333334</v>
      </c>
      <c r="O90" s="649">
        <f t="shared" si="10"/>
        <v>47.383644256503175</v>
      </c>
      <c r="P90" s="269">
        <f>+'2013 - execution'!G90</f>
        <v>3128301.99</v>
      </c>
      <c r="Q90" s="645">
        <f t="shared" si="15"/>
        <v>557314.07999999961</v>
      </c>
      <c r="R90" s="649">
        <f t="shared" si="11"/>
        <v>17.815226336252763</v>
      </c>
      <c r="S90" s="537"/>
      <c r="T90" s="537"/>
      <c r="U90" s="537"/>
      <c r="V90" s="504"/>
      <c r="W90" s="504"/>
      <c r="X90" s="504"/>
      <c r="Y90" s="504"/>
      <c r="Z90" s="504"/>
      <c r="AA90" s="504"/>
      <c r="AB90" s="504"/>
      <c r="AC90" s="504"/>
      <c r="AD90" s="504"/>
      <c r="AE90" s="504"/>
      <c r="AF90" s="504"/>
      <c r="AG90" s="504"/>
      <c r="AH90" s="504"/>
      <c r="AI90" s="504"/>
      <c r="AJ90" s="504"/>
      <c r="AK90" s="504"/>
    </row>
    <row r="91" spans="1:37">
      <c r="A91" s="504"/>
      <c r="B91" s="504"/>
      <c r="C91" s="504"/>
      <c r="D91" s="506" t="str">
        <f>IF(MasterSheet!$A$1=1,MasterSheet!C406,MasterSheet!B406)</f>
        <v>Otplata duga nerezidentima</v>
      </c>
      <c r="E91" s="644">
        <f>+SUM('2014 - plan'!D91:G91)</f>
        <v>36026800.083333336</v>
      </c>
      <c r="F91" s="644">
        <f>+'2014 - execution '!P91</f>
        <v>40627368.560000002</v>
      </c>
      <c r="G91" s="645">
        <f t="shared" si="13"/>
        <v>4600568.4766666666</v>
      </c>
      <c r="H91" s="646">
        <f t="shared" si="16"/>
        <v>112.76985040587874</v>
      </c>
      <c r="I91" s="644">
        <f>+SUM('2013 - execution'!D91:G91)</f>
        <v>8910871</v>
      </c>
      <c r="J91" s="647">
        <f t="shared" si="8"/>
        <v>31716497.560000002</v>
      </c>
      <c r="K91" s="648">
        <f t="shared" si="12"/>
        <v>455.93038615417061</v>
      </c>
      <c r="L91" s="674">
        <f>+'2014 - plan'!G91</f>
        <v>9006700.020833334</v>
      </c>
      <c r="M91" s="269">
        <f>+'2014 - execution '!G91</f>
        <v>33645805.93</v>
      </c>
      <c r="N91" s="647">
        <f t="shared" si="14"/>
        <v>24639105.909166664</v>
      </c>
      <c r="O91" s="649">
        <f t="shared" si="10"/>
        <v>273.56418946089161</v>
      </c>
      <c r="P91" s="269">
        <f>+'2013 - execution'!G91</f>
        <v>2298414.4</v>
      </c>
      <c r="Q91" s="645">
        <f t="shared" si="15"/>
        <v>31347391.530000001</v>
      </c>
      <c r="R91" s="649">
        <f t="shared" si="11"/>
        <v>1363.8703068515408</v>
      </c>
      <c r="S91" s="537"/>
      <c r="T91" s="537"/>
      <c r="U91" s="531"/>
      <c r="V91" s="504"/>
      <c r="W91" s="504"/>
      <c r="X91" s="504"/>
      <c r="Y91" s="504"/>
      <c r="Z91" s="504"/>
      <c r="AA91" s="504"/>
      <c r="AB91" s="504"/>
      <c r="AC91" s="504"/>
      <c r="AD91" s="504"/>
      <c r="AE91" s="504"/>
      <c r="AF91" s="504"/>
      <c r="AG91" s="504"/>
      <c r="AH91" s="504"/>
      <c r="AI91" s="504"/>
      <c r="AJ91" s="504"/>
      <c r="AK91" s="504"/>
    </row>
    <row r="92" spans="1:37" ht="13.5" thickBot="1">
      <c r="A92" s="504"/>
      <c r="B92" s="504"/>
      <c r="C92" s="504"/>
      <c r="D92" s="506" t="str">
        <f>IF(MasterSheet!$A$1=1,MasterSheet!C407,MasterSheet!B407)</f>
        <v>Otplata obaveza iz prethodnog perioda</v>
      </c>
      <c r="E92" s="644">
        <f>+SUM('2014 - plan'!D92:G92)</f>
        <v>11112719.989999998</v>
      </c>
      <c r="F92" s="644">
        <f>+'2014 - execution '!P92</f>
        <v>8344528.3200000012</v>
      </c>
      <c r="G92" s="645">
        <f t="shared" si="13"/>
        <v>-2768191.6699999971</v>
      </c>
      <c r="H92" s="646">
        <f t="shared" si="16"/>
        <v>75.089881932677059</v>
      </c>
      <c r="I92" s="644">
        <f>+SUM('2013 - execution'!D92:G92)</f>
        <v>13468481.219999999</v>
      </c>
      <c r="J92" s="647">
        <f t="shared" si="8"/>
        <v>-5123952.8999999976</v>
      </c>
      <c r="K92" s="648">
        <f t="shared" si="12"/>
        <v>61.955971008882635</v>
      </c>
      <c r="L92" s="674">
        <f>+'2014 - plan'!G92</f>
        <v>2778179.9974999996</v>
      </c>
      <c r="M92" s="269">
        <f>+'2014 - execution '!G92</f>
        <v>1378572.9400000004</v>
      </c>
      <c r="N92" s="647">
        <f t="shared" si="14"/>
        <v>-1399607.0574999992</v>
      </c>
      <c r="O92" s="649">
        <f t="shared" si="10"/>
        <v>-50.378559299954048</v>
      </c>
      <c r="P92" s="269">
        <f>+'2013 - execution'!G92</f>
        <v>2468111.1499999994</v>
      </c>
      <c r="Q92" s="645">
        <f t="shared" si="15"/>
        <v>-1089538.209999999</v>
      </c>
      <c r="R92" s="649">
        <f t="shared" si="11"/>
        <v>-44.144616825704915</v>
      </c>
      <c r="S92" s="537"/>
      <c r="T92" s="537"/>
      <c r="U92" s="537"/>
      <c r="V92" s="504"/>
      <c r="W92" s="504"/>
      <c r="X92" s="504"/>
      <c r="Y92" s="504"/>
      <c r="Z92" s="504"/>
      <c r="AA92" s="504"/>
      <c r="AB92" s="504"/>
      <c r="AC92" s="504"/>
      <c r="AD92" s="504"/>
      <c r="AE92" s="504"/>
      <c r="AF92" s="504"/>
      <c r="AG92" s="504"/>
      <c r="AH92" s="504"/>
      <c r="AI92" s="504"/>
      <c r="AJ92" s="504"/>
      <c r="AK92" s="504"/>
    </row>
    <row r="93" spans="1:37" ht="14.25" thickTop="1" thickBot="1">
      <c r="A93" s="504"/>
      <c r="B93" s="504"/>
      <c r="C93" s="504"/>
      <c r="D93" s="641" t="str">
        <f>IF(MasterSheet!$A$1=1,MasterSheet!C409,MasterSheet!B409)</f>
        <v>Nedostajuća sredstva</v>
      </c>
      <c r="E93" s="667">
        <f>+SUM('2014 - plan'!D93:G93)</f>
        <v>-162543741.58724004</v>
      </c>
      <c r="F93" s="667">
        <f>+'2014 - execution '!P93</f>
        <v>-119128516.21000008</v>
      </c>
      <c r="G93" s="440">
        <f t="shared" si="13"/>
        <v>43415225.377239957</v>
      </c>
      <c r="H93" s="689">
        <f t="shared" si="16"/>
        <v>73.290127965992312</v>
      </c>
      <c r="I93" s="667">
        <f>+SUM('2013 - execution'!D93:G93)</f>
        <v>-113886700.33275723</v>
      </c>
      <c r="J93" s="443">
        <f t="shared" si="8"/>
        <v>-5241815.8772428483</v>
      </c>
      <c r="K93" s="686">
        <f t="shared" si="12"/>
        <v>104.60265848595769</v>
      </c>
      <c r="L93" s="667">
        <f>+'2014 - plan'!G93</f>
        <v>-18791916.667145375</v>
      </c>
      <c r="M93" s="439">
        <f>+'2014 - execution '!G93</f>
        <v>-52300357.550000027</v>
      </c>
      <c r="N93" s="439">
        <f t="shared" si="14"/>
        <v>-33508440.882854652</v>
      </c>
      <c r="O93" s="690">
        <f t="shared" si="10"/>
        <v>178.31305596112361</v>
      </c>
      <c r="P93" s="439">
        <f>+'2013 - execution'!G93</f>
        <v>-23642863.983259313</v>
      </c>
      <c r="Q93" s="439">
        <f t="shared" si="15"/>
        <v>-28657493.566740714</v>
      </c>
      <c r="R93" s="668">
        <f t="shared" si="11"/>
        <v>121.20990750964893</v>
      </c>
      <c r="S93" s="669"/>
      <c r="T93" s="669"/>
      <c r="U93" s="669"/>
      <c r="V93" s="504"/>
      <c r="W93" s="504"/>
      <c r="X93" s="504"/>
      <c r="Y93" s="504"/>
      <c r="Z93" s="504"/>
      <c r="AA93" s="504"/>
      <c r="AB93" s="504"/>
      <c r="AC93" s="504"/>
      <c r="AD93" s="504"/>
      <c r="AE93" s="504"/>
      <c r="AF93" s="504"/>
      <c r="AG93" s="504"/>
      <c r="AH93" s="504"/>
      <c r="AI93" s="504"/>
      <c r="AJ93" s="504"/>
      <c r="AK93" s="504"/>
    </row>
    <row r="94" spans="1:37" ht="14.25" thickTop="1" thickBot="1">
      <c r="A94" s="504"/>
      <c r="B94" s="504"/>
      <c r="C94" s="504"/>
      <c r="D94" s="641" t="str">
        <f>IF(MasterSheet!$A$1=1,MasterSheet!C410,MasterSheet!B410)</f>
        <v>Finansiranje</v>
      </c>
      <c r="E94" s="667">
        <f>+SUM('2014 - plan'!D94:G94)</f>
        <v>162543741.58724004</v>
      </c>
      <c r="F94" s="667">
        <f>+'2014 - execution '!P94</f>
        <v>119128516.21000007</v>
      </c>
      <c r="G94" s="440">
        <f t="shared" si="13"/>
        <v>-43415225.377239972</v>
      </c>
      <c r="H94" s="689"/>
      <c r="I94" s="667">
        <f>+SUM('2013 - execution'!D94:G94)</f>
        <v>113886700.33275723</v>
      </c>
      <c r="J94" s="443">
        <f t="shared" si="8"/>
        <v>5241815.8772428334</v>
      </c>
      <c r="K94" s="686">
        <f t="shared" si="12"/>
        <v>104.60265848595766</v>
      </c>
      <c r="L94" s="667">
        <f>+'2014 - plan'!G94</f>
        <v>18791916.667145375</v>
      </c>
      <c r="M94" s="439">
        <f>+'2014 - execution '!G94</f>
        <v>52300357.550000027</v>
      </c>
      <c r="N94" s="439">
        <f t="shared" si="14"/>
        <v>33508440.882854652</v>
      </c>
      <c r="O94" s="690">
        <f t="shared" si="10"/>
        <v>178.31305596112361</v>
      </c>
      <c r="P94" s="439">
        <f>+'2013 - execution'!G94</f>
        <v>23642863.983259313</v>
      </c>
      <c r="Q94" s="439">
        <f t="shared" si="15"/>
        <v>28657493.566740714</v>
      </c>
      <c r="R94" s="668">
        <f t="shared" si="11"/>
        <v>121.20990750964893</v>
      </c>
      <c r="S94" s="669"/>
      <c r="T94" s="669"/>
      <c r="U94" s="669"/>
      <c r="V94" s="504"/>
      <c r="W94" s="504"/>
      <c r="X94" s="504"/>
      <c r="Y94" s="504"/>
      <c r="Z94" s="504"/>
      <c r="AA94" s="504"/>
      <c r="AB94" s="504"/>
      <c r="AC94" s="504"/>
      <c r="AD94" s="504"/>
      <c r="AE94" s="504"/>
      <c r="AF94" s="504"/>
      <c r="AG94" s="504"/>
      <c r="AH94" s="504"/>
      <c r="AI94" s="504"/>
      <c r="AJ94" s="504"/>
      <c r="AK94" s="504"/>
    </row>
    <row r="95" spans="1:37" ht="13.5" thickTop="1">
      <c r="A95" s="504"/>
      <c r="B95" s="504"/>
      <c r="C95" s="504"/>
      <c r="D95" s="506" t="str">
        <f>IF(MasterSheet!$A$1=1,MasterSheet!C411,MasterSheet!B411)</f>
        <v>Pozajmice i krediti iz domaćih izvora</v>
      </c>
      <c r="E95" s="644">
        <f>+SUM('2014 - plan'!D95:G95)</f>
        <v>0</v>
      </c>
      <c r="F95" s="644">
        <f>+'2014 - execution '!P95</f>
        <v>98410759.670000002</v>
      </c>
      <c r="G95" s="645">
        <f t="shared" si="13"/>
        <v>98410759.670000002</v>
      </c>
      <c r="H95" s="646" t="s">
        <v>367</v>
      </c>
      <c r="I95" s="644">
        <f>+SUM('2013 - execution'!D95:G95)</f>
        <v>41470642</v>
      </c>
      <c r="J95" s="647">
        <f t="shared" si="8"/>
        <v>56940117.670000002</v>
      </c>
      <c r="K95" s="648">
        <f t="shared" si="12"/>
        <v>237.30223339682084</v>
      </c>
      <c r="L95" s="674">
        <f>+'2014 - plan'!G95</f>
        <v>0</v>
      </c>
      <c r="M95" s="269">
        <f>+'2014 - execution '!G95</f>
        <v>20459149.640000001</v>
      </c>
      <c r="N95" s="691">
        <f t="shared" si="14"/>
        <v>20459149.640000001</v>
      </c>
      <c r="O95" s="692" t="s">
        <v>367</v>
      </c>
      <c r="P95" s="269">
        <f>+'2013 - execution'!G95</f>
        <v>14499142</v>
      </c>
      <c r="Q95" s="645">
        <f t="shared" si="15"/>
        <v>5960007.6400000006</v>
      </c>
      <c r="R95" s="649" t="s">
        <v>367</v>
      </c>
      <c r="S95" s="537"/>
      <c r="T95" s="537"/>
      <c r="U95" s="537"/>
      <c r="V95" s="504"/>
      <c r="W95" s="504"/>
      <c r="X95" s="504"/>
      <c r="Y95" s="504"/>
      <c r="Z95" s="504"/>
      <c r="AA95" s="504"/>
      <c r="AB95" s="504"/>
      <c r="AC95" s="504"/>
      <c r="AD95" s="504"/>
      <c r="AE95" s="504"/>
      <c r="AF95" s="504"/>
      <c r="AG95" s="504"/>
      <c r="AH95" s="504"/>
      <c r="AI95" s="504"/>
      <c r="AJ95" s="504"/>
      <c r="AK95" s="504"/>
    </row>
    <row r="96" spans="1:37">
      <c r="A96" s="504"/>
      <c r="B96" s="504"/>
      <c r="C96" s="504"/>
      <c r="D96" s="506" t="str">
        <f>IF(MasterSheet!$A$1=1,MasterSheet!C412,MasterSheet!B412)</f>
        <v>Pozajmice i krediti iz inostranih izvora</v>
      </c>
      <c r="E96" s="644">
        <f>+SUM('2014 - plan'!D96:G96)</f>
        <v>75991858.620943144</v>
      </c>
      <c r="F96" s="644">
        <f>+'2014 - execution '!P96</f>
        <v>1170985.8699999999</v>
      </c>
      <c r="G96" s="645">
        <f t="shared" si="13"/>
        <v>-74820872.750943139</v>
      </c>
      <c r="H96" s="646"/>
      <c r="I96" s="644">
        <f>+SUM('2013 - execution'!D96:G96)</f>
        <v>38485500.560000002</v>
      </c>
      <c r="J96" s="647">
        <f t="shared" si="8"/>
        <v>-37314514.690000005</v>
      </c>
      <c r="K96" s="648">
        <f t="shared" si="12"/>
        <v>3.0426676357616795</v>
      </c>
      <c r="L96" s="674">
        <f>+'2014 - plan'!G96</f>
        <v>18997964.655235786</v>
      </c>
      <c r="M96" s="269">
        <f>+'2014 - execution '!G96</f>
        <v>457882.19</v>
      </c>
      <c r="N96" s="691">
        <f t="shared" si="14"/>
        <v>-18540082.465235785</v>
      </c>
      <c r="O96" s="692" t="s">
        <v>367</v>
      </c>
      <c r="P96" s="269">
        <f>+'2013 - execution'!G96</f>
        <v>772062.14</v>
      </c>
      <c r="Q96" s="645">
        <f t="shared" si="15"/>
        <v>-314179.95</v>
      </c>
      <c r="R96" s="649">
        <f t="shared" si="11"/>
        <v>-40.693609195757219</v>
      </c>
      <c r="S96" s="537"/>
      <c r="T96" s="537"/>
      <c r="U96" s="537"/>
      <c r="V96" s="504"/>
      <c r="W96" s="504"/>
      <c r="X96" s="504"/>
      <c r="Y96" s="504"/>
      <c r="Z96" s="504"/>
      <c r="AA96" s="504"/>
      <c r="AB96" s="504"/>
      <c r="AC96" s="504"/>
      <c r="AD96" s="504"/>
      <c r="AE96" s="504"/>
      <c r="AF96" s="504"/>
      <c r="AG96" s="504"/>
      <c r="AH96" s="504"/>
      <c r="AI96" s="504"/>
      <c r="AJ96" s="504"/>
      <c r="AK96" s="504"/>
    </row>
    <row r="97" spans="1:37">
      <c r="A97" s="504"/>
      <c r="B97" s="504"/>
      <c r="C97" s="504"/>
      <c r="D97" s="506" t="str">
        <f>IF(MasterSheet!$A$1=1,MasterSheet!C414,MasterSheet!B414)</f>
        <v>Prihodi od privatizacije</v>
      </c>
      <c r="E97" s="644">
        <f>+SUM('2014 - plan'!D97:G97)</f>
        <v>1666666.6666666667</v>
      </c>
      <c r="F97" s="644">
        <f>+'2014 - execution '!P97</f>
        <v>651707.17999999993</v>
      </c>
      <c r="G97" s="645">
        <f t="shared" si="13"/>
        <v>-1014959.4866666668</v>
      </c>
      <c r="H97" s="646">
        <f t="shared" si="16"/>
        <v>39.102430799999993</v>
      </c>
      <c r="I97" s="644">
        <f>+SUM('2013 - execution'!D97:G97)</f>
        <v>178178.41</v>
      </c>
      <c r="J97" s="647">
        <f t="shared" si="8"/>
        <v>473528.7699999999</v>
      </c>
      <c r="K97" s="648">
        <f t="shared" si="12"/>
        <v>365.76102570451712</v>
      </c>
      <c r="L97" s="674">
        <f>+'2014 - plan'!G97</f>
        <v>416666.66666666669</v>
      </c>
      <c r="M97" s="269">
        <f>+'2014 - execution '!G97</f>
        <v>57269.99</v>
      </c>
      <c r="N97" s="691">
        <f t="shared" si="14"/>
        <v>-359396.6766666667</v>
      </c>
      <c r="O97" s="692" t="s">
        <v>367</v>
      </c>
      <c r="P97" s="269">
        <f>+'2013 - execution'!G97</f>
        <v>120350.94</v>
      </c>
      <c r="Q97" s="645">
        <f t="shared" si="15"/>
        <v>-63080.950000000004</v>
      </c>
      <c r="R97" s="649">
        <f t="shared" si="11"/>
        <v>-52.414173084148743</v>
      </c>
      <c r="S97" s="537"/>
      <c r="T97" s="537"/>
      <c r="U97" s="537"/>
      <c r="V97" s="504"/>
      <c r="W97" s="504"/>
      <c r="X97" s="504"/>
      <c r="Y97" s="504"/>
      <c r="Z97" s="504"/>
      <c r="AA97" s="504"/>
      <c r="AB97" s="504"/>
      <c r="AC97" s="504"/>
      <c r="AD97" s="504"/>
      <c r="AE97" s="504"/>
      <c r="AF97" s="504"/>
      <c r="AG97" s="504"/>
      <c r="AH97" s="504"/>
      <c r="AI97" s="504"/>
      <c r="AJ97" s="504"/>
      <c r="AK97" s="504"/>
    </row>
    <row r="98" spans="1:37" ht="13.5" thickBot="1">
      <c r="A98" s="504"/>
      <c r="B98" s="504"/>
      <c r="C98" s="504"/>
      <c r="D98" s="561" t="str">
        <f>IF(MasterSheet!$A$1=1,MasterSheet!C415,MasterSheet!B415)</f>
        <v>Povećanje/smanjenje depozita</v>
      </c>
      <c r="E98" s="355">
        <f>+SUM('2014 - plan'!D98:G98)</f>
        <v>84885216.299630225</v>
      </c>
      <c r="F98" s="355">
        <f>+'2014 - execution '!P98</f>
        <v>18895063.49000008</v>
      </c>
      <c r="G98" s="424">
        <f t="shared" si="13"/>
        <v>-65990152.809630141</v>
      </c>
      <c r="H98" s="425" t="s">
        <v>367</v>
      </c>
      <c r="I98" s="355">
        <f>+SUM('2013 - execution'!D98:G98)</f>
        <v>33752379.362757213</v>
      </c>
      <c r="J98" s="426">
        <f t="shared" si="8"/>
        <v>-14857315.872757133</v>
      </c>
      <c r="K98" s="427" t="s">
        <v>367</v>
      </c>
      <c r="L98" s="693">
        <f>+'2014 - plan'!G98</f>
        <v>-622714.65475707874</v>
      </c>
      <c r="M98" s="305">
        <f>+'2014 - execution '!G98</f>
        <v>31326055.730000027</v>
      </c>
      <c r="N98" s="446">
        <f t="shared" si="14"/>
        <v>31948770.384757105</v>
      </c>
      <c r="O98" s="447">
        <f t="shared" si="10"/>
        <v>-5130.5634355466282</v>
      </c>
      <c r="P98" s="305">
        <f>+'2013 - execution'!G98</f>
        <v>8251308.9032593127</v>
      </c>
      <c r="Q98" s="424">
        <f t="shared" si="15"/>
        <v>23074746.826740712</v>
      </c>
      <c r="R98" s="447">
        <f t="shared" si="11"/>
        <v>279.64953315014134</v>
      </c>
      <c r="S98" s="398"/>
      <c r="T98" s="398"/>
      <c r="U98" s="398"/>
      <c r="V98" s="504"/>
      <c r="W98" s="504"/>
      <c r="X98" s="504"/>
      <c r="Y98" s="504"/>
      <c r="Z98" s="504"/>
      <c r="AA98" s="504"/>
      <c r="AB98" s="504"/>
      <c r="AC98" s="504"/>
      <c r="AD98" s="504"/>
      <c r="AE98" s="504"/>
      <c r="AF98" s="504"/>
      <c r="AG98" s="504"/>
      <c r="AH98" s="504"/>
      <c r="AI98" s="504"/>
      <c r="AJ98" s="504"/>
      <c r="AK98" s="504"/>
    </row>
    <row r="99" spans="1:37" ht="13.5" thickTop="1">
      <c r="A99" s="504"/>
      <c r="B99" s="504"/>
      <c r="C99" s="504"/>
      <c r="D99" s="562" t="str">
        <f>IF(MasterSheet!$A$1=1,MasterSheet!C416,MasterSheet!B416)</f>
        <v>Izvor: Ministarstvo finansija Crne Gore</v>
      </c>
      <c r="E99" s="504"/>
      <c r="F99" s="504"/>
      <c r="G99" s="504"/>
      <c r="H99" s="504"/>
      <c r="J99" s="504"/>
      <c r="K99" s="504"/>
      <c r="L99" s="504"/>
      <c r="M99" s="504"/>
      <c r="N99" s="504"/>
      <c r="O99" s="504"/>
      <c r="P99" s="526"/>
      <c r="Q99" s="504"/>
      <c r="R99" s="504"/>
      <c r="S99" s="504"/>
      <c r="T99" s="504"/>
      <c r="U99" s="504"/>
      <c r="V99" s="504"/>
      <c r="W99" s="504"/>
      <c r="X99" s="504"/>
      <c r="Y99" s="504"/>
      <c r="Z99" s="504"/>
      <c r="AA99" s="504"/>
      <c r="AB99" s="504"/>
      <c r="AC99" s="504"/>
      <c r="AD99" s="504"/>
      <c r="AE99" s="504"/>
      <c r="AF99" s="504"/>
      <c r="AG99" s="504"/>
      <c r="AH99" s="504"/>
      <c r="AI99" s="504"/>
      <c r="AJ99" s="504"/>
      <c r="AK99" s="504"/>
    </row>
    <row r="100" spans="1:37">
      <c r="A100" s="504"/>
      <c r="B100" s="504"/>
      <c r="C100" s="504"/>
      <c r="D100" s="504"/>
      <c r="E100" s="504"/>
      <c r="F100" s="504"/>
      <c r="G100" s="504"/>
      <c r="H100" s="504"/>
      <c r="I100" s="504"/>
      <c r="J100" s="504"/>
      <c r="K100" s="504"/>
      <c r="L100" s="504"/>
      <c r="M100" s="504"/>
      <c r="N100" s="504"/>
      <c r="O100" s="504"/>
      <c r="P100" s="504"/>
      <c r="Q100" s="504"/>
      <c r="R100" s="504"/>
      <c r="S100" s="504"/>
      <c r="T100" s="504"/>
      <c r="U100" s="504"/>
      <c r="V100" s="504"/>
      <c r="W100" s="504"/>
      <c r="X100" s="504"/>
      <c r="Y100" s="504"/>
      <c r="Z100" s="504"/>
      <c r="AA100" s="504"/>
      <c r="AB100" s="504"/>
      <c r="AC100" s="504"/>
      <c r="AD100" s="504"/>
      <c r="AE100" s="504"/>
      <c r="AF100" s="504"/>
      <c r="AG100" s="504"/>
      <c r="AH100" s="504"/>
      <c r="AI100" s="504"/>
      <c r="AJ100" s="504"/>
      <c r="AK100" s="504"/>
    </row>
    <row r="101" spans="1:37">
      <c r="A101" s="504"/>
      <c r="B101" s="504"/>
      <c r="C101" s="504"/>
      <c r="D101" s="504"/>
      <c r="E101" s="504"/>
      <c r="F101" s="504"/>
      <c r="G101" s="504"/>
      <c r="H101" s="520"/>
      <c r="I101" s="504"/>
      <c r="J101" s="504"/>
      <c r="K101" s="504"/>
      <c r="L101" s="504"/>
      <c r="M101" s="504"/>
      <c r="N101" s="504"/>
      <c r="O101" s="504"/>
      <c r="P101" s="504"/>
      <c r="Q101" s="504"/>
      <c r="R101" s="504"/>
      <c r="S101" s="504"/>
      <c r="T101" s="504"/>
      <c r="U101" s="504"/>
      <c r="V101" s="504"/>
      <c r="W101" s="504"/>
      <c r="X101" s="504"/>
      <c r="Y101" s="504"/>
      <c r="Z101" s="504"/>
      <c r="AA101" s="504"/>
      <c r="AB101" s="504"/>
      <c r="AC101" s="504"/>
      <c r="AD101" s="504"/>
      <c r="AE101" s="504"/>
      <c r="AF101" s="504"/>
      <c r="AG101" s="504"/>
      <c r="AH101" s="504"/>
      <c r="AI101" s="504"/>
      <c r="AJ101" s="504"/>
      <c r="AK101" s="504"/>
    </row>
    <row r="102" spans="1:37">
      <c r="A102" s="504"/>
      <c r="B102" s="504"/>
      <c r="C102" s="504"/>
      <c r="D102" s="504"/>
      <c r="E102" s="504"/>
      <c r="F102" s="512"/>
      <c r="G102" s="512"/>
      <c r="H102" s="504"/>
      <c r="I102" s="504"/>
      <c r="J102" s="504"/>
      <c r="K102" s="504"/>
      <c r="L102" s="504"/>
      <c r="M102" s="504"/>
      <c r="N102" s="504"/>
      <c r="O102" s="504"/>
      <c r="P102" s="504"/>
      <c r="Q102" s="504"/>
      <c r="R102" s="504"/>
      <c r="S102" s="504"/>
      <c r="T102" s="504"/>
      <c r="U102" s="504"/>
      <c r="V102" s="504"/>
      <c r="W102" s="504"/>
      <c r="X102" s="504"/>
      <c r="Y102" s="504"/>
      <c r="Z102" s="504"/>
      <c r="AA102" s="504"/>
      <c r="AB102" s="504"/>
      <c r="AC102" s="504"/>
      <c r="AD102" s="504"/>
      <c r="AE102" s="504"/>
      <c r="AF102" s="504"/>
      <c r="AG102" s="504"/>
      <c r="AH102" s="504"/>
      <c r="AI102" s="504"/>
      <c r="AJ102" s="504"/>
      <c r="AK102" s="504"/>
    </row>
    <row r="103" spans="1:37">
      <c r="A103" s="504"/>
      <c r="B103" s="504"/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  <c r="M103" s="504"/>
      <c r="N103" s="504"/>
      <c r="O103" s="504"/>
      <c r="P103" s="504"/>
      <c r="Q103" s="504"/>
      <c r="R103" s="504"/>
      <c r="S103" s="504"/>
      <c r="T103" s="504"/>
      <c r="U103" s="504"/>
      <c r="V103" s="504"/>
      <c r="W103" s="504"/>
      <c r="X103" s="504"/>
      <c r="Y103" s="504"/>
      <c r="Z103" s="504"/>
      <c r="AA103" s="504"/>
      <c r="AB103" s="504"/>
      <c r="AC103" s="504"/>
      <c r="AD103" s="504"/>
      <c r="AE103" s="504"/>
      <c r="AF103" s="504"/>
      <c r="AG103" s="504"/>
      <c r="AH103" s="504"/>
      <c r="AI103" s="504"/>
      <c r="AJ103" s="504"/>
      <c r="AK103" s="504"/>
    </row>
    <row r="104" spans="1:37">
      <c r="A104" s="504"/>
      <c r="B104" s="504"/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  <c r="P104" s="504"/>
      <c r="Q104" s="504"/>
      <c r="R104" s="504"/>
      <c r="S104" s="504"/>
      <c r="T104" s="526"/>
      <c r="U104" s="504"/>
      <c r="V104" s="504"/>
      <c r="W104" s="504"/>
      <c r="X104" s="504"/>
      <c r="Y104" s="504"/>
      <c r="Z104" s="504"/>
      <c r="AA104" s="504"/>
      <c r="AB104" s="504"/>
      <c r="AC104" s="504"/>
      <c r="AD104" s="504"/>
      <c r="AE104" s="504"/>
      <c r="AF104" s="504"/>
      <c r="AG104" s="504"/>
      <c r="AH104" s="504"/>
      <c r="AI104" s="504"/>
      <c r="AJ104" s="504"/>
      <c r="AK104" s="504"/>
    </row>
    <row r="105" spans="1:37">
      <c r="A105" s="504"/>
      <c r="B105" s="504"/>
      <c r="C105" s="504"/>
      <c r="D105" s="504"/>
      <c r="E105" s="504"/>
      <c r="F105" s="504"/>
      <c r="G105" s="504"/>
      <c r="H105" s="504"/>
      <c r="I105" s="504"/>
      <c r="J105" s="504"/>
      <c r="K105" s="504"/>
      <c r="L105" s="504"/>
      <c r="M105" s="504"/>
      <c r="N105" s="504"/>
      <c r="O105" s="504"/>
      <c r="P105" s="504"/>
      <c r="Q105" s="504"/>
      <c r="R105" s="504"/>
      <c r="S105" s="504"/>
      <c r="T105" s="504"/>
      <c r="U105" s="504"/>
      <c r="V105" s="504"/>
      <c r="W105" s="504"/>
      <c r="X105" s="504"/>
      <c r="Y105" s="504"/>
      <c r="Z105" s="504"/>
      <c r="AA105" s="504"/>
      <c r="AB105" s="504"/>
      <c r="AC105" s="504"/>
      <c r="AD105" s="504"/>
      <c r="AE105" s="504"/>
      <c r="AF105" s="504"/>
      <c r="AG105" s="504"/>
      <c r="AH105" s="504"/>
      <c r="AI105" s="504"/>
      <c r="AJ105" s="504"/>
      <c r="AK105" s="504"/>
    </row>
    <row r="106" spans="1:37">
      <c r="A106" s="504"/>
      <c r="B106" s="504"/>
      <c r="C106" s="504"/>
      <c r="D106" s="504"/>
      <c r="E106" s="504"/>
      <c r="F106" s="504"/>
      <c r="G106" s="504"/>
      <c r="H106" s="504"/>
      <c r="I106" s="504"/>
      <c r="J106" s="504"/>
      <c r="K106" s="504"/>
      <c r="L106" s="504"/>
      <c r="M106" s="504"/>
      <c r="N106" s="504"/>
      <c r="O106" s="504"/>
      <c r="P106" s="504"/>
      <c r="Q106" s="504"/>
      <c r="R106" s="504"/>
      <c r="S106" s="504"/>
      <c r="T106" s="504"/>
      <c r="U106" s="504"/>
      <c r="V106" s="504"/>
      <c r="W106" s="504"/>
      <c r="X106" s="504"/>
      <c r="Y106" s="504"/>
      <c r="Z106" s="504"/>
      <c r="AA106" s="504"/>
      <c r="AB106" s="504"/>
      <c r="AC106" s="504"/>
      <c r="AD106" s="504"/>
      <c r="AE106" s="504"/>
      <c r="AF106" s="504"/>
      <c r="AG106" s="504"/>
      <c r="AH106" s="504"/>
      <c r="AI106" s="504"/>
      <c r="AJ106" s="504"/>
      <c r="AK106" s="504"/>
    </row>
    <row r="107" spans="1:37">
      <c r="A107" s="504"/>
      <c r="B107" s="504"/>
      <c r="C107" s="504"/>
      <c r="D107" s="504"/>
      <c r="E107" s="504"/>
      <c r="F107" s="504"/>
      <c r="G107" s="504"/>
      <c r="H107" s="504"/>
      <c r="I107" s="504"/>
      <c r="J107" s="504"/>
      <c r="K107" s="504"/>
      <c r="L107" s="504"/>
      <c r="M107" s="504"/>
      <c r="N107" s="504"/>
      <c r="O107" s="504"/>
      <c r="P107" s="504"/>
      <c r="Q107" s="504"/>
      <c r="R107" s="504"/>
      <c r="S107" s="504"/>
      <c r="T107" s="504"/>
      <c r="U107" s="504"/>
      <c r="V107" s="504"/>
      <c r="W107" s="504"/>
      <c r="X107" s="504"/>
      <c r="Y107" s="504"/>
      <c r="Z107" s="504"/>
      <c r="AA107" s="504"/>
      <c r="AB107" s="504"/>
      <c r="AC107" s="504"/>
      <c r="AD107" s="504"/>
      <c r="AE107" s="504"/>
      <c r="AF107" s="504"/>
      <c r="AG107" s="504"/>
      <c r="AH107" s="504"/>
      <c r="AI107" s="504"/>
      <c r="AJ107" s="504"/>
      <c r="AK107" s="504"/>
    </row>
    <row r="108" spans="1:37">
      <c r="A108" s="504"/>
      <c r="B108" s="504"/>
      <c r="C108" s="504"/>
      <c r="D108" s="504"/>
      <c r="E108" s="504"/>
      <c r="F108" s="504"/>
      <c r="G108" s="504"/>
      <c r="H108" s="504"/>
      <c r="I108" s="504"/>
      <c r="J108" s="504"/>
      <c r="K108" s="504"/>
      <c r="L108" s="504"/>
      <c r="M108" s="504"/>
      <c r="N108" s="504"/>
      <c r="O108" s="504"/>
      <c r="P108" s="504"/>
      <c r="Q108" s="504"/>
      <c r="R108" s="504"/>
      <c r="S108" s="504"/>
      <c r="T108" s="504"/>
      <c r="U108" s="504"/>
      <c r="V108" s="504"/>
      <c r="W108" s="504"/>
      <c r="X108" s="504"/>
      <c r="Y108" s="504"/>
      <c r="Z108" s="504"/>
      <c r="AA108" s="504"/>
      <c r="AB108" s="504"/>
      <c r="AC108" s="504"/>
      <c r="AD108" s="504"/>
      <c r="AE108" s="504"/>
      <c r="AF108" s="504"/>
      <c r="AG108" s="504"/>
      <c r="AH108" s="504"/>
      <c r="AI108" s="504"/>
      <c r="AJ108" s="504"/>
      <c r="AK108" s="504"/>
    </row>
    <row r="109" spans="1:37">
      <c r="A109" s="504"/>
      <c r="B109" s="504"/>
      <c r="C109" s="504"/>
      <c r="D109" s="504"/>
      <c r="E109" s="504"/>
      <c r="F109" s="504"/>
      <c r="G109" s="504"/>
      <c r="H109" s="504"/>
      <c r="I109" s="504"/>
      <c r="J109" s="504"/>
      <c r="K109" s="504"/>
      <c r="L109" s="504"/>
      <c r="M109" s="504"/>
      <c r="N109" s="504"/>
      <c r="O109" s="504"/>
      <c r="P109" s="504"/>
      <c r="Q109" s="504"/>
      <c r="R109" s="504"/>
      <c r="S109" s="504"/>
      <c r="T109" s="504"/>
      <c r="U109" s="504"/>
      <c r="V109" s="504"/>
      <c r="W109" s="504"/>
      <c r="X109" s="504"/>
      <c r="Y109" s="504"/>
      <c r="Z109" s="504"/>
      <c r="AA109" s="504"/>
      <c r="AB109" s="504"/>
      <c r="AC109" s="504"/>
      <c r="AD109" s="504"/>
      <c r="AE109" s="504"/>
      <c r="AF109" s="504"/>
      <c r="AG109" s="504"/>
      <c r="AH109" s="504"/>
      <c r="AI109" s="504"/>
      <c r="AJ109" s="504"/>
      <c r="AK109" s="504"/>
    </row>
    <row r="110" spans="1:37">
      <c r="A110" s="504"/>
      <c r="B110" s="504"/>
      <c r="C110" s="504"/>
      <c r="D110" s="504"/>
      <c r="E110" s="504"/>
      <c r="F110" s="504"/>
      <c r="G110" s="504"/>
      <c r="H110" s="504"/>
      <c r="I110" s="504"/>
      <c r="J110" s="504"/>
      <c r="K110" s="504"/>
      <c r="L110" s="504"/>
      <c r="M110" s="504"/>
      <c r="N110" s="504"/>
      <c r="O110" s="504"/>
      <c r="P110" s="504"/>
      <c r="Q110" s="504"/>
      <c r="R110" s="504"/>
      <c r="S110" s="504"/>
      <c r="T110" s="504"/>
      <c r="U110" s="504"/>
      <c r="V110" s="504"/>
      <c r="W110" s="504"/>
      <c r="X110" s="504"/>
      <c r="Y110" s="504"/>
      <c r="Z110" s="504"/>
      <c r="AA110" s="504"/>
      <c r="AB110" s="504"/>
      <c r="AC110" s="504"/>
      <c r="AD110" s="504"/>
      <c r="AE110" s="504"/>
      <c r="AF110" s="504"/>
      <c r="AG110" s="504"/>
      <c r="AH110" s="504"/>
      <c r="AI110" s="504"/>
      <c r="AJ110" s="504"/>
      <c r="AK110" s="504"/>
    </row>
    <row r="111" spans="1:37">
      <c r="A111" s="504"/>
      <c r="B111" s="504"/>
      <c r="C111" s="504"/>
      <c r="D111" s="504"/>
      <c r="E111" s="504"/>
      <c r="F111" s="504"/>
      <c r="G111" s="504"/>
      <c r="H111" s="504"/>
      <c r="I111" s="504"/>
      <c r="J111" s="504"/>
      <c r="K111" s="504"/>
      <c r="L111" s="504"/>
      <c r="M111" s="504"/>
      <c r="N111" s="504"/>
      <c r="O111" s="504"/>
      <c r="P111" s="504"/>
      <c r="Q111" s="504"/>
      <c r="R111" s="504"/>
      <c r="S111" s="504"/>
      <c r="T111" s="504"/>
      <c r="U111" s="504"/>
      <c r="V111" s="504"/>
      <c r="W111" s="504"/>
      <c r="X111" s="504"/>
      <c r="Y111" s="504"/>
      <c r="Z111" s="504"/>
      <c r="AA111" s="504"/>
      <c r="AB111" s="504"/>
      <c r="AC111" s="504"/>
      <c r="AD111" s="504"/>
      <c r="AE111" s="504"/>
      <c r="AF111" s="504"/>
      <c r="AG111" s="504"/>
      <c r="AH111" s="504"/>
      <c r="AI111" s="504"/>
      <c r="AJ111" s="504"/>
      <c r="AK111" s="504"/>
    </row>
    <row r="112" spans="1:37">
      <c r="A112" s="504"/>
      <c r="B112" s="504"/>
      <c r="C112" s="504"/>
      <c r="D112" s="504"/>
      <c r="E112" s="504"/>
      <c r="F112" s="504"/>
      <c r="G112" s="504"/>
      <c r="H112" s="504"/>
      <c r="I112" s="504"/>
      <c r="J112" s="504"/>
      <c r="K112" s="504"/>
      <c r="L112" s="504"/>
      <c r="M112" s="504"/>
      <c r="N112" s="504"/>
      <c r="O112" s="504"/>
      <c r="P112" s="504"/>
      <c r="Q112" s="504"/>
      <c r="R112" s="504"/>
      <c r="S112" s="504"/>
      <c r="T112" s="504"/>
      <c r="U112" s="504"/>
      <c r="V112" s="504"/>
      <c r="W112" s="504"/>
      <c r="X112" s="504"/>
      <c r="Y112" s="504"/>
      <c r="Z112" s="504"/>
      <c r="AA112" s="504"/>
      <c r="AB112" s="504"/>
      <c r="AC112" s="504"/>
      <c r="AD112" s="504"/>
      <c r="AE112" s="504"/>
      <c r="AF112" s="504"/>
      <c r="AG112" s="504"/>
      <c r="AH112" s="504"/>
      <c r="AI112" s="504"/>
      <c r="AJ112" s="504"/>
      <c r="AK112" s="504"/>
    </row>
    <row r="113" spans="1:37">
      <c r="A113" s="504"/>
      <c r="B113" s="504"/>
      <c r="C113" s="504"/>
      <c r="D113" s="504"/>
      <c r="E113" s="504"/>
      <c r="F113" s="504"/>
      <c r="G113" s="504"/>
      <c r="H113" s="504"/>
      <c r="I113" s="504"/>
      <c r="J113" s="504"/>
      <c r="K113" s="504"/>
      <c r="L113" s="504"/>
      <c r="M113" s="504"/>
      <c r="N113" s="504"/>
      <c r="O113" s="504"/>
      <c r="P113" s="504"/>
      <c r="Q113" s="504"/>
      <c r="R113" s="504"/>
      <c r="S113" s="504"/>
      <c r="T113" s="504"/>
      <c r="U113" s="504"/>
      <c r="V113" s="504"/>
      <c r="W113" s="504"/>
      <c r="X113" s="504"/>
      <c r="Y113" s="504"/>
      <c r="Z113" s="504"/>
      <c r="AA113" s="504"/>
      <c r="AB113" s="504"/>
      <c r="AC113" s="504"/>
      <c r="AD113" s="504"/>
      <c r="AE113" s="504"/>
      <c r="AF113" s="504"/>
      <c r="AG113" s="504"/>
      <c r="AH113" s="504"/>
      <c r="AI113" s="504"/>
      <c r="AJ113" s="504"/>
      <c r="AK113" s="504"/>
    </row>
    <row r="114" spans="1:37">
      <c r="A114" s="504"/>
      <c r="B114" s="504"/>
      <c r="C114" s="504"/>
      <c r="D114" s="504"/>
      <c r="E114" s="504"/>
      <c r="F114" s="504"/>
      <c r="G114" s="504"/>
      <c r="H114" s="504"/>
      <c r="I114" s="504"/>
      <c r="J114" s="504"/>
      <c r="K114" s="504"/>
      <c r="L114" s="504"/>
      <c r="M114" s="504"/>
      <c r="N114" s="504"/>
      <c r="O114" s="504"/>
      <c r="P114" s="504"/>
      <c r="Q114" s="504"/>
      <c r="R114" s="504"/>
      <c r="S114" s="504"/>
      <c r="T114" s="504"/>
      <c r="U114" s="504"/>
      <c r="V114" s="504"/>
      <c r="W114" s="504"/>
      <c r="X114" s="504"/>
      <c r="Y114" s="504"/>
      <c r="Z114" s="504"/>
      <c r="AA114" s="504"/>
      <c r="AB114" s="504"/>
      <c r="AC114" s="504"/>
      <c r="AD114" s="504"/>
      <c r="AE114" s="504"/>
      <c r="AF114" s="504"/>
      <c r="AG114" s="504"/>
      <c r="AH114" s="504"/>
      <c r="AI114" s="504"/>
      <c r="AJ114" s="504"/>
      <c r="AK114" s="504"/>
    </row>
    <row r="115" spans="1:37">
      <c r="A115" s="504"/>
      <c r="B115" s="504"/>
      <c r="C115" s="504"/>
      <c r="D115" s="504"/>
      <c r="E115" s="504"/>
      <c r="F115" s="504"/>
      <c r="G115" s="504"/>
      <c r="H115" s="504"/>
      <c r="I115" s="504"/>
      <c r="J115" s="504"/>
      <c r="K115" s="504"/>
      <c r="L115" s="504"/>
      <c r="M115" s="504"/>
      <c r="N115" s="504"/>
      <c r="O115" s="504"/>
      <c r="P115" s="504"/>
      <c r="Q115" s="504"/>
      <c r="R115" s="504"/>
      <c r="S115" s="504"/>
      <c r="T115" s="504"/>
      <c r="U115" s="504"/>
      <c r="V115" s="504"/>
      <c r="W115" s="504"/>
      <c r="X115" s="504"/>
      <c r="Y115" s="504"/>
      <c r="Z115" s="504"/>
      <c r="AA115" s="504"/>
      <c r="AB115" s="504"/>
      <c r="AC115" s="504"/>
      <c r="AD115" s="504"/>
      <c r="AE115" s="504"/>
      <c r="AF115" s="504"/>
      <c r="AG115" s="504"/>
      <c r="AH115" s="504"/>
      <c r="AI115" s="504"/>
      <c r="AJ115" s="504"/>
      <c r="AK115" s="504"/>
    </row>
    <row r="116" spans="1:37">
      <c r="A116" s="504"/>
      <c r="B116" s="504"/>
      <c r="C116" s="504"/>
      <c r="D116" s="504"/>
      <c r="E116" s="504"/>
      <c r="F116" s="504"/>
      <c r="G116" s="504"/>
      <c r="H116" s="504"/>
      <c r="I116" s="504"/>
      <c r="J116" s="504"/>
      <c r="K116" s="504"/>
      <c r="L116" s="504"/>
      <c r="M116" s="504"/>
      <c r="N116" s="504"/>
      <c r="O116" s="504"/>
      <c r="P116" s="504"/>
      <c r="Q116" s="504"/>
      <c r="R116" s="504"/>
      <c r="S116" s="504"/>
      <c r="T116" s="504"/>
      <c r="U116" s="504"/>
      <c r="V116" s="504"/>
      <c r="W116" s="504"/>
      <c r="X116" s="504"/>
      <c r="Y116" s="504"/>
      <c r="Z116" s="504"/>
      <c r="AA116" s="504"/>
      <c r="AB116" s="504"/>
      <c r="AC116" s="504"/>
      <c r="AD116" s="504"/>
      <c r="AE116" s="504"/>
      <c r="AF116" s="504"/>
      <c r="AG116" s="504"/>
      <c r="AH116" s="504"/>
      <c r="AI116" s="504"/>
      <c r="AJ116" s="504"/>
      <c r="AK116" s="504"/>
    </row>
    <row r="117" spans="1:37">
      <c r="A117" s="504"/>
      <c r="B117" s="504"/>
      <c r="C117" s="504"/>
      <c r="D117" s="504"/>
      <c r="E117" s="504"/>
      <c r="F117" s="504"/>
      <c r="G117" s="504"/>
      <c r="H117" s="504"/>
      <c r="I117" s="504"/>
      <c r="J117" s="504"/>
      <c r="K117" s="504"/>
      <c r="L117" s="504"/>
      <c r="M117" s="504"/>
      <c r="N117" s="504"/>
      <c r="O117" s="504"/>
      <c r="P117" s="504"/>
      <c r="Q117" s="504"/>
      <c r="R117" s="504"/>
      <c r="S117" s="504"/>
      <c r="T117" s="504"/>
      <c r="U117" s="504"/>
      <c r="V117" s="504"/>
      <c r="W117" s="504"/>
      <c r="X117" s="504"/>
      <c r="Y117" s="504"/>
      <c r="Z117" s="504"/>
      <c r="AA117" s="504"/>
      <c r="AB117" s="504"/>
      <c r="AC117" s="504"/>
      <c r="AD117" s="504"/>
      <c r="AE117" s="504"/>
      <c r="AF117" s="504"/>
      <c r="AG117" s="504"/>
      <c r="AH117" s="504"/>
      <c r="AI117" s="504"/>
      <c r="AJ117" s="504"/>
      <c r="AK117" s="504"/>
    </row>
    <row r="118" spans="1:37">
      <c r="A118" s="504"/>
      <c r="B118" s="504"/>
      <c r="C118" s="504"/>
      <c r="D118" s="504"/>
      <c r="E118" s="504"/>
      <c r="F118" s="504"/>
      <c r="G118" s="504"/>
      <c r="H118" s="504"/>
      <c r="I118" s="504"/>
      <c r="J118" s="504"/>
      <c r="K118" s="504"/>
      <c r="L118" s="504"/>
      <c r="M118" s="504"/>
      <c r="N118" s="504"/>
      <c r="O118" s="504"/>
      <c r="P118" s="504"/>
      <c r="Q118" s="504"/>
      <c r="R118" s="504"/>
      <c r="S118" s="504"/>
      <c r="T118" s="504"/>
      <c r="U118" s="504"/>
      <c r="V118" s="504"/>
      <c r="W118" s="504"/>
      <c r="X118" s="504"/>
      <c r="Y118" s="504"/>
      <c r="Z118" s="504"/>
      <c r="AA118" s="504"/>
      <c r="AB118" s="504"/>
      <c r="AC118" s="504"/>
      <c r="AD118" s="504"/>
      <c r="AE118" s="504"/>
      <c r="AF118" s="504"/>
      <c r="AG118" s="504"/>
      <c r="AH118" s="504"/>
      <c r="AI118" s="504"/>
      <c r="AJ118" s="504"/>
      <c r="AK118" s="504"/>
    </row>
    <row r="119" spans="1:37">
      <c r="A119" s="504"/>
      <c r="B119" s="504"/>
      <c r="C119" s="504"/>
      <c r="D119" s="504"/>
      <c r="E119" s="504"/>
      <c r="F119" s="504"/>
      <c r="G119" s="504"/>
      <c r="H119" s="504"/>
      <c r="I119" s="504"/>
      <c r="J119" s="504"/>
      <c r="K119" s="504"/>
      <c r="L119" s="504"/>
      <c r="M119" s="504"/>
      <c r="N119" s="504"/>
      <c r="O119" s="504"/>
      <c r="P119" s="504"/>
      <c r="Q119" s="504"/>
      <c r="R119" s="504"/>
      <c r="S119" s="504"/>
      <c r="T119" s="504"/>
      <c r="U119" s="504"/>
      <c r="V119" s="504"/>
      <c r="W119" s="504"/>
      <c r="X119" s="504"/>
      <c r="Y119" s="504"/>
      <c r="Z119" s="504"/>
      <c r="AA119" s="504"/>
      <c r="AB119" s="504"/>
      <c r="AC119" s="504"/>
      <c r="AD119" s="504"/>
      <c r="AE119" s="504"/>
      <c r="AF119" s="504"/>
      <c r="AG119" s="504"/>
      <c r="AH119" s="504"/>
      <c r="AI119" s="504"/>
      <c r="AJ119" s="504"/>
      <c r="AK119" s="504"/>
    </row>
    <row r="120" spans="1:37">
      <c r="A120" s="504"/>
      <c r="B120" s="504"/>
      <c r="C120" s="504"/>
      <c r="D120" s="504"/>
      <c r="E120" s="504"/>
      <c r="F120" s="504"/>
      <c r="G120" s="504"/>
      <c r="H120" s="504"/>
      <c r="I120" s="504"/>
      <c r="J120" s="504"/>
      <c r="K120" s="504"/>
      <c r="L120" s="504"/>
      <c r="M120" s="504"/>
      <c r="N120" s="504"/>
      <c r="O120" s="504"/>
      <c r="P120" s="504"/>
      <c r="Q120" s="504"/>
      <c r="R120" s="504"/>
      <c r="S120" s="504"/>
      <c r="T120" s="504"/>
      <c r="U120" s="504"/>
      <c r="V120" s="504"/>
      <c r="W120" s="504"/>
      <c r="X120" s="504"/>
      <c r="Y120" s="504"/>
      <c r="Z120" s="504"/>
      <c r="AA120" s="504"/>
      <c r="AB120" s="504"/>
      <c r="AC120" s="504"/>
      <c r="AD120" s="504"/>
      <c r="AE120" s="504"/>
      <c r="AF120" s="504"/>
      <c r="AG120" s="504"/>
      <c r="AH120" s="504"/>
      <c r="AI120" s="504"/>
      <c r="AJ120" s="504"/>
      <c r="AK120" s="504"/>
    </row>
    <row r="121" spans="1:37">
      <c r="A121" s="504"/>
      <c r="B121" s="504"/>
      <c r="C121" s="504"/>
      <c r="D121" s="504"/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/>
      <c r="P121" s="504"/>
      <c r="Q121" s="504"/>
      <c r="R121" s="504"/>
      <c r="S121" s="504"/>
      <c r="T121" s="504"/>
      <c r="U121" s="504"/>
      <c r="V121" s="504"/>
      <c r="W121" s="504"/>
      <c r="X121" s="504"/>
      <c r="Y121" s="504"/>
      <c r="Z121" s="504"/>
      <c r="AA121" s="504"/>
      <c r="AB121" s="504"/>
      <c r="AC121" s="504"/>
      <c r="AD121" s="504"/>
      <c r="AE121" s="504"/>
      <c r="AF121" s="504"/>
      <c r="AG121" s="504"/>
      <c r="AH121" s="504"/>
      <c r="AI121" s="504"/>
      <c r="AJ121" s="504"/>
      <c r="AK121" s="504"/>
    </row>
    <row r="122" spans="1:37">
      <c r="A122" s="504"/>
      <c r="B122" s="504"/>
      <c r="C122" s="504"/>
      <c r="D122" s="504"/>
      <c r="E122" s="504"/>
      <c r="F122" s="504"/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504"/>
      <c r="R122" s="504"/>
      <c r="S122" s="504"/>
      <c r="T122" s="504"/>
      <c r="U122" s="504"/>
      <c r="V122" s="504"/>
      <c r="W122" s="504"/>
      <c r="X122" s="504"/>
      <c r="Y122" s="504"/>
      <c r="Z122" s="504"/>
      <c r="AA122" s="504"/>
      <c r="AB122" s="504"/>
      <c r="AC122" s="504"/>
      <c r="AD122" s="504"/>
      <c r="AE122" s="504"/>
      <c r="AF122" s="504"/>
      <c r="AG122" s="504"/>
      <c r="AH122" s="504"/>
      <c r="AI122" s="504"/>
      <c r="AJ122" s="504"/>
      <c r="AK122" s="504"/>
    </row>
    <row r="123" spans="1:37">
      <c r="A123" s="504"/>
      <c r="B123" s="504"/>
      <c r="C123" s="504"/>
      <c r="D123" s="504"/>
      <c r="E123" s="504"/>
      <c r="F123" s="504"/>
      <c r="G123" s="504"/>
      <c r="H123" s="504"/>
      <c r="I123" s="504"/>
      <c r="J123" s="504"/>
      <c r="K123" s="504"/>
      <c r="L123" s="504"/>
      <c r="M123" s="504"/>
      <c r="N123" s="504"/>
      <c r="O123" s="504"/>
      <c r="P123" s="504"/>
      <c r="Q123" s="504"/>
      <c r="R123" s="504"/>
      <c r="S123" s="504"/>
      <c r="T123" s="504"/>
      <c r="U123" s="504"/>
      <c r="V123" s="504"/>
      <c r="W123" s="504"/>
      <c r="X123" s="504"/>
      <c r="Y123" s="504"/>
      <c r="Z123" s="504"/>
      <c r="AA123" s="504"/>
      <c r="AB123" s="504"/>
      <c r="AC123" s="504"/>
      <c r="AD123" s="504"/>
      <c r="AE123" s="504"/>
      <c r="AF123" s="504"/>
      <c r="AG123" s="504"/>
      <c r="AH123" s="504"/>
      <c r="AI123" s="504"/>
      <c r="AJ123" s="504"/>
      <c r="AK123" s="504"/>
    </row>
    <row r="124" spans="1:37">
      <c r="A124" s="504"/>
      <c r="B124" s="504"/>
      <c r="C124" s="504"/>
      <c r="D124" s="504"/>
      <c r="E124" s="504"/>
      <c r="F124" s="504"/>
      <c r="G124" s="504"/>
      <c r="H124" s="504"/>
      <c r="I124" s="504"/>
      <c r="J124" s="504"/>
      <c r="K124" s="504"/>
      <c r="L124" s="504"/>
      <c r="M124" s="504"/>
      <c r="N124" s="504"/>
      <c r="O124" s="504"/>
      <c r="P124" s="504"/>
      <c r="Q124" s="504"/>
      <c r="R124" s="504"/>
      <c r="S124" s="504"/>
      <c r="T124" s="504"/>
      <c r="U124" s="504"/>
      <c r="V124" s="504"/>
      <c r="W124" s="504"/>
      <c r="X124" s="504"/>
      <c r="Y124" s="504"/>
      <c r="Z124" s="504"/>
      <c r="AA124" s="504"/>
      <c r="AB124" s="504"/>
      <c r="AC124" s="504"/>
      <c r="AD124" s="504"/>
      <c r="AE124" s="504"/>
      <c r="AF124" s="504"/>
      <c r="AG124" s="504"/>
      <c r="AH124" s="504"/>
      <c r="AI124" s="504"/>
      <c r="AJ124" s="504"/>
      <c r="AK124" s="504"/>
    </row>
    <row r="125" spans="1:37">
      <c r="A125" s="504"/>
      <c r="B125" s="504"/>
      <c r="C125" s="504"/>
      <c r="D125" s="504"/>
      <c r="E125" s="504"/>
      <c r="F125" s="504"/>
      <c r="G125" s="504"/>
      <c r="H125" s="504"/>
      <c r="I125" s="504"/>
      <c r="J125" s="504"/>
      <c r="K125" s="504"/>
      <c r="L125" s="504"/>
      <c r="M125" s="504"/>
      <c r="N125" s="504"/>
      <c r="O125" s="504"/>
      <c r="P125" s="504"/>
      <c r="Q125" s="504"/>
      <c r="R125" s="504"/>
      <c r="S125" s="504"/>
      <c r="T125" s="504"/>
      <c r="U125" s="504"/>
      <c r="V125" s="504"/>
      <c r="W125" s="504"/>
      <c r="X125" s="504"/>
      <c r="Y125" s="504"/>
      <c r="Z125" s="504"/>
      <c r="AA125" s="504"/>
      <c r="AB125" s="504"/>
      <c r="AC125" s="504"/>
      <c r="AD125" s="504"/>
      <c r="AE125" s="504"/>
      <c r="AF125" s="504"/>
      <c r="AG125" s="504"/>
      <c r="AH125" s="504"/>
      <c r="AI125" s="504"/>
      <c r="AJ125" s="504"/>
      <c r="AK125" s="504"/>
    </row>
    <row r="126" spans="1:37">
      <c r="A126" s="504"/>
      <c r="B126" s="504"/>
      <c r="C126" s="504"/>
      <c r="D126" s="504"/>
      <c r="E126" s="504"/>
      <c r="F126" s="504"/>
      <c r="G126" s="504"/>
      <c r="H126" s="504"/>
      <c r="I126" s="504"/>
      <c r="J126" s="504"/>
      <c r="K126" s="504"/>
      <c r="L126" s="504"/>
      <c r="M126" s="504"/>
      <c r="N126" s="504"/>
      <c r="O126" s="504"/>
      <c r="P126" s="504"/>
      <c r="Q126" s="504"/>
      <c r="R126" s="504"/>
      <c r="S126" s="504"/>
      <c r="T126" s="504"/>
      <c r="U126" s="504"/>
      <c r="V126" s="504"/>
      <c r="W126" s="504"/>
      <c r="X126" s="504"/>
      <c r="Y126" s="504"/>
      <c r="Z126" s="504"/>
      <c r="AA126" s="504"/>
      <c r="AB126" s="504"/>
      <c r="AC126" s="504"/>
      <c r="AD126" s="504"/>
      <c r="AE126" s="504"/>
      <c r="AF126" s="504"/>
      <c r="AG126" s="504"/>
      <c r="AH126" s="504"/>
      <c r="AI126" s="504"/>
      <c r="AJ126" s="504"/>
      <c r="AK126" s="504"/>
    </row>
    <row r="127" spans="1:37">
      <c r="A127" s="504"/>
      <c r="B127" s="504"/>
      <c r="C127" s="504"/>
      <c r="D127" s="504"/>
      <c r="E127" s="504"/>
      <c r="F127" s="504"/>
      <c r="G127" s="504"/>
      <c r="H127" s="504"/>
      <c r="I127" s="504"/>
      <c r="J127" s="504"/>
      <c r="K127" s="504"/>
      <c r="L127" s="504"/>
      <c r="M127" s="504"/>
      <c r="N127" s="504"/>
      <c r="O127" s="504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04"/>
      <c r="AA127" s="504"/>
      <c r="AB127" s="504"/>
      <c r="AC127" s="504"/>
      <c r="AD127" s="504"/>
      <c r="AE127" s="504"/>
      <c r="AF127" s="504"/>
      <c r="AG127" s="504"/>
      <c r="AH127" s="504"/>
      <c r="AI127" s="504"/>
      <c r="AJ127" s="504"/>
      <c r="AK127" s="504"/>
    </row>
    <row r="128" spans="1:37">
      <c r="A128" s="504"/>
      <c r="B128" s="504"/>
      <c r="C128" s="504"/>
      <c r="D128" s="504"/>
      <c r="E128" s="504"/>
      <c r="F128" s="504"/>
      <c r="G128" s="504"/>
      <c r="H128" s="504"/>
      <c r="I128" s="504"/>
      <c r="J128" s="504"/>
      <c r="K128" s="504"/>
      <c r="L128" s="504"/>
      <c r="M128" s="504"/>
      <c r="N128" s="504"/>
      <c r="O128" s="504"/>
      <c r="P128" s="504"/>
      <c r="Q128" s="504"/>
      <c r="R128" s="504"/>
      <c r="S128" s="504"/>
      <c r="T128" s="504"/>
      <c r="U128" s="504"/>
      <c r="V128" s="504"/>
      <c r="W128" s="504"/>
      <c r="X128" s="504"/>
      <c r="Y128" s="504"/>
      <c r="Z128" s="504"/>
      <c r="AA128" s="504"/>
      <c r="AB128" s="504"/>
      <c r="AC128" s="504"/>
      <c r="AD128" s="504"/>
      <c r="AE128" s="504"/>
      <c r="AF128" s="504"/>
      <c r="AG128" s="504"/>
      <c r="AH128" s="504"/>
      <c r="AI128" s="504"/>
      <c r="AJ128" s="504"/>
      <c r="AK128" s="504"/>
    </row>
    <row r="129" spans="1:37">
      <c r="A129" s="504"/>
      <c r="B129" s="504"/>
      <c r="C129" s="504"/>
      <c r="D129" s="504"/>
      <c r="E129" s="504"/>
      <c r="F129" s="504"/>
      <c r="G129" s="504"/>
      <c r="H129" s="504"/>
      <c r="I129" s="504"/>
      <c r="J129" s="504"/>
      <c r="K129" s="504"/>
      <c r="L129" s="504"/>
      <c r="M129" s="504"/>
      <c r="N129" s="504"/>
      <c r="O129" s="504"/>
      <c r="P129" s="504"/>
      <c r="Q129" s="504"/>
      <c r="R129" s="504"/>
      <c r="S129" s="504"/>
      <c r="T129" s="504"/>
      <c r="U129" s="504"/>
      <c r="V129" s="504"/>
      <c r="W129" s="504"/>
      <c r="X129" s="504"/>
      <c r="Y129" s="504"/>
      <c r="Z129" s="504"/>
      <c r="AA129" s="504"/>
      <c r="AB129" s="504"/>
      <c r="AC129" s="504"/>
      <c r="AD129" s="504"/>
      <c r="AE129" s="504"/>
      <c r="AF129" s="504"/>
      <c r="AG129" s="504"/>
      <c r="AH129" s="504"/>
      <c r="AI129" s="504"/>
      <c r="AJ129" s="504"/>
      <c r="AK129" s="504"/>
    </row>
    <row r="130" spans="1:37">
      <c r="A130" s="504"/>
      <c r="B130" s="504"/>
      <c r="C130" s="504"/>
      <c r="D130" s="504"/>
      <c r="E130" s="504"/>
      <c r="F130" s="504"/>
      <c r="G130" s="504"/>
      <c r="H130" s="504"/>
      <c r="I130" s="504"/>
      <c r="J130" s="504"/>
      <c r="K130" s="504"/>
      <c r="L130" s="504"/>
      <c r="M130" s="504"/>
      <c r="N130" s="504"/>
      <c r="O130" s="504"/>
      <c r="P130" s="504"/>
      <c r="Q130" s="504"/>
      <c r="R130" s="504"/>
      <c r="S130" s="504"/>
      <c r="T130" s="504"/>
      <c r="U130" s="504"/>
      <c r="V130" s="504"/>
      <c r="W130" s="504"/>
      <c r="X130" s="504"/>
      <c r="Y130" s="504"/>
      <c r="Z130" s="504"/>
      <c r="AA130" s="504"/>
      <c r="AB130" s="504"/>
      <c r="AC130" s="504"/>
      <c r="AD130" s="504"/>
      <c r="AE130" s="504"/>
      <c r="AF130" s="504"/>
      <c r="AG130" s="504"/>
      <c r="AH130" s="504"/>
      <c r="AI130" s="504"/>
      <c r="AJ130" s="504"/>
      <c r="AK130" s="504"/>
    </row>
    <row r="131" spans="1:37">
      <c r="A131" s="504"/>
      <c r="B131" s="504"/>
      <c r="C131" s="504"/>
      <c r="D131" s="504"/>
      <c r="E131" s="504"/>
      <c r="F131" s="504"/>
      <c r="G131" s="504"/>
      <c r="H131" s="504"/>
      <c r="I131" s="504"/>
      <c r="J131" s="504"/>
      <c r="K131" s="504"/>
      <c r="L131" s="504"/>
      <c r="M131" s="504"/>
      <c r="N131" s="504"/>
      <c r="O131" s="504"/>
      <c r="P131" s="504"/>
      <c r="Q131" s="504"/>
      <c r="R131" s="504"/>
      <c r="S131" s="504"/>
      <c r="T131" s="504"/>
      <c r="U131" s="504"/>
      <c r="V131" s="504"/>
      <c r="W131" s="504"/>
      <c r="X131" s="504"/>
      <c r="Y131" s="504"/>
      <c r="Z131" s="504"/>
      <c r="AA131" s="504"/>
      <c r="AB131" s="504"/>
      <c r="AC131" s="504"/>
      <c r="AD131" s="504"/>
      <c r="AE131" s="504"/>
      <c r="AF131" s="504"/>
      <c r="AG131" s="504"/>
      <c r="AH131" s="504"/>
      <c r="AI131" s="504"/>
      <c r="AJ131" s="504"/>
      <c r="AK131" s="504"/>
    </row>
    <row r="132" spans="1:37">
      <c r="A132" s="504"/>
      <c r="B132" s="504"/>
      <c r="C132" s="504"/>
      <c r="D132" s="504"/>
      <c r="E132" s="504"/>
      <c r="F132" s="504"/>
      <c r="G132" s="504"/>
      <c r="H132" s="504"/>
      <c r="I132" s="504"/>
      <c r="J132" s="504"/>
      <c r="K132" s="504"/>
      <c r="L132" s="504"/>
      <c r="M132" s="504"/>
      <c r="N132" s="504"/>
      <c r="O132" s="504"/>
      <c r="P132" s="504"/>
      <c r="Q132" s="504"/>
      <c r="R132" s="504"/>
      <c r="S132" s="504"/>
      <c r="T132" s="504"/>
      <c r="U132" s="504"/>
      <c r="V132" s="504"/>
      <c r="W132" s="504"/>
      <c r="X132" s="504"/>
      <c r="Y132" s="504"/>
      <c r="Z132" s="504"/>
      <c r="AA132" s="504"/>
      <c r="AB132" s="504"/>
      <c r="AC132" s="504"/>
      <c r="AD132" s="504"/>
      <c r="AE132" s="504"/>
      <c r="AF132" s="504"/>
      <c r="AG132" s="504"/>
      <c r="AH132" s="504"/>
      <c r="AI132" s="504"/>
      <c r="AJ132" s="504"/>
      <c r="AK132" s="504"/>
    </row>
    <row r="133" spans="1:37">
      <c r="A133" s="504"/>
      <c r="B133" s="504"/>
      <c r="C133" s="504"/>
      <c r="D133" s="504"/>
      <c r="E133" s="504"/>
      <c r="F133" s="504"/>
      <c r="G133" s="504"/>
      <c r="H133" s="504"/>
      <c r="I133" s="504"/>
      <c r="J133" s="504"/>
      <c r="K133" s="504"/>
      <c r="L133" s="504"/>
      <c r="M133" s="504"/>
      <c r="N133" s="504"/>
      <c r="O133" s="504"/>
      <c r="P133" s="504"/>
      <c r="Q133" s="504"/>
      <c r="R133" s="504"/>
      <c r="S133" s="504"/>
      <c r="T133" s="504"/>
      <c r="U133" s="504"/>
      <c r="V133" s="504"/>
      <c r="W133" s="504"/>
      <c r="X133" s="504"/>
      <c r="Y133" s="504"/>
      <c r="Z133" s="504"/>
      <c r="AA133" s="504"/>
      <c r="AB133" s="504"/>
      <c r="AC133" s="504"/>
      <c r="AD133" s="504"/>
      <c r="AE133" s="504"/>
      <c r="AF133" s="504"/>
      <c r="AG133" s="504"/>
      <c r="AH133" s="504"/>
      <c r="AI133" s="504"/>
      <c r="AJ133" s="504"/>
      <c r="AK133" s="504"/>
    </row>
    <row r="134" spans="1:37">
      <c r="A134" s="504"/>
      <c r="B134" s="504"/>
      <c r="C134" s="504"/>
      <c r="D134" s="504"/>
      <c r="E134" s="504"/>
      <c r="F134" s="504"/>
      <c r="G134" s="504"/>
      <c r="H134" s="504"/>
      <c r="I134" s="504"/>
      <c r="J134" s="504"/>
      <c r="K134" s="504"/>
      <c r="L134" s="504"/>
      <c r="M134" s="504"/>
      <c r="N134" s="504"/>
      <c r="O134" s="504"/>
      <c r="P134" s="504"/>
      <c r="Q134" s="504"/>
      <c r="R134" s="504"/>
      <c r="S134" s="504"/>
      <c r="T134" s="504"/>
      <c r="U134" s="504"/>
      <c r="V134" s="504"/>
      <c r="W134" s="504"/>
      <c r="X134" s="504"/>
      <c r="Y134" s="504"/>
      <c r="Z134" s="504"/>
      <c r="AA134" s="504"/>
      <c r="AB134" s="504"/>
      <c r="AC134" s="504"/>
      <c r="AD134" s="504"/>
      <c r="AE134" s="504"/>
      <c r="AF134" s="504"/>
      <c r="AG134" s="504"/>
      <c r="AH134" s="504"/>
      <c r="AI134" s="504"/>
      <c r="AJ134" s="504"/>
      <c r="AK134" s="504"/>
    </row>
    <row r="135" spans="1:37">
      <c r="A135" s="504"/>
      <c r="B135" s="504"/>
      <c r="C135" s="504"/>
      <c r="D135" s="504"/>
      <c r="E135" s="504"/>
      <c r="F135" s="504"/>
      <c r="G135" s="504"/>
      <c r="H135" s="504"/>
      <c r="I135" s="504"/>
      <c r="J135" s="504"/>
      <c r="K135" s="504"/>
      <c r="L135" s="504"/>
      <c r="M135" s="504"/>
      <c r="N135" s="504"/>
      <c r="O135" s="504"/>
      <c r="P135" s="504"/>
      <c r="Q135" s="504"/>
      <c r="R135" s="504"/>
      <c r="S135" s="504"/>
      <c r="T135" s="504"/>
      <c r="U135" s="504"/>
      <c r="V135" s="504"/>
      <c r="W135" s="504"/>
      <c r="X135" s="504"/>
      <c r="Y135" s="504"/>
      <c r="Z135" s="504"/>
      <c r="AA135" s="504"/>
      <c r="AB135" s="504"/>
      <c r="AC135" s="504"/>
      <c r="AD135" s="504"/>
      <c r="AE135" s="504"/>
      <c r="AF135" s="504"/>
      <c r="AG135" s="504"/>
      <c r="AH135" s="504"/>
      <c r="AI135" s="504"/>
      <c r="AJ135" s="504"/>
      <c r="AK135" s="504"/>
    </row>
    <row r="136" spans="1:37">
      <c r="A136" s="504"/>
      <c r="B136" s="504"/>
      <c r="C136" s="504"/>
      <c r="D136" s="504"/>
      <c r="E136" s="504"/>
      <c r="F136" s="504"/>
      <c r="G136" s="504"/>
      <c r="H136" s="504"/>
      <c r="I136" s="504"/>
      <c r="J136" s="504"/>
      <c r="K136" s="504"/>
      <c r="L136" s="504"/>
      <c r="M136" s="504"/>
      <c r="N136" s="504"/>
      <c r="O136" s="504"/>
      <c r="P136" s="504"/>
      <c r="Q136" s="504"/>
      <c r="R136" s="504"/>
      <c r="S136" s="504"/>
      <c r="T136" s="504"/>
      <c r="U136" s="504"/>
      <c r="V136" s="504"/>
      <c r="W136" s="504"/>
      <c r="X136" s="504"/>
      <c r="Y136" s="504"/>
      <c r="Z136" s="504"/>
      <c r="AA136" s="504"/>
      <c r="AB136" s="504"/>
      <c r="AC136" s="504"/>
      <c r="AD136" s="504"/>
      <c r="AE136" s="504"/>
      <c r="AF136" s="504"/>
      <c r="AG136" s="504"/>
      <c r="AH136" s="504"/>
      <c r="AI136" s="504"/>
      <c r="AJ136" s="504"/>
      <c r="AK136" s="504"/>
    </row>
    <row r="137" spans="1:37">
      <c r="A137" s="504"/>
      <c r="B137" s="504"/>
      <c r="C137" s="504"/>
      <c r="D137" s="504"/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/>
      <c r="P137" s="504"/>
      <c r="Q137" s="504"/>
      <c r="R137" s="504"/>
      <c r="S137" s="504"/>
      <c r="T137" s="504"/>
      <c r="U137" s="504"/>
      <c r="V137" s="504"/>
      <c r="W137" s="504"/>
      <c r="X137" s="504"/>
      <c r="Y137" s="504"/>
      <c r="Z137" s="504"/>
      <c r="AA137" s="504"/>
      <c r="AB137" s="504"/>
      <c r="AC137" s="504"/>
      <c r="AD137" s="504"/>
      <c r="AE137" s="504"/>
      <c r="AF137" s="504"/>
      <c r="AG137" s="504"/>
      <c r="AH137" s="504"/>
      <c r="AI137" s="504"/>
      <c r="AJ137" s="504"/>
      <c r="AK137" s="504"/>
    </row>
    <row r="138" spans="1:37">
      <c r="A138" s="504"/>
      <c r="B138" s="504"/>
      <c r="C138" s="504"/>
      <c r="D138" s="504"/>
      <c r="E138" s="504"/>
      <c r="F138" s="504"/>
      <c r="G138" s="504"/>
      <c r="H138" s="504"/>
      <c r="I138" s="504"/>
      <c r="J138" s="504"/>
      <c r="K138" s="504"/>
      <c r="L138" s="504"/>
      <c r="M138" s="504"/>
      <c r="N138" s="504"/>
      <c r="O138" s="504"/>
      <c r="P138" s="504"/>
      <c r="Q138" s="504"/>
      <c r="R138" s="504"/>
      <c r="S138" s="504"/>
      <c r="T138" s="504"/>
      <c r="U138" s="504"/>
      <c r="V138" s="504"/>
      <c r="W138" s="504"/>
      <c r="X138" s="504"/>
      <c r="Y138" s="504"/>
      <c r="Z138" s="504"/>
      <c r="AA138" s="504"/>
      <c r="AB138" s="504"/>
      <c r="AC138" s="504"/>
      <c r="AD138" s="504"/>
      <c r="AE138" s="504"/>
      <c r="AF138" s="504"/>
      <c r="AG138" s="504"/>
      <c r="AH138" s="504"/>
      <c r="AI138" s="504"/>
      <c r="AJ138" s="504"/>
      <c r="AK138" s="504"/>
    </row>
    <row r="139" spans="1:37">
      <c r="A139" s="504"/>
      <c r="B139" s="504"/>
      <c r="C139" s="504"/>
      <c r="D139" s="504"/>
      <c r="E139" s="504"/>
      <c r="F139" s="504"/>
      <c r="G139" s="504"/>
      <c r="H139" s="504"/>
      <c r="I139" s="504"/>
      <c r="J139" s="504"/>
      <c r="K139" s="504"/>
      <c r="L139" s="504"/>
      <c r="M139" s="504"/>
      <c r="N139" s="504"/>
      <c r="O139" s="504"/>
      <c r="P139" s="504"/>
      <c r="Q139" s="504"/>
      <c r="R139" s="504"/>
      <c r="S139" s="504"/>
      <c r="T139" s="504"/>
      <c r="U139" s="504"/>
      <c r="V139" s="504"/>
      <c r="W139" s="504"/>
      <c r="X139" s="504"/>
      <c r="Y139" s="504"/>
      <c r="Z139" s="504"/>
      <c r="AA139" s="504"/>
      <c r="AB139" s="504"/>
      <c r="AC139" s="504"/>
      <c r="AD139" s="504"/>
      <c r="AE139" s="504"/>
      <c r="AF139" s="504"/>
      <c r="AG139" s="504"/>
      <c r="AH139" s="504"/>
      <c r="AI139" s="504"/>
      <c r="AJ139" s="504"/>
      <c r="AK139" s="504"/>
    </row>
    <row r="140" spans="1:37">
      <c r="A140" s="504"/>
      <c r="B140" s="504"/>
      <c r="C140" s="504"/>
      <c r="D140" s="504"/>
      <c r="E140" s="504"/>
      <c r="F140" s="504"/>
      <c r="G140" s="504"/>
      <c r="H140" s="504"/>
      <c r="I140" s="504"/>
      <c r="J140" s="504"/>
      <c r="K140" s="504"/>
      <c r="L140" s="504"/>
      <c r="M140" s="504"/>
      <c r="N140" s="504"/>
      <c r="O140" s="504"/>
      <c r="P140" s="504"/>
      <c r="Q140" s="504"/>
      <c r="R140" s="504"/>
      <c r="S140" s="504"/>
      <c r="T140" s="504"/>
      <c r="U140" s="504"/>
      <c r="V140" s="504"/>
      <c r="W140" s="504"/>
      <c r="X140" s="504"/>
      <c r="Y140" s="504"/>
      <c r="Z140" s="504"/>
      <c r="AA140" s="504"/>
      <c r="AB140" s="504"/>
      <c r="AC140" s="504"/>
      <c r="AD140" s="504"/>
      <c r="AE140" s="504"/>
      <c r="AF140" s="504"/>
      <c r="AG140" s="504"/>
      <c r="AH140" s="504"/>
      <c r="AI140" s="504"/>
      <c r="AJ140" s="504"/>
      <c r="AK140" s="504"/>
    </row>
    <row r="141" spans="1:37">
      <c r="A141" s="504"/>
      <c r="B141" s="504"/>
      <c r="C141" s="504"/>
      <c r="D141" s="504"/>
      <c r="E141" s="504"/>
      <c r="F141" s="504"/>
      <c r="G141" s="504"/>
      <c r="H141" s="504"/>
      <c r="I141" s="504"/>
      <c r="J141" s="504"/>
      <c r="K141" s="504"/>
      <c r="L141" s="504"/>
      <c r="M141" s="504"/>
      <c r="N141" s="504"/>
      <c r="O141" s="504"/>
      <c r="P141" s="504"/>
      <c r="Q141" s="504"/>
      <c r="R141" s="504"/>
      <c r="S141" s="504"/>
      <c r="T141" s="504"/>
      <c r="U141" s="504"/>
      <c r="V141" s="504"/>
      <c r="W141" s="504"/>
      <c r="X141" s="504"/>
      <c r="Y141" s="504"/>
      <c r="Z141" s="504"/>
      <c r="AA141" s="504"/>
      <c r="AB141" s="504"/>
      <c r="AC141" s="504"/>
      <c r="AD141" s="504"/>
      <c r="AE141" s="504"/>
      <c r="AF141" s="504"/>
      <c r="AG141" s="504"/>
      <c r="AH141" s="504"/>
      <c r="AI141" s="504"/>
      <c r="AJ141" s="504"/>
      <c r="AK141" s="504"/>
    </row>
    <row r="142" spans="1:37">
      <c r="A142" s="504"/>
      <c r="B142" s="504"/>
      <c r="C142" s="504"/>
      <c r="D142" s="504"/>
      <c r="E142" s="504"/>
      <c r="F142" s="504"/>
      <c r="G142" s="504"/>
      <c r="H142" s="504"/>
      <c r="I142" s="504"/>
      <c r="J142" s="504"/>
      <c r="K142" s="504"/>
      <c r="L142" s="504"/>
      <c r="M142" s="504"/>
      <c r="N142" s="504"/>
      <c r="O142" s="504"/>
      <c r="P142" s="504"/>
      <c r="Q142" s="504"/>
      <c r="R142" s="504"/>
      <c r="S142" s="504"/>
      <c r="T142" s="504"/>
      <c r="U142" s="504"/>
      <c r="V142" s="504"/>
      <c r="W142" s="504"/>
      <c r="X142" s="504"/>
      <c r="Y142" s="504"/>
      <c r="Z142" s="504"/>
      <c r="AA142" s="504"/>
      <c r="AB142" s="504"/>
      <c r="AC142" s="504"/>
      <c r="AD142" s="504"/>
      <c r="AE142" s="504"/>
      <c r="AF142" s="504"/>
      <c r="AG142" s="504"/>
      <c r="AH142" s="504"/>
      <c r="AI142" s="504"/>
      <c r="AJ142" s="504"/>
      <c r="AK142" s="504"/>
    </row>
    <row r="143" spans="1:37">
      <c r="A143" s="504"/>
      <c r="B143" s="504"/>
      <c r="C143" s="504"/>
      <c r="D143" s="504"/>
      <c r="E143" s="504"/>
      <c r="F143" s="504"/>
      <c r="G143" s="504"/>
      <c r="H143" s="504"/>
      <c r="I143" s="504"/>
      <c r="J143" s="504"/>
      <c r="K143" s="504"/>
      <c r="L143" s="504"/>
      <c r="M143" s="504"/>
      <c r="N143" s="504"/>
      <c r="O143" s="504"/>
      <c r="P143" s="504"/>
      <c r="Q143" s="504"/>
      <c r="R143" s="504"/>
      <c r="S143" s="504"/>
      <c r="T143" s="504"/>
      <c r="U143" s="504"/>
      <c r="V143" s="504"/>
      <c r="W143" s="504"/>
      <c r="X143" s="504"/>
      <c r="Y143" s="504"/>
      <c r="Z143" s="504"/>
      <c r="AA143" s="504"/>
      <c r="AB143" s="504"/>
      <c r="AC143" s="504"/>
      <c r="AD143" s="504"/>
      <c r="AE143" s="504"/>
      <c r="AF143" s="504"/>
      <c r="AG143" s="504"/>
      <c r="AH143" s="504"/>
      <c r="AI143" s="504"/>
      <c r="AJ143" s="504"/>
      <c r="AK143" s="504"/>
    </row>
    <row r="144" spans="1:37">
      <c r="A144" s="504"/>
      <c r="B144" s="504"/>
      <c r="C144" s="504"/>
      <c r="D144" s="504"/>
      <c r="E144" s="504"/>
      <c r="F144" s="504"/>
      <c r="G144" s="504"/>
      <c r="H144" s="504"/>
      <c r="I144" s="504"/>
      <c r="J144" s="504"/>
      <c r="K144" s="504"/>
      <c r="L144" s="504"/>
      <c r="M144" s="504"/>
      <c r="N144" s="504"/>
      <c r="O144" s="504"/>
      <c r="P144" s="504"/>
      <c r="Q144" s="504"/>
      <c r="R144" s="504"/>
      <c r="S144" s="504"/>
      <c r="T144" s="504"/>
      <c r="U144" s="504"/>
      <c r="V144" s="504"/>
      <c r="W144" s="504"/>
      <c r="X144" s="504"/>
      <c r="Y144" s="504"/>
      <c r="Z144" s="504"/>
      <c r="AA144" s="504"/>
      <c r="AB144" s="504"/>
      <c r="AC144" s="504"/>
      <c r="AD144" s="504"/>
      <c r="AE144" s="504"/>
      <c r="AF144" s="504"/>
      <c r="AG144" s="504"/>
      <c r="AH144" s="504"/>
      <c r="AI144" s="504"/>
      <c r="AJ144" s="504"/>
      <c r="AK144" s="504"/>
    </row>
    <row r="145" spans="1:37">
      <c r="A145" s="504"/>
      <c r="B145" s="504"/>
      <c r="C145" s="504"/>
      <c r="D145" s="504"/>
      <c r="E145" s="504"/>
      <c r="F145" s="504"/>
      <c r="G145" s="504"/>
      <c r="H145" s="504"/>
      <c r="I145" s="504"/>
      <c r="J145" s="504"/>
      <c r="K145" s="504"/>
      <c r="L145" s="504"/>
      <c r="M145" s="504"/>
      <c r="N145" s="504"/>
      <c r="O145" s="504"/>
      <c r="P145" s="504"/>
      <c r="Q145" s="504"/>
      <c r="R145" s="504"/>
      <c r="S145" s="504"/>
      <c r="T145" s="504"/>
      <c r="U145" s="504"/>
      <c r="V145" s="504"/>
      <c r="W145" s="504"/>
      <c r="X145" s="504"/>
      <c r="Y145" s="504"/>
      <c r="Z145" s="504"/>
      <c r="AA145" s="504"/>
      <c r="AB145" s="504"/>
      <c r="AC145" s="504"/>
      <c r="AD145" s="504"/>
      <c r="AE145" s="504"/>
      <c r="AF145" s="504"/>
      <c r="AG145" s="504"/>
      <c r="AH145" s="504"/>
      <c r="AI145" s="504"/>
      <c r="AJ145" s="504"/>
      <c r="AK145" s="504"/>
    </row>
    <row r="146" spans="1:37">
      <c r="A146" s="504"/>
      <c r="B146" s="504"/>
      <c r="C146" s="504"/>
      <c r="D146" s="504"/>
      <c r="E146" s="504"/>
      <c r="F146" s="504"/>
      <c r="G146" s="504"/>
      <c r="H146" s="504"/>
      <c r="I146" s="504"/>
      <c r="J146" s="504"/>
      <c r="K146" s="504"/>
      <c r="L146" s="504"/>
      <c r="M146" s="504"/>
      <c r="N146" s="504"/>
      <c r="O146" s="504"/>
      <c r="P146" s="504"/>
      <c r="Q146" s="504"/>
      <c r="R146" s="504"/>
      <c r="S146" s="504"/>
      <c r="T146" s="504"/>
      <c r="U146" s="504"/>
      <c r="V146" s="504"/>
      <c r="W146" s="504"/>
      <c r="X146" s="504"/>
      <c r="Y146" s="504"/>
      <c r="Z146" s="504"/>
      <c r="AA146" s="504"/>
      <c r="AB146" s="504"/>
      <c r="AC146" s="504"/>
      <c r="AD146" s="504"/>
      <c r="AE146" s="504"/>
      <c r="AF146" s="504"/>
      <c r="AG146" s="504"/>
      <c r="AH146" s="504"/>
      <c r="AI146" s="504"/>
      <c r="AJ146" s="504"/>
      <c r="AK146" s="504"/>
    </row>
    <row r="147" spans="1:37">
      <c r="A147" s="504"/>
      <c r="B147" s="504"/>
      <c r="C147" s="504"/>
      <c r="D147" s="504"/>
      <c r="E147" s="504"/>
      <c r="F147" s="504"/>
      <c r="G147" s="504"/>
      <c r="H147" s="504"/>
      <c r="I147" s="504"/>
      <c r="J147" s="504"/>
      <c r="K147" s="504"/>
      <c r="L147" s="504"/>
      <c r="M147" s="504"/>
      <c r="N147" s="504"/>
      <c r="O147" s="504"/>
      <c r="P147" s="504"/>
      <c r="Q147" s="504"/>
      <c r="R147" s="504"/>
      <c r="S147" s="504"/>
      <c r="T147" s="504"/>
      <c r="U147" s="504"/>
      <c r="V147" s="504"/>
      <c r="W147" s="504"/>
      <c r="X147" s="504"/>
      <c r="Y147" s="504"/>
      <c r="Z147" s="504"/>
      <c r="AA147" s="504"/>
      <c r="AB147" s="504"/>
      <c r="AC147" s="504"/>
      <c r="AD147" s="504"/>
      <c r="AE147" s="504"/>
      <c r="AF147" s="504"/>
      <c r="AG147" s="504"/>
      <c r="AH147" s="504"/>
      <c r="AI147" s="504"/>
      <c r="AJ147" s="504"/>
      <c r="AK147" s="504"/>
    </row>
    <row r="148" spans="1:37">
      <c r="A148" s="504"/>
      <c r="B148" s="504"/>
      <c r="C148" s="504"/>
      <c r="D148" s="504"/>
      <c r="E148" s="504"/>
      <c r="F148" s="504"/>
      <c r="G148" s="504"/>
      <c r="H148" s="504"/>
      <c r="I148" s="504"/>
      <c r="J148" s="504"/>
      <c r="K148" s="504"/>
      <c r="L148" s="504"/>
      <c r="M148" s="504"/>
      <c r="N148" s="504"/>
      <c r="O148" s="504"/>
      <c r="P148" s="504"/>
      <c r="Q148" s="504"/>
      <c r="R148" s="504"/>
      <c r="S148" s="504"/>
      <c r="T148" s="504"/>
      <c r="U148" s="504"/>
      <c r="V148" s="504"/>
      <c r="W148" s="504"/>
      <c r="X148" s="504"/>
      <c r="Y148" s="504"/>
      <c r="Z148" s="504"/>
      <c r="AA148" s="504"/>
      <c r="AB148" s="504"/>
      <c r="AC148" s="504"/>
      <c r="AD148" s="504"/>
      <c r="AE148" s="504"/>
      <c r="AF148" s="504"/>
      <c r="AG148" s="504"/>
      <c r="AH148" s="504"/>
      <c r="AI148" s="504"/>
      <c r="AJ148" s="504"/>
      <c r="AK148" s="504"/>
    </row>
    <row r="149" spans="1:37">
      <c r="A149" s="504"/>
      <c r="B149" s="504"/>
      <c r="C149" s="504"/>
      <c r="D149" s="504"/>
      <c r="E149" s="504"/>
      <c r="F149" s="504"/>
      <c r="G149" s="504"/>
      <c r="H149" s="504"/>
      <c r="I149" s="504"/>
      <c r="J149" s="504"/>
      <c r="K149" s="504"/>
      <c r="L149" s="504"/>
      <c r="M149" s="504"/>
      <c r="N149" s="504"/>
      <c r="O149" s="504"/>
      <c r="P149" s="504"/>
      <c r="Q149" s="504"/>
      <c r="R149" s="504"/>
      <c r="S149" s="504"/>
      <c r="T149" s="504"/>
      <c r="U149" s="504"/>
      <c r="V149" s="504"/>
      <c r="W149" s="504"/>
    </row>
  </sheetData>
  <sheetProtection formatCells="0" formatColumns="0" formatRows="0" sort="0" autoFilter="0" pivotTables="0"/>
  <mergeCells count="5">
    <mergeCell ref="E17:K17"/>
    <mergeCell ref="L17:R17"/>
    <mergeCell ref="D17:D18"/>
    <mergeCell ref="I8:L8"/>
    <mergeCell ref="H9:M9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7"/>
  <sheetViews>
    <sheetView zoomScale="90" zoomScaleNormal="90" workbookViewId="0">
      <selection activeCell="D20" sqref="D20"/>
    </sheetView>
  </sheetViews>
  <sheetFormatPr defaultRowHeight="12.75"/>
  <cols>
    <col min="1" max="2" width="9.140625" style="392"/>
    <col min="3" max="3" width="54.7109375" style="392" customWidth="1"/>
    <col min="4" max="4" width="10.7109375" style="393" customWidth="1"/>
    <col min="5" max="7" width="10.7109375" style="392" customWidth="1"/>
    <col min="8" max="8" width="10.7109375" style="393" customWidth="1"/>
    <col min="9" max="15" width="10.7109375" style="392" customWidth="1"/>
    <col min="16" max="16" width="9.7109375" style="392" bestFit="1" customWidth="1"/>
    <col min="17" max="16384" width="9.140625" style="392"/>
  </cols>
  <sheetData>
    <row r="1" spans="1:3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A3" s="8"/>
      <c r="B3" s="8"/>
      <c r="C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>
      <c r="A5" s="8"/>
      <c r="B5" s="8"/>
      <c r="C5" s="394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>
      <c r="A6" s="8"/>
      <c r="B6" s="8"/>
      <c r="C6" s="394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>
      <c r="A7" s="8"/>
      <c r="B7" s="8"/>
      <c r="C7" s="394"/>
      <c r="D7" s="8"/>
      <c r="E7" s="8"/>
      <c r="F7" s="8"/>
      <c r="G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15">
      <c r="A8" s="8"/>
      <c r="B8" s="8"/>
      <c r="C8" s="394"/>
      <c r="D8" s="8"/>
      <c r="E8" s="8"/>
      <c r="F8" s="8"/>
      <c r="G8" s="574" t="str">
        <f>IF(MasterSheet!$A$1=1, MasterSheet!C5,MasterSheet!B5)</f>
        <v>CRNA GORA</v>
      </c>
      <c r="H8" s="574"/>
      <c r="I8" s="574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5">
      <c r="A9" s="8"/>
      <c r="B9" s="8"/>
      <c r="C9" s="8"/>
      <c r="D9" s="8"/>
      <c r="E9" s="8"/>
      <c r="F9" s="574" t="str">
        <f>IF(MasterSheet!$A$1=1, MasterSheet!C6,MasterSheet!B6)</f>
        <v>MINISTARSTVO FINANSIJA</v>
      </c>
      <c r="G9" s="574"/>
      <c r="H9" s="574"/>
      <c r="I9" s="574"/>
      <c r="J9" s="574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8"/>
      <c r="B10" s="8"/>
      <c r="C10" s="5"/>
      <c r="D10" s="5"/>
      <c r="E10" s="5"/>
      <c r="F10" s="5"/>
      <c r="G10" s="5"/>
      <c r="H10" s="8"/>
      <c r="I10" s="5"/>
      <c r="J10" s="5"/>
      <c r="K10" s="5"/>
      <c r="L10" s="5"/>
      <c r="M10" s="5"/>
      <c r="N10" s="5"/>
      <c r="O10" s="5"/>
      <c r="P10" s="5"/>
      <c r="Q10" s="5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8"/>
      <c r="B11" s="8"/>
      <c r="C11" s="5"/>
      <c r="D11" s="5"/>
      <c r="E11" s="5"/>
      <c r="F11" s="5"/>
      <c r="G11" s="5"/>
      <c r="H11" s="8"/>
      <c r="I11" s="5"/>
      <c r="J11" s="5"/>
      <c r="K11" s="5"/>
      <c r="L11" s="5"/>
      <c r="M11" s="5"/>
      <c r="N11" s="5"/>
      <c r="O11" s="5"/>
      <c r="P11" s="5"/>
      <c r="Q11" s="5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8"/>
      <c r="B12" s="8"/>
      <c r="C12" s="10"/>
      <c r="D12" s="5"/>
      <c r="E12" s="5"/>
      <c r="F12" s="5"/>
      <c r="G12" s="5"/>
      <c r="H12" s="8"/>
      <c r="I12" s="5"/>
      <c r="J12" s="5"/>
      <c r="K12" s="5"/>
      <c r="L12" s="5"/>
      <c r="M12" s="5"/>
      <c r="N12" s="5"/>
      <c r="O12" s="5"/>
      <c r="P12" s="5"/>
      <c r="Q12" s="5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t="13.5" thickBot="1">
      <c r="A13" s="8"/>
      <c r="B13" s="8"/>
      <c r="C13" s="5"/>
      <c r="D13" s="5"/>
      <c r="E13" s="5"/>
      <c r="F13" s="5"/>
      <c r="G13" s="5"/>
      <c r="H13" s="8"/>
      <c r="I13" s="5"/>
      <c r="J13" s="5"/>
      <c r="K13" s="5"/>
      <c r="L13" s="5"/>
      <c r="M13" s="5"/>
      <c r="N13" s="5"/>
      <c r="O13" s="5"/>
      <c r="P13" s="5"/>
      <c r="Q13" s="10"/>
      <c r="R13" s="394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ht="17.25" thickTop="1" thickBot="1">
      <c r="B14" s="81"/>
      <c r="C14" s="82" t="str">
        <f>IF(MasterSheet!$A$1=1,MasterSheet!B67,MasterSheet!B66)</f>
        <v>BDP (u mil. €)</v>
      </c>
      <c r="D14" s="577">
        <v>3516000000</v>
      </c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9"/>
      <c r="R14" s="80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15.75" thickTop="1">
      <c r="A15" s="39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5"/>
      <c r="Q15" s="15"/>
      <c r="R15" s="15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17.25" customHeight="1" thickBot="1">
      <c r="A16" s="8"/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17.25" customHeight="1" thickTop="1">
      <c r="A17" s="8"/>
      <c r="B17" s="8"/>
      <c r="C17" s="575" t="s">
        <v>410</v>
      </c>
      <c r="D17" s="580">
        <v>2014</v>
      </c>
      <c r="E17" s="581"/>
      <c r="F17" s="581"/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82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5" customHeight="1" thickBot="1">
      <c r="A18" s="8"/>
      <c r="B18" s="8"/>
      <c r="C18" s="576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6" t="str">
        <f>IF(MasterSheet!$A$1=1,MasterSheet!O336,MasterSheet!O335)</f>
        <v>Plan 2014</v>
      </c>
      <c r="Q18" s="216" t="s">
        <v>150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5" customHeight="1" thickTop="1" thickBot="1">
      <c r="A19" s="8"/>
      <c r="B19" s="8"/>
      <c r="C19" s="217" t="str">
        <f>IF(MasterSheet!$A$1=1,MasterSheet!C337,MasterSheet!B337)</f>
        <v>Izvorni prihodi</v>
      </c>
      <c r="D19" s="351">
        <f>+D20+D28+D33+D38+D45+D50+D51</f>
        <v>63091959.823632248</v>
      </c>
      <c r="E19" s="352">
        <f t="shared" ref="E19:O19" si="0">+E20+E28+E33+E38+E45+E50+E51</f>
        <v>80428854.265187562</v>
      </c>
      <c r="F19" s="352">
        <f t="shared" si="0"/>
        <v>89985354.818585575</v>
      </c>
      <c r="G19" s="352">
        <f t="shared" si="0"/>
        <v>106960747.94202131</v>
      </c>
      <c r="H19" s="352">
        <f t="shared" si="0"/>
        <v>97856328.49259159</v>
      </c>
      <c r="I19" s="352">
        <f t="shared" si="0"/>
        <v>105858468.0117318</v>
      </c>
      <c r="J19" s="352">
        <f t="shared" si="0"/>
        <v>123939555.84525104</v>
      </c>
      <c r="K19" s="353">
        <f t="shared" si="0"/>
        <v>126245800.31993175</v>
      </c>
      <c r="L19" s="353">
        <f t="shared" si="0"/>
        <v>121714564.00509749</v>
      </c>
      <c r="M19" s="353">
        <f t="shared" si="0"/>
        <v>115456172.52182575</v>
      </c>
      <c r="N19" s="353">
        <f t="shared" si="0"/>
        <v>98072968.146381721</v>
      </c>
      <c r="O19" s="469">
        <f t="shared" si="0"/>
        <v>146445625.24493268</v>
      </c>
      <c r="P19" s="471">
        <f>+SUM(D19:O19)</f>
        <v>1276056399.4371705</v>
      </c>
      <c r="Q19" s="220">
        <f>+$P19/$D$14*100</f>
        <v>36.292844125061727</v>
      </c>
      <c r="R19" s="396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15" customHeight="1" thickTop="1">
      <c r="A20" s="8"/>
      <c r="B20" s="8"/>
      <c r="C20" s="221" t="str">
        <f>IF(MasterSheet!$A$1=1,MasterSheet!C338,MasterSheet!B338)</f>
        <v>Porezi</v>
      </c>
      <c r="D20" s="336">
        <f>+SUM(D21:D27)</f>
        <v>46630073.989835031</v>
      </c>
      <c r="E20" s="334">
        <f t="shared" ref="E20:O20" si="1">+SUM(E21:E27)</f>
        <v>47737456.241611488</v>
      </c>
      <c r="F20" s="334">
        <f t="shared" si="1"/>
        <v>55661924.949411348</v>
      </c>
      <c r="G20" s="334">
        <f t="shared" si="1"/>
        <v>73380169.878103226</v>
      </c>
      <c r="H20" s="334">
        <f t="shared" si="1"/>
        <v>63336581.53084594</v>
      </c>
      <c r="I20" s="334">
        <f t="shared" si="1"/>
        <v>68150867.818816096</v>
      </c>
      <c r="J20" s="334">
        <f t="shared" si="1"/>
        <v>80502115.642067581</v>
      </c>
      <c r="K20" s="337">
        <f t="shared" si="1"/>
        <v>83661776.550335452</v>
      </c>
      <c r="L20" s="337">
        <f t="shared" si="1"/>
        <v>77286158.272165686</v>
      </c>
      <c r="M20" s="337">
        <f t="shared" si="1"/>
        <v>64936637.53359136</v>
      </c>
      <c r="N20" s="337">
        <f t="shared" si="1"/>
        <v>59626792.723406494</v>
      </c>
      <c r="O20" s="376">
        <f t="shared" si="1"/>
        <v>76918346.229341179</v>
      </c>
      <c r="P20" s="421">
        <f t="shared" ref="P20:P84" si="2">+SUM(D20:O20)</f>
        <v>797828901.35953081</v>
      </c>
      <c r="Q20" s="228">
        <f t="shared" ref="Q20:Q84" si="3">+$P20/$D$14*100</f>
        <v>22.691379447085634</v>
      </c>
      <c r="R20" s="396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15" customHeight="1">
      <c r="A21" s="8"/>
      <c r="B21" s="8"/>
      <c r="C21" s="229" t="str">
        <f>IF(MasterSheet!$A$1=1,MasterSheet!C339,MasterSheet!B339)</f>
        <v>Porez na dohodak fizičkih lica</v>
      </c>
      <c r="D21" s="230">
        <v>5536823.9639416989</v>
      </c>
      <c r="E21" s="231">
        <v>6603739.6076103738</v>
      </c>
      <c r="F21" s="231">
        <v>6676953.4988943152</v>
      </c>
      <c r="G21" s="231">
        <v>6906912.5782146342</v>
      </c>
      <c r="H21" s="231">
        <v>7747493.2498942278</v>
      </c>
      <c r="I21" s="231">
        <v>6933974.2607370922</v>
      </c>
      <c r="J21" s="231">
        <v>7575525.125533646</v>
      </c>
      <c r="K21" s="263">
        <v>8718912.6885207817</v>
      </c>
      <c r="L21" s="263">
        <v>9058811.9435250778</v>
      </c>
      <c r="M21" s="263">
        <v>7322217.3457894176</v>
      </c>
      <c r="N21" s="263">
        <v>7332731.8430695906</v>
      </c>
      <c r="O21" s="293">
        <v>15597558.508764038</v>
      </c>
      <c r="P21" s="422">
        <f t="shared" si="2"/>
        <v>96011654.614494905</v>
      </c>
      <c r="Q21" s="234">
        <f t="shared" si="3"/>
        <v>2.7307069002984901</v>
      </c>
      <c r="R21" s="396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5" customHeight="1">
      <c r="A22" s="8"/>
      <c r="B22" s="8"/>
      <c r="C22" s="229" t="str">
        <f>IF(MasterSheet!$A$1=1,MasterSheet!C340,MasterSheet!B340)</f>
        <v>Porez na dobit pravnih lica</v>
      </c>
      <c r="D22" s="230">
        <v>542155.32839785819</v>
      </c>
      <c r="E22" s="231">
        <v>1152750.3872009208</v>
      </c>
      <c r="F22" s="231">
        <v>5559762.3725619148</v>
      </c>
      <c r="G22" s="231">
        <v>16167122.137942558</v>
      </c>
      <c r="H22" s="231">
        <v>3342015.3051073127</v>
      </c>
      <c r="I22" s="231">
        <v>3973142.0907613225</v>
      </c>
      <c r="J22" s="231">
        <v>4224224.6269917246</v>
      </c>
      <c r="K22" s="263">
        <v>3100839.337515357</v>
      </c>
      <c r="L22" s="263">
        <v>2550420.1743935719</v>
      </c>
      <c r="M22" s="263">
        <v>1409658.4171760734</v>
      </c>
      <c r="N22" s="263">
        <v>1236078.5708177544</v>
      </c>
      <c r="O22" s="293">
        <v>1137472.7826346306</v>
      </c>
      <c r="P22" s="422">
        <f t="shared" si="2"/>
        <v>44395641.531501003</v>
      </c>
      <c r="Q22" s="234">
        <f t="shared" si="3"/>
        <v>1.2626746738197101</v>
      </c>
      <c r="R22" s="396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15" customHeight="1">
      <c r="A23" s="8"/>
      <c r="B23" s="8"/>
      <c r="C23" s="229" t="str">
        <f>IF(MasterSheet!$A$1=1,MasterSheet!C341,MasterSheet!B341)</f>
        <v>Porez na imovinu</v>
      </c>
      <c r="D23" s="230">
        <v>123999.60285150184</v>
      </c>
      <c r="E23" s="231">
        <v>133192.75505076826</v>
      </c>
      <c r="F23" s="231">
        <v>141910.48385757531</v>
      </c>
      <c r="G23" s="231">
        <v>123791.01140095161</v>
      </c>
      <c r="H23" s="231">
        <v>72591.819035106659</v>
      </c>
      <c r="I23" s="231">
        <v>77284.349346340969</v>
      </c>
      <c r="J23" s="231">
        <v>135985.65036623355</v>
      </c>
      <c r="K23" s="263">
        <v>174290.23497475486</v>
      </c>
      <c r="L23" s="263">
        <v>107916.53190533332</v>
      </c>
      <c r="M23" s="263">
        <v>180714.58360820319</v>
      </c>
      <c r="N23" s="263">
        <v>121683.7391894871</v>
      </c>
      <c r="O23" s="293">
        <v>151175.91130578335</v>
      </c>
      <c r="P23" s="422">
        <f t="shared" si="2"/>
        <v>1544536.6728920399</v>
      </c>
      <c r="Q23" s="234">
        <f t="shared" si="3"/>
        <v>4.392880184562116E-2</v>
      </c>
      <c r="R23" s="396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ht="15" customHeight="1">
      <c r="A24" s="8"/>
      <c r="B24" s="8"/>
      <c r="C24" s="229" t="str">
        <f>IF(MasterSheet!$A$1=1,MasterSheet!C342,MasterSheet!B342)</f>
        <v>Porez na dodatu vrijednost</v>
      </c>
      <c r="D24" s="230">
        <v>27323259.649428416</v>
      </c>
      <c r="E24" s="231">
        <v>28192006.566407606</v>
      </c>
      <c r="F24" s="231">
        <v>31780100.537285</v>
      </c>
      <c r="G24" s="231">
        <v>35805625.314933896</v>
      </c>
      <c r="H24" s="231">
        <v>37013677.77422861</v>
      </c>
      <c r="I24" s="231">
        <v>39976192.562335499</v>
      </c>
      <c r="J24" s="231">
        <v>48606896.525866799</v>
      </c>
      <c r="K24" s="263">
        <v>48894010.587532401</v>
      </c>
      <c r="L24" s="263">
        <v>42792605.454785898</v>
      </c>
      <c r="M24" s="263">
        <v>38951776.984054103</v>
      </c>
      <c r="N24" s="263">
        <v>34980132.37681254</v>
      </c>
      <c r="O24" s="293">
        <v>41629346.195520297</v>
      </c>
      <c r="P24" s="422">
        <f t="shared" si="2"/>
        <v>455945630.52919102</v>
      </c>
      <c r="Q24" s="234">
        <f t="shared" si="3"/>
        <v>12.967736932002019</v>
      </c>
      <c r="R24" s="396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15" customHeight="1">
      <c r="A25" s="8"/>
      <c r="B25" s="8"/>
      <c r="C25" s="229" t="str">
        <f>IF(MasterSheet!$A$1=1,MasterSheet!C343,MasterSheet!B343)</f>
        <v xml:space="preserve">Akcize </v>
      </c>
      <c r="D25" s="230">
        <v>11633388.71442843</v>
      </c>
      <c r="E25" s="231">
        <v>9984594.0786474198</v>
      </c>
      <c r="F25" s="231">
        <v>9169040.4450272899</v>
      </c>
      <c r="G25" s="231">
        <v>11715409.875199232</v>
      </c>
      <c r="H25" s="231">
        <v>12580245.774244396</v>
      </c>
      <c r="I25" s="231">
        <v>14576879.575155489</v>
      </c>
      <c r="J25" s="231">
        <v>16788102.358412612</v>
      </c>
      <c r="K25" s="263">
        <v>19929817.141586415</v>
      </c>
      <c r="L25" s="263">
        <v>20074252.942877635</v>
      </c>
      <c r="M25" s="263">
        <v>14472590.829511227</v>
      </c>
      <c r="N25" s="263">
        <v>13977403.069221891</v>
      </c>
      <c r="O25" s="293">
        <v>16210263.721078064</v>
      </c>
      <c r="P25" s="422">
        <f t="shared" si="2"/>
        <v>171111988.52539012</v>
      </c>
      <c r="Q25" s="234">
        <f t="shared" si="3"/>
        <v>4.8666663403125749</v>
      </c>
      <c r="R25" s="396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ht="15" customHeight="1">
      <c r="A26" s="8"/>
      <c r="B26" s="8"/>
      <c r="C26" s="229" t="str">
        <f>IF(MasterSheet!$A$1=1,MasterSheet!C344,MasterSheet!B344)</f>
        <v>Porez na međ. trgov. i transakcije</v>
      </c>
      <c r="D26" s="230">
        <v>1175497.3830894365</v>
      </c>
      <c r="E26" s="231">
        <v>1401258.3069391041</v>
      </c>
      <c r="F26" s="231">
        <v>1982854.7670731111</v>
      </c>
      <c r="G26" s="231">
        <v>2227395.5445058988</v>
      </c>
      <c r="H26" s="231">
        <v>2119281.4538548714</v>
      </c>
      <c r="I26" s="231">
        <v>2128447.743077762</v>
      </c>
      <c r="J26" s="231">
        <v>2626690.2153880983</v>
      </c>
      <c r="K26" s="263">
        <v>2350974.5793777262</v>
      </c>
      <c r="L26" s="263">
        <v>2173809.0200480837</v>
      </c>
      <c r="M26" s="263">
        <v>2170247.5204897081</v>
      </c>
      <c r="N26" s="263">
        <v>1576440.4650937812</v>
      </c>
      <c r="O26" s="293">
        <v>1802456.6976206759</v>
      </c>
      <c r="P26" s="422">
        <f t="shared" si="2"/>
        <v>23735353.696558256</v>
      </c>
      <c r="Q26" s="234">
        <f t="shared" si="3"/>
        <v>0.67506694245046228</v>
      </c>
      <c r="R26" s="396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ht="15" customHeight="1">
      <c r="A27" s="8"/>
      <c r="B27" s="8"/>
      <c r="C27" s="229" t="str">
        <f>IF(MasterSheet!$A$1=1,MasterSheet!C345,MasterSheet!B345)</f>
        <v>Ostali republički porezi</v>
      </c>
      <c r="D27" s="230">
        <v>294949.34769769129</v>
      </c>
      <c r="E27" s="231">
        <v>269914.53975529631</v>
      </c>
      <c r="F27" s="231">
        <v>351302.84471213742</v>
      </c>
      <c r="G27" s="231">
        <v>433913.41590605793</v>
      </c>
      <c r="H27" s="231">
        <v>461276.15448140749</v>
      </c>
      <c r="I27" s="231">
        <v>484947.23740259005</v>
      </c>
      <c r="J27" s="231">
        <v>544691.13950845459</v>
      </c>
      <c r="K27" s="263">
        <v>492931.9808280234</v>
      </c>
      <c r="L27" s="263">
        <v>528342.20463008841</v>
      </c>
      <c r="M27" s="263">
        <v>429431.85296262795</v>
      </c>
      <c r="N27" s="263">
        <v>402322.65920144052</v>
      </c>
      <c r="O27" s="293">
        <v>390072.41241769306</v>
      </c>
      <c r="P27" s="422">
        <f t="shared" si="2"/>
        <v>5084095.7895035082</v>
      </c>
      <c r="Q27" s="234">
        <f t="shared" si="3"/>
        <v>0.14459885635675507</v>
      </c>
      <c r="R27" s="39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ht="15" customHeight="1">
      <c r="A28" s="8"/>
      <c r="B28" s="8"/>
      <c r="C28" s="235" t="str">
        <f>IF(MasterSheet!$A$1=1,MasterSheet!C346,MasterSheet!B346)</f>
        <v>Doprinosi</v>
      </c>
      <c r="D28" s="336">
        <f>+SUM(D29:D32)</f>
        <v>11696495.709410317</v>
      </c>
      <c r="E28" s="334">
        <f t="shared" ref="E28:O28" si="4">+SUM(E29:E32)</f>
        <v>27967194.589402422</v>
      </c>
      <c r="F28" s="334">
        <f t="shared" si="4"/>
        <v>28929880.111931738</v>
      </c>
      <c r="G28" s="334">
        <f t="shared" si="4"/>
        <v>27258327.618631121</v>
      </c>
      <c r="H28" s="334">
        <f t="shared" si="4"/>
        <v>28592562.735781778</v>
      </c>
      <c r="I28" s="334">
        <f t="shared" si="4"/>
        <v>32131723.207960628</v>
      </c>
      <c r="J28" s="334">
        <f t="shared" si="4"/>
        <v>33016814.12419793</v>
      </c>
      <c r="K28" s="337">
        <f t="shared" si="4"/>
        <v>36072346.59471108</v>
      </c>
      <c r="L28" s="337">
        <f t="shared" si="4"/>
        <v>38203128.528232403</v>
      </c>
      <c r="M28" s="337">
        <f t="shared" si="4"/>
        <v>43672969.77403643</v>
      </c>
      <c r="N28" s="337">
        <f t="shared" si="4"/>
        <v>30164652.787533071</v>
      </c>
      <c r="O28" s="376">
        <f t="shared" si="4"/>
        <v>60117077.92735371</v>
      </c>
      <c r="P28" s="421">
        <f t="shared" si="2"/>
        <v>397823173.70918262</v>
      </c>
      <c r="Q28" s="241">
        <f t="shared" si="3"/>
        <v>11.314652267041598</v>
      </c>
      <c r="R28" s="396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15" customHeight="1">
      <c r="A29" s="8"/>
      <c r="B29" s="8"/>
      <c r="C29" s="229" t="str">
        <f>IF(MasterSheet!$A$1=1,MasterSheet!C347,MasterSheet!B347)</f>
        <v>Doprinosi za PIO</v>
      </c>
      <c r="D29" s="230">
        <v>6378060.6572526693</v>
      </c>
      <c r="E29" s="231">
        <v>16126009.982946007</v>
      </c>
      <c r="F29" s="231">
        <v>16569177.415611617</v>
      </c>
      <c r="G29" s="231">
        <v>15916413.916518303</v>
      </c>
      <c r="H29" s="231">
        <v>16700474.831006728</v>
      </c>
      <c r="I29" s="231">
        <v>19303870.20408624</v>
      </c>
      <c r="J29" s="231">
        <v>19954258.836327907</v>
      </c>
      <c r="K29" s="263">
        <v>21157665.831800085</v>
      </c>
      <c r="L29" s="263">
        <v>23691624.075276405</v>
      </c>
      <c r="M29" s="263">
        <v>25779256.658387903</v>
      </c>
      <c r="N29" s="263">
        <v>17637260.472586822</v>
      </c>
      <c r="O29" s="293">
        <v>35668323.820286348</v>
      </c>
      <c r="P29" s="422">
        <f t="shared" si="2"/>
        <v>234882396.70208704</v>
      </c>
      <c r="Q29" s="234">
        <f t="shared" si="3"/>
        <v>6.6803867093881406</v>
      </c>
      <c r="R29" s="396"/>
      <c r="S29" s="397"/>
      <c r="T29" s="39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15" customHeight="1">
      <c r="A30" s="8"/>
      <c r="B30" s="8"/>
      <c r="C30" s="229" t="str">
        <f>IF(MasterSheet!$A$1=1,MasterSheet!C348,MasterSheet!B348)</f>
        <v>Doprinosi za zdravstvo</v>
      </c>
      <c r="D30" s="230">
        <v>4579090.5759970825</v>
      </c>
      <c r="E30" s="231">
        <v>10104184.39535567</v>
      </c>
      <c r="F30" s="231">
        <v>10560309.670724479</v>
      </c>
      <c r="G30" s="231">
        <v>9541998.6085077375</v>
      </c>
      <c r="H30" s="231">
        <v>10202539.325177701</v>
      </c>
      <c r="I30" s="231">
        <v>10655134.986795479</v>
      </c>
      <c r="J30" s="231">
        <v>10928389.183865616</v>
      </c>
      <c r="K30" s="263">
        <v>12720604.592646427</v>
      </c>
      <c r="L30" s="263">
        <v>12433910.598023046</v>
      </c>
      <c r="M30" s="263">
        <v>15255623.222713828</v>
      </c>
      <c r="N30" s="263">
        <v>10791600.785030248</v>
      </c>
      <c r="O30" s="293">
        <v>20893912.876006678</v>
      </c>
      <c r="P30" s="422">
        <f t="shared" si="2"/>
        <v>138667298.82084399</v>
      </c>
      <c r="Q30" s="234">
        <f t="shared" si="3"/>
        <v>3.9438935955871446</v>
      </c>
      <c r="R30" s="396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15" customHeight="1">
      <c r="A31" s="8"/>
      <c r="B31" s="8"/>
      <c r="C31" s="229" t="str">
        <f>IF(MasterSheet!$A$1=1,MasterSheet!C349,MasterSheet!B349)</f>
        <v>Doprinosi za nezaposlene</v>
      </c>
      <c r="D31" s="230">
        <v>345360.47830525995</v>
      </c>
      <c r="E31" s="231">
        <v>922696.95629602508</v>
      </c>
      <c r="F31" s="231">
        <v>857271.67153218063</v>
      </c>
      <c r="G31" s="231">
        <v>794944.20445414912</v>
      </c>
      <c r="H31" s="231">
        <v>860500.23373355891</v>
      </c>
      <c r="I31" s="231">
        <v>876623.14344260271</v>
      </c>
      <c r="J31" s="231">
        <v>897950.85198249156</v>
      </c>
      <c r="K31" s="263">
        <v>1049404.4207832785</v>
      </c>
      <c r="L31" s="263">
        <v>1051499.288563821</v>
      </c>
      <c r="M31" s="263">
        <v>1282491.8621105079</v>
      </c>
      <c r="N31" s="263">
        <v>895782.74311122345</v>
      </c>
      <c r="O31" s="293">
        <v>1782859.6661754006</v>
      </c>
      <c r="P31" s="422">
        <f t="shared" si="2"/>
        <v>11617385.520490499</v>
      </c>
      <c r="Q31" s="234">
        <f t="shared" si="3"/>
        <v>0.33041483277845562</v>
      </c>
      <c r="R31" s="396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ht="15" customHeight="1">
      <c r="A32" s="8"/>
      <c r="B32" s="8"/>
      <c r="C32" s="229" t="str">
        <f>IF(MasterSheet!$A$1=1,MasterSheet!C350,MasterSheet!B350)</f>
        <v>Ostali doprinosi</v>
      </c>
      <c r="D32" s="230">
        <v>393983.99785530567</v>
      </c>
      <c r="E32" s="231">
        <v>814303.25480471749</v>
      </c>
      <c r="F32" s="231">
        <v>943121.35406345711</v>
      </c>
      <c r="G32" s="231">
        <v>1004970.8891509315</v>
      </c>
      <c r="H32" s="231">
        <v>829048.34586379305</v>
      </c>
      <c r="I32" s="231">
        <v>1296094.8736363046</v>
      </c>
      <c r="J32" s="231">
        <v>1236215.2520219143</v>
      </c>
      <c r="K32" s="263">
        <v>1144671.7494812885</v>
      </c>
      <c r="L32" s="263">
        <v>1026094.5663691361</v>
      </c>
      <c r="M32" s="263">
        <v>1355598.0308241891</v>
      </c>
      <c r="N32" s="263">
        <v>840008.78680477664</v>
      </c>
      <c r="O32" s="293">
        <v>1771981.5648852838</v>
      </c>
      <c r="P32" s="422">
        <f t="shared" si="2"/>
        <v>12656092.665761098</v>
      </c>
      <c r="Q32" s="234">
        <f t="shared" si="3"/>
        <v>0.35995712928785834</v>
      </c>
      <c r="R32" s="396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ht="15" customHeight="1">
      <c r="A33" s="8"/>
      <c r="B33" s="8"/>
      <c r="C33" s="235" t="str">
        <f>IF(MasterSheet!$A$1=1,MasterSheet!C351,MasterSheet!B351)</f>
        <v>Takse</v>
      </c>
      <c r="D33" s="336">
        <f>+SUM(D34:D37)</f>
        <v>902871.84498938802</v>
      </c>
      <c r="E33" s="334">
        <f t="shared" ref="E33:O33" si="5">+SUM(E34:E37)</f>
        <v>1376722.835592885</v>
      </c>
      <c r="F33" s="334">
        <f t="shared" si="5"/>
        <v>1533902.3810318899</v>
      </c>
      <c r="G33" s="334">
        <f t="shared" si="5"/>
        <v>1769167.7909803819</v>
      </c>
      <c r="H33" s="334">
        <f t="shared" si="5"/>
        <v>1635179.6025759527</v>
      </c>
      <c r="I33" s="334">
        <f t="shared" si="5"/>
        <v>1713767.4441061548</v>
      </c>
      <c r="J33" s="334">
        <f t="shared" si="5"/>
        <v>2233130.224239069</v>
      </c>
      <c r="K33" s="337">
        <f t="shared" si="5"/>
        <v>1791089.1999486499</v>
      </c>
      <c r="L33" s="337">
        <f t="shared" si="5"/>
        <v>1407201.854776232</v>
      </c>
      <c r="M33" s="337">
        <f t="shared" si="5"/>
        <v>2107131.608306407</v>
      </c>
      <c r="N33" s="337">
        <f t="shared" si="5"/>
        <v>2082325.1460510979</v>
      </c>
      <c r="O33" s="376">
        <f t="shared" si="5"/>
        <v>2370557.2656825301</v>
      </c>
      <c r="P33" s="421">
        <f t="shared" si="2"/>
        <v>20923047.198280636</v>
      </c>
      <c r="Q33" s="241">
        <f t="shared" si="3"/>
        <v>0.59508097833562679</v>
      </c>
      <c r="R33" s="396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15" customHeight="1">
      <c r="A34" s="8"/>
      <c r="B34" s="8"/>
      <c r="C34" s="229" t="str">
        <f>IF(MasterSheet!$A$1=1,MasterSheet!C352,MasterSheet!B352)</f>
        <v>Administrativne takse</v>
      </c>
      <c r="D34" s="230">
        <v>475144.75561189075</v>
      </c>
      <c r="E34" s="231">
        <v>517492.56867088092</v>
      </c>
      <c r="F34" s="231">
        <v>430110.48270409956</v>
      </c>
      <c r="G34" s="231">
        <v>827362.00845956581</v>
      </c>
      <c r="H34" s="231">
        <v>765781.28778520983</v>
      </c>
      <c r="I34" s="231">
        <v>896155.50480476802</v>
      </c>
      <c r="J34" s="231">
        <v>900805.24859983311</v>
      </c>
      <c r="K34" s="263">
        <v>706704.35479965224</v>
      </c>
      <c r="L34" s="263">
        <v>671459.96419562609</v>
      </c>
      <c r="M34" s="263">
        <v>696792.8632873724</v>
      </c>
      <c r="N34" s="263">
        <v>610012.75737018313</v>
      </c>
      <c r="O34" s="293">
        <v>646794.70668566914</v>
      </c>
      <c r="P34" s="422">
        <f t="shared" si="2"/>
        <v>8144616.5029747505</v>
      </c>
      <c r="Q34" s="234">
        <f t="shared" si="3"/>
        <v>0.23164438290599407</v>
      </c>
      <c r="R34" s="396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15" customHeight="1">
      <c r="A35" s="8"/>
      <c r="B35" s="8"/>
      <c r="C35" s="229" t="str">
        <f>IF(MasterSheet!$A$1=1,MasterSheet!C353,MasterSheet!B353)</f>
        <v>Sudske takse</v>
      </c>
      <c r="D35" s="230">
        <v>200925.57354147307</v>
      </c>
      <c r="E35" s="231">
        <v>221010.12831298116</v>
      </c>
      <c r="F35" s="231">
        <v>261413.19362561635</v>
      </c>
      <c r="G35" s="231">
        <v>275003.00170006976</v>
      </c>
      <c r="H35" s="231">
        <v>190388.87737213133</v>
      </c>
      <c r="I35" s="231">
        <v>266102.24570597394</v>
      </c>
      <c r="J35" s="231">
        <v>318564.24003599695</v>
      </c>
      <c r="K35" s="263">
        <v>156169.82755441542</v>
      </c>
      <c r="L35" s="263">
        <v>228583.32020986776</v>
      </c>
      <c r="M35" s="263">
        <v>285566.63661766285</v>
      </c>
      <c r="N35" s="263">
        <v>746594.09972241579</v>
      </c>
      <c r="O35" s="293">
        <v>525762.42851835978</v>
      </c>
      <c r="P35" s="422">
        <f t="shared" si="2"/>
        <v>3676083.5729169641</v>
      </c>
      <c r="Q35" s="234">
        <f t="shared" si="3"/>
        <v>0.10455300264268955</v>
      </c>
      <c r="R35" s="396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ht="15" customHeight="1">
      <c r="A36" s="8"/>
      <c r="B36" s="8"/>
      <c r="C36" s="229" t="str">
        <f>IF(MasterSheet!$A$1=1,MasterSheet!C354,MasterSheet!B354)</f>
        <v>Boravišne takse</v>
      </c>
      <c r="D36" s="230">
        <v>7581.0977141313906</v>
      </c>
      <c r="E36" s="231">
        <v>9769.7546189308214</v>
      </c>
      <c r="F36" s="231">
        <v>13652.477623191922</v>
      </c>
      <c r="G36" s="231">
        <v>30023.611015219602</v>
      </c>
      <c r="H36" s="231">
        <v>51574.349619775021</v>
      </c>
      <c r="I36" s="231">
        <v>87997.575035473725</v>
      </c>
      <c r="J36" s="231">
        <v>162130.62126952593</v>
      </c>
      <c r="K36" s="263">
        <v>195839.46053647876</v>
      </c>
      <c r="L36" s="263">
        <v>110676.34726776603</v>
      </c>
      <c r="M36" s="263">
        <v>50069.953945792906</v>
      </c>
      <c r="N36" s="263">
        <v>30853.684736779614</v>
      </c>
      <c r="O36" s="293">
        <v>12342.508532882457</v>
      </c>
      <c r="P36" s="422">
        <f t="shared" si="2"/>
        <v>762511.44191594818</v>
      </c>
      <c r="Q36" s="234">
        <f t="shared" si="3"/>
        <v>2.1686901078383055E-2</v>
      </c>
      <c r="R36" s="396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ht="15" customHeight="1">
      <c r="A37" s="8"/>
      <c r="B37" s="8"/>
      <c r="C37" s="229" t="str">
        <f>IF(MasterSheet!$A$1=1,MasterSheet!C355,MasterSheet!B355)</f>
        <v>Ostale takse</v>
      </c>
      <c r="D37" s="230">
        <v>219220.41812189278</v>
      </c>
      <c r="E37" s="231">
        <v>628450.3839900922</v>
      </c>
      <c r="F37" s="231">
        <v>828726.22707898216</v>
      </c>
      <c r="G37" s="231">
        <v>636779.16980552685</v>
      </c>
      <c r="H37" s="231">
        <v>627435.08779883629</v>
      </c>
      <c r="I37" s="231">
        <v>463512.11855993903</v>
      </c>
      <c r="J37" s="231">
        <v>851630.11433371319</v>
      </c>
      <c r="K37" s="263">
        <v>732375.55705810327</v>
      </c>
      <c r="L37" s="263">
        <v>396482.22310297209</v>
      </c>
      <c r="M37" s="263">
        <v>1074702.1544555787</v>
      </c>
      <c r="N37" s="263">
        <v>694864.60422171932</v>
      </c>
      <c r="O37" s="293">
        <v>1185657.6219456189</v>
      </c>
      <c r="P37" s="422">
        <f t="shared" si="2"/>
        <v>8339835.6804729747</v>
      </c>
      <c r="Q37" s="234">
        <f t="shared" si="3"/>
        <v>0.23719669170856017</v>
      </c>
      <c r="R37" s="396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15" customHeight="1">
      <c r="A38" s="8"/>
      <c r="B38" s="8"/>
      <c r="C38" s="235" t="str">
        <f>IF(MasterSheet!$A$1=1,MasterSheet!C356,MasterSheet!B356)</f>
        <v>Naknade</v>
      </c>
      <c r="D38" s="336">
        <f>+SUM(D39:D44)</f>
        <v>874647.32532018784</v>
      </c>
      <c r="E38" s="334">
        <f t="shared" ref="E38:O38" si="6">+SUM(E39:E44)</f>
        <v>1141795.5130265537</v>
      </c>
      <c r="F38" s="334">
        <f t="shared" si="6"/>
        <v>1392255.6905662352</v>
      </c>
      <c r="G38" s="334">
        <f t="shared" si="6"/>
        <v>1012251.8295932285</v>
      </c>
      <c r="H38" s="334">
        <f t="shared" si="6"/>
        <v>647746.68080012128</v>
      </c>
      <c r="I38" s="334">
        <f t="shared" si="6"/>
        <v>954989.7774594496</v>
      </c>
      <c r="J38" s="334">
        <f t="shared" si="6"/>
        <v>1184343.1262543593</v>
      </c>
      <c r="K38" s="337">
        <f t="shared" si="6"/>
        <v>1056013.1087953006</v>
      </c>
      <c r="L38" s="337">
        <f t="shared" si="6"/>
        <v>1308372.2565571361</v>
      </c>
      <c r="M38" s="337">
        <f t="shared" si="6"/>
        <v>1299421.3451732181</v>
      </c>
      <c r="N38" s="337">
        <f t="shared" si="6"/>
        <v>1236718.8760774885</v>
      </c>
      <c r="O38" s="376">
        <f t="shared" si="6"/>
        <v>915688.23864849063</v>
      </c>
      <c r="P38" s="421">
        <f t="shared" si="2"/>
        <v>13024243.768271768</v>
      </c>
      <c r="Q38" s="241">
        <f t="shared" si="3"/>
        <v>0.37042786599180233</v>
      </c>
      <c r="R38" s="396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2" ht="15" customHeight="1">
      <c r="A39" s="8"/>
      <c r="B39" s="8"/>
      <c r="C39" s="229" t="str">
        <f>IF(MasterSheet!$A$1=1,MasterSheet!C357,MasterSheet!B357)</f>
        <v>Nakn. za koriš. dob. od opš. int.</v>
      </c>
      <c r="D39" s="230">
        <v>13374.96592979776</v>
      </c>
      <c r="E39" s="231">
        <v>9999.5066580478688</v>
      </c>
      <c r="F39" s="231">
        <v>20867.434190068099</v>
      </c>
      <c r="G39" s="231">
        <v>52237.811965447087</v>
      </c>
      <c r="H39" s="231">
        <v>29954.027638769621</v>
      </c>
      <c r="I39" s="231">
        <v>75989.810977853747</v>
      </c>
      <c r="J39" s="231">
        <v>69124.693281453248</v>
      </c>
      <c r="K39" s="263">
        <v>68296.533545507307</v>
      </c>
      <c r="L39" s="263">
        <v>81324.552086676718</v>
      </c>
      <c r="M39" s="263">
        <v>103792.89001602873</v>
      </c>
      <c r="N39" s="263">
        <v>83406.301181671501</v>
      </c>
      <c r="O39" s="293">
        <v>90282.957525940728</v>
      </c>
      <c r="P39" s="422">
        <f t="shared" si="2"/>
        <v>698651.48499726236</v>
      </c>
      <c r="Q39" s="234">
        <f t="shared" si="3"/>
        <v>1.9870633816759454E-2</v>
      </c>
      <c r="R39" s="396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1:32" ht="15" customHeight="1">
      <c r="A40" s="8"/>
      <c r="B40" s="8"/>
      <c r="C40" s="229" t="str">
        <f>IF(MasterSheet!$A$1=1,MasterSheet!C358,MasterSheet!B358)</f>
        <v>Naknada za kor. prirodnih dobara</v>
      </c>
      <c r="D40" s="230">
        <v>68560.439383830249</v>
      </c>
      <c r="E40" s="231">
        <v>158760.55168773123</v>
      </c>
      <c r="F40" s="231">
        <v>86996.200905318663</v>
      </c>
      <c r="G40" s="231">
        <v>139217.3680976172</v>
      </c>
      <c r="H40" s="231">
        <v>88290.272881141384</v>
      </c>
      <c r="I40" s="231">
        <v>150975.511135493</v>
      </c>
      <c r="J40" s="231">
        <v>282556.34547435516</v>
      </c>
      <c r="K40" s="263">
        <v>250904.43065756923</v>
      </c>
      <c r="L40" s="263">
        <v>340061.28023376479</v>
      </c>
      <c r="M40" s="263">
        <v>157592.48517262322</v>
      </c>
      <c r="N40" s="263">
        <v>139352.60641494626</v>
      </c>
      <c r="O40" s="293">
        <v>134698.27532869682</v>
      </c>
      <c r="P40" s="422">
        <f t="shared" si="2"/>
        <v>1997965.7673730874</v>
      </c>
      <c r="Q40" s="234">
        <f t="shared" si="3"/>
        <v>5.6824964942351744E-2</v>
      </c>
      <c r="R40" s="396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ht="15" customHeight="1">
      <c r="A41" s="8"/>
      <c r="B41" s="8"/>
      <c r="C41" s="229" t="str">
        <f>IF(MasterSheet!$A$1=1,MasterSheet!C359,MasterSheet!B359)</f>
        <v>Ekološke naknade</v>
      </c>
      <c r="D41" s="230">
        <v>8283.3722056747156</v>
      </c>
      <c r="E41" s="231">
        <v>438.42431824711196</v>
      </c>
      <c r="F41" s="231">
        <v>76941.598341280071</v>
      </c>
      <c r="G41" s="231">
        <v>179198.95167301106</v>
      </c>
      <c r="H41" s="231">
        <v>22946.159958340497</v>
      </c>
      <c r="I41" s="231">
        <v>1047.213826418807</v>
      </c>
      <c r="J41" s="231">
        <v>1252.6546053293903</v>
      </c>
      <c r="K41" s="263">
        <v>57902.127626807072</v>
      </c>
      <c r="L41" s="263">
        <v>19062.836179061087</v>
      </c>
      <c r="M41" s="263">
        <v>18058.764916213506</v>
      </c>
      <c r="N41" s="263">
        <v>19001.902444036212</v>
      </c>
      <c r="O41" s="293">
        <v>20239.874881699459</v>
      </c>
      <c r="P41" s="422">
        <f t="shared" si="2"/>
        <v>424373.88097611902</v>
      </c>
      <c r="Q41" s="234">
        <f t="shared" si="3"/>
        <v>1.2069791836635922E-2</v>
      </c>
      <c r="R41" s="396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ht="15" customHeight="1">
      <c r="A42" s="8"/>
      <c r="B42" s="8"/>
      <c r="C42" s="229" t="str">
        <f>IF(MasterSheet!$A$1=1,MasterSheet!C360,MasterSheet!B360)</f>
        <v>Naknade za priređ.  igara na sreću</v>
      </c>
      <c r="D42" s="230">
        <v>218156.88822096359</v>
      </c>
      <c r="E42" s="231">
        <v>255882.09299293195</v>
      </c>
      <c r="F42" s="231">
        <v>308454.01078105619</v>
      </c>
      <c r="G42" s="231">
        <v>291256.03931849444</v>
      </c>
      <c r="H42" s="231">
        <v>209319.05160094475</v>
      </c>
      <c r="I42" s="231">
        <v>235732.32623325672</v>
      </c>
      <c r="J42" s="231">
        <v>266247.77742806828</v>
      </c>
      <c r="K42" s="263">
        <v>225983.32279932156</v>
      </c>
      <c r="L42" s="263">
        <v>293786.09202076163</v>
      </c>
      <c r="M42" s="263">
        <v>277605.57542804343</v>
      </c>
      <c r="N42" s="263">
        <v>365063.29270523117</v>
      </c>
      <c r="O42" s="293">
        <v>318856.58209443517</v>
      </c>
      <c r="P42" s="422">
        <f t="shared" si="2"/>
        <v>3266343.0516235088</v>
      </c>
      <c r="Q42" s="234">
        <f t="shared" si="3"/>
        <v>9.2899404198620833E-2</v>
      </c>
      <c r="R42" s="396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15" customHeight="1">
      <c r="A43" s="8"/>
      <c r="B43" s="8"/>
      <c r="C43" s="229" t="str">
        <f>IF(MasterSheet!$A$1=1,MasterSheet!C361,MasterSheet!B361)</f>
        <v>Naknade za puteve</v>
      </c>
      <c r="D43" s="230">
        <v>183579.79065691191</v>
      </c>
      <c r="E43" s="231">
        <v>170354.4182538364</v>
      </c>
      <c r="F43" s="231">
        <v>210009.94619420799</v>
      </c>
      <c r="G43" s="231">
        <v>251630.44241899281</v>
      </c>
      <c r="H43" s="231">
        <v>223289.79532645864</v>
      </c>
      <c r="I43" s="231">
        <v>351783.78129680996</v>
      </c>
      <c r="J43" s="231">
        <v>404590.35850671574</v>
      </c>
      <c r="K43" s="263">
        <v>357989.68957817386</v>
      </c>
      <c r="L43" s="263">
        <v>250924.7303258453</v>
      </c>
      <c r="M43" s="263">
        <v>578231.79621344688</v>
      </c>
      <c r="N43" s="263">
        <v>177457.81689161048</v>
      </c>
      <c r="O43" s="293">
        <v>195909.45190988353</v>
      </c>
      <c r="P43" s="422">
        <f t="shared" si="2"/>
        <v>3355752.0175728933</v>
      </c>
      <c r="Q43" s="234">
        <f t="shared" si="3"/>
        <v>9.5442321318910506E-2</v>
      </c>
      <c r="R43" s="396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ht="15" customHeight="1">
      <c r="A44" s="8"/>
      <c r="B44" s="8"/>
      <c r="C44" s="229" t="str">
        <f>IF(MasterSheet!$A$1=1,MasterSheet!C362,MasterSheet!B362)</f>
        <v>Ostale naknade</v>
      </c>
      <c r="D44" s="230">
        <v>382691.86892300961</v>
      </c>
      <c r="E44" s="231">
        <v>546360.51911575894</v>
      </c>
      <c r="F44" s="231">
        <v>688986.50015430432</v>
      </c>
      <c r="G44" s="231">
        <v>98711.216119666002</v>
      </c>
      <c r="H44" s="231">
        <v>73947.373394466355</v>
      </c>
      <c r="I44" s="231">
        <v>139461.13398961752</v>
      </c>
      <c r="J44" s="231">
        <v>160571.2969584376</v>
      </c>
      <c r="K44" s="263">
        <v>94937.00458792159</v>
      </c>
      <c r="L44" s="263">
        <v>323212.76571102644</v>
      </c>
      <c r="M44" s="263">
        <v>164139.83342686231</v>
      </c>
      <c r="N44" s="263">
        <v>452436.956439993</v>
      </c>
      <c r="O44" s="293">
        <v>155701.09690783496</v>
      </c>
      <c r="P44" s="422">
        <f t="shared" si="2"/>
        <v>3281157.5657288986</v>
      </c>
      <c r="Q44" s="234">
        <f t="shared" si="3"/>
        <v>9.3320749878523845E-2</v>
      </c>
      <c r="R44" s="396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15" customHeight="1">
      <c r="A45" s="8"/>
      <c r="B45" s="8"/>
      <c r="C45" s="235" t="str">
        <f>IF(MasterSheet!$A$1=1,MasterSheet!C363,MasterSheet!B363)</f>
        <v>Ostali prihodi</v>
      </c>
      <c r="D45" s="336">
        <f>+SUM(D46:D49)</f>
        <v>2128432.1735986122</v>
      </c>
      <c r="E45" s="334">
        <f t="shared" ref="E45:O45" si="7">+SUM(E46:E49)</f>
        <v>1320017.4642991112</v>
      </c>
      <c r="F45" s="334">
        <f t="shared" si="7"/>
        <v>1521512.068415079</v>
      </c>
      <c r="G45" s="334">
        <f t="shared" si="7"/>
        <v>2595680.0159037258</v>
      </c>
      <c r="H45" s="334">
        <f t="shared" si="7"/>
        <v>2783027.0466008885</v>
      </c>
      <c r="I45" s="334">
        <f t="shared" si="7"/>
        <v>1934475.5951932021</v>
      </c>
      <c r="J45" s="334">
        <f t="shared" si="7"/>
        <v>3103592.0848331661</v>
      </c>
      <c r="K45" s="337">
        <f t="shared" si="7"/>
        <v>2451881.0862679579</v>
      </c>
      <c r="L45" s="337">
        <f t="shared" si="7"/>
        <v>2469058.8016255274</v>
      </c>
      <c r="M45" s="337">
        <f t="shared" si="7"/>
        <v>2200822.8981059212</v>
      </c>
      <c r="N45" s="337">
        <f t="shared" si="7"/>
        <v>4135986.1632531187</v>
      </c>
      <c r="O45" s="376">
        <f t="shared" si="7"/>
        <v>4766285.5166419055</v>
      </c>
      <c r="P45" s="421">
        <f t="shared" si="2"/>
        <v>31410770.914738216</v>
      </c>
      <c r="Q45" s="241">
        <f t="shared" si="3"/>
        <v>0.89336663580029052</v>
      </c>
      <c r="R45" s="396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ht="15" customHeight="1">
      <c r="A46" s="8"/>
      <c r="B46" s="8"/>
      <c r="C46" s="229" t="str">
        <f>IF(MasterSheet!$A$1=1,MasterSheet!C364,MasterSheet!B364)</f>
        <v>Prihodi od kapitala</v>
      </c>
      <c r="D46" s="230">
        <v>9591.9361269248839</v>
      </c>
      <c r="E46" s="231">
        <v>14192.527552946081</v>
      </c>
      <c r="F46" s="231">
        <v>42685.597995647251</v>
      </c>
      <c r="G46" s="231">
        <v>907796.75200148032</v>
      </c>
      <c r="H46" s="231">
        <v>233793.93329700391</v>
      </c>
      <c r="I46" s="231">
        <v>104006.28981622387</v>
      </c>
      <c r="J46" s="231">
        <v>72531.959400060427</v>
      </c>
      <c r="K46" s="263">
        <v>7130.6443796449739</v>
      </c>
      <c r="L46" s="263">
        <v>29236.203122810326</v>
      </c>
      <c r="M46" s="263">
        <v>68741.409645039341</v>
      </c>
      <c r="N46" s="263">
        <v>1926287.3644220931</v>
      </c>
      <c r="O46" s="293">
        <v>2117612.1246805554</v>
      </c>
      <c r="P46" s="422">
        <f t="shared" si="2"/>
        <v>5533606.7424404295</v>
      </c>
      <c r="Q46" s="234">
        <f t="shared" si="3"/>
        <v>0.15738358198067207</v>
      </c>
      <c r="R46" s="396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ht="15" customHeight="1">
      <c r="A47" s="8"/>
      <c r="B47" s="8"/>
      <c r="C47" s="229" t="str">
        <f>IF(MasterSheet!$A$1=1,MasterSheet!C365,MasterSheet!B365)</f>
        <v>Novčane kazne i oduzete imovinske koristi</v>
      </c>
      <c r="D47" s="230">
        <v>535547.49781744892</v>
      </c>
      <c r="E47" s="231">
        <v>740506.73838263343</v>
      </c>
      <c r="F47" s="231">
        <v>726627.07689493673</v>
      </c>
      <c r="G47" s="231">
        <v>753352.97544523817</v>
      </c>
      <c r="H47" s="231">
        <v>980566.87007629289</v>
      </c>
      <c r="I47" s="231">
        <v>1039527.5505012028</v>
      </c>
      <c r="J47" s="231">
        <v>1558137.8337055335</v>
      </c>
      <c r="K47" s="263">
        <v>1561185.5179963366</v>
      </c>
      <c r="L47" s="263">
        <v>1147702.3811617089</v>
      </c>
      <c r="M47" s="263">
        <v>885534.92711899593</v>
      </c>
      <c r="N47" s="263">
        <v>834922.44557827106</v>
      </c>
      <c r="O47" s="293">
        <v>1060462.0751362641</v>
      </c>
      <c r="P47" s="422">
        <f t="shared" si="2"/>
        <v>11824073.889814865</v>
      </c>
      <c r="Q47" s="234">
        <f t="shared" si="3"/>
        <v>0.33629334157607693</v>
      </c>
      <c r="R47" s="396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ht="15" customHeight="1">
      <c r="A48" s="8"/>
      <c r="B48" s="8"/>
      <c r="C48" s="229" t="str">
        <f>IF(MasterSheet!$A$1=1,MasterSheet!C366,MasterSheet!B366)</f>
        <v>Prihodi koje organi ostvaruju vršenjem svoje djel.</v>
      </c>
      <c r="D48" s="230">
        <v>92458.128568339904</v>
      </c>
      <c r="E48" s="231">
        <v>125098.74235606998</v>
      </c>
      <c r="F48" s="231">
        <v>200562.96704692073</v>
      </c>
      <c r="G48" s="231">
        <v>169433.33677156322</v>
      </c>
      <c r="H48" s="231">
        <v>151549.42955971754</v>
      </c>
      <c r="I48" s="263">
        <v>216223.29722223387</v>
      </c>
      <c r="J48" s="231">
        <v>259541.65890583134</v>
      </c>
      <c r="K48" s="263">
        <v>251424.40878451712</v>
      </c>
      <c r="L48" s="263">
        <v>173451.27421913247</v>
      </c>
      <c r="M48" s="263">
        <v>183220.99765206236</v>
      </c>
      <c r="N48" s="263">
        <v>149346.20651691291</v>
      </c>
      <c r="O48" s="293">
        <v>247894.89587613087</v>
      </c>
      <c r="P48" s="422">
        <f t="shared" si="2"/>
        <v>2220205.3434794322</v>
      </c>
      <c r="Q48" s="234">
        <f t="shared" si="3"/>
        <v>6.314577199884619E-2</v>
      </c>
      <c r="R48" s="396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>
      <c r="A49" s="8"/>
      <c r="B49" s="8"/>
      <c r="C49" s="229" t="str">
        <f>IF(MasterSheet!$A$1=1,MasterSheet!C367,MasterSheet!B367)</f>
        <v>Ostali prihodi</v>
      </c>
      <c r="D49" s="230">
        <v>1490834.6110858985</v>
      </c>
      <c r="E49" s="231">
        <v>440219.45600746165</v>
      </c>
      <c r="F49" s="231">
        <v>551636.42647757428</v>
      </c>
      <c r="G49" s="231">
        <v>765096.95168544387</v>
      </c>
      <c r="H49" s="231">
        <v>1417116.8136678741</v>
      </c>
      <c r="I49" s="263">
        <v>574718.45765354158</v>
      </c>
      <c r="J49" s="231">
        <v>1213380.6328217408</v>
      </c>
      <c r="K49" s="263">
        <v>632140.51510745951</v>
      </c>
      <c r="L49" s="263">
        <v>1118668.9431218756</v>
      </c>
      <c r="M49" s="263">
        <v>1063325.5636898233</v>
      </c>
      <c r="N49" s="263">
        <v>1225430.1467358419</v>
      </c>
      <c r="O49" s="293">
        <v>1340316.4209489555</v>
      </c>
      <c r="P49" s="422">
        <f t="shared" si="2"/>
        <v>11832884.939003492</v>
      </c>
      <c r="Q49" s="234">
        <f t="shared" si="3"/>
        <v>0.33654394024469542</v>
      </c>
      <c r="R49" s="396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ht="13.5" thickBot="1">
      <c r="A50" s="8"/>
      <c r="B50" s="8"/>
      <c r="C50" s="244" t="str">
        <f>IF(MasterSheet!$A$1=1,MasterSheet!C368,MasterSheet!B368)</f>
        <v>Primici od otplate kredita i sredstva prenijeta iz prethodne godine</v>
      </c>
      <c r="D50" s="303">
        <v>192772.11381205477</v>
      </c>
      <c r="E50" s="304">
        <v>219000.95458843262</v>
      </c>
      <c r="F50" s="304">
        <v>279212.95056261157</v>
      </c>
      <c r="G50" s="304">
        <v>278484.14214295219</v>
      </c>
      <c r="H50" s="304">
        <v>194564.22932022985</v>
      </c>
      <c r="I50" s="304">
        <v>305977.50152959337</v>
      </c>
      <c r="J50" s="304">
        <v>3232893.976992269</v>
      </c>
      <c r="K50" s="305">
        <v>546027.11320662138</v>
      </c>
      <c r="L50" s="304">
        <v>373977.62507384352</v>
      </c>
      <c r="M50" s="304">
        <v>572522.69594572182</v>
      </c>
      <c r="N50" s="304">
        <v>159825.78339378684</v>
      </c>
      <c r="O50" s="381">
        <v>691003.4005981891</v>
      </c>
      <c r="P50" s="355">
        <f t="shared" si="2"/>
        <v>7046262.487166306</v>
      </c>
      <c r="Q50" s="251">
        <f t="shared" si="3"/>
        <v>0.20040564525501436</v>
      </c>
      <c r="R50" s="396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14.25" thickTop="1" thickBot="1">
      <c r="A51" s="8"/>
      <c r="B51" s="8"/>
      <c r="C51" s="235" t="str">
        <f>IF(MasterSheet!$A$1=1,MasterSheet!C413,MasterSheet!B413)</f>
        <v>Donacije</v>
      </c>
      <c r="D51" s="336">
        <v>666666.66666666663</v>
      </c>
      <c r="E51" s="336">
        <v>666666.66666666663</v>
      </c>
      <c r="F51" s="336">
        <v>666666.66666666663</v>
      </c>
      <c r="G51" s="336">
        <v>666666.66666666663</v>
      </c>
      <c r="H51" s="336">
        <v>666666.66666666663</v>
      </c>
      <c r="I51" s="336">
        <v>666666.66666666663</v>
      </c>
      <c r="J51" s="336">
        <v>666666.66666666663</v>
      </c>
      <c r="K51" s="336">
        <v>666666.66666666663</v>
      </c>
      <c r="L51" s="336">
        <v>666666.66666666663</v>
      </c>
      <c r="M51" s="336">
        <v>666666.66666666663</v>
      </c>
      <c r="N51" s="336">
        <v>666666.66666666663</v>
      </c>
      <c r="O51" s="478">
        <v>666666.66666666663</v>
      </c>
      <c r="P51" s="421">
        <f>+SUM(D51:O51)</f>
        <v>8000000.0000000009</v>
      </c>
      <c r="Q51" s="267">
        <f>+$P51/$D$14*100</f>
        <v>0.22753128555176338</v>
      </c>
      <c r="R51" s="87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2" ht="14.25" thickTop="1" thickBot="1">
      <c r="A52" s="8"/>
      <c r="B52" s="8"/>
      <c r="C52" s="217" t="str">
        <f>IF(MasterSheet!$A$1=1,MasterSheet!C369,MasterSheet!B369)</f>
        <v>Izdaci</v>
      </c>
      <c r="D52" s="330">
        <v>111467089.15166669</v>
      </c>
      <c r="E52" s="330">
        <v>111467089.15166669</v>
      </c>
      <c r="F52" s="330">
        <v>111467089.15166669</v>
      </c>
      <c r="G52" s="330">
        <v>111467089.15166669</v>
      </c>
      <c r="H52" s="330">
        <v>111467089.15166669</v>
      </c>
      <c r="I52" s="330">
        <v>111467089.15166669</v>
      </c>
      <c r="J52" s="330">
        <v>111467089.15166669</v>
      </c>
      <c r="K52" s="330">
        <v>111467089.15166669</v>
      </c>
      <c r="L52" s="330">
        <v>111467089.15166669</v>
      </c>
      <c r="M52" s="330">
        <v>111467089.15166669</v>
      </c>
      <c r="N52" s="330">
        <v>111467089.15166669</v>
      </c>
      <c r="O52" s="331">
        <v>111467089.15166669</v>
      </c>
      <c r="P52" s="252">
        <f>+SUM(D52:O52)</f>
        <v>1337605069.8199999</v>
      </c>
      <c r="Q52" s="220">
        <f t="shared" si="3"/>
        <v>38.043375137087601</v>
      </c>
      <c r="R52" s="89"/>
      <c r="S52" s="397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14.25" thickTop="1" thickBot="1">
      <c r="A53" s="8"/>
      <c r="B53" s="8"/>
      <c r="C53" s="217" t="str">
        <f>IF(MasterSheet!$A$1=1,MasterSheet!C370,MasterSheet!B370)</f>
        <v>Tekuća budžetska potrošnja</v>
      </c>
      <c r="D53" s="330">
        <v>102982047.48500001</v>
      </c>
      <c r="E53" s="330">
        <v>102982047.48500001</v>
      </c>
      <c r="F53" s="330">
        <v>102982047.48500001</v>
      </c>
      <c r="G53" s="330">
        <v>102982047.48500001</v>
      </c>
      <c r="H53" s="330">
        <v>102982047.48500001</v>
      </c>
      <c r="I53" s="330">
        <v>102982047.48500001</v>
      </c>
      <c r="J53" s="330">
        <v>102982047.48500001</v>
      </c>
      <c r="K53" s="330">
        <v>102982047.48500001</v>
      </c>
      <c r="L53" s="330">
        <v>102982047.48500001</v>
      </c>
      <c r="M53" s="330">
        <v>102982047.48500001</v>
      </c>
      <c r="N53" s="330">
        <v>102982047.48500001</v>
      </c>
      <c r="O53" s="331">
        <v>102982047.48500001</v>
      </c>
      <c r="P53" s="252">
        <f>+SUM(D53:O53)</f>
        <v>1235784569.8200002</v>
      </c>
      <c r="Q53" s="220">
        <f t="shared" si="3"/>
        <v>35.147456479522191</v>
      </c>
      <c r="R53" s="89"/>
      <c r="S53" s="397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ht="13.5" thickTop="1">
      <c r="A54" s="8"/>
      <c r="B54" s="8"/>
      <c r="C54" s="235" t="str">
        <f>IF(MasterSheet!$A$1=1,MasterSheet!C371,MasterSheet!B371)</f>
        <v>Tekući izdaci</v>
      </c>
      <c r="D54" s="459">
        <v>52127206.121666677</v>
      </c>
      <c r="E54" s="256">
        <v>52127206.121666677</v>
      </c>
      <c r="F54" s="256">
        <v>52127206.121666677</v>
      </c>
      <c r="G54" s="256">
        <v>52127206.121666677</v>
      </c>
      <c r="H54" s="256">
        <v>52127206.121666677</v>
      </c>
      <c r="I54" s="256">
        <v>52127206.121666677</v>
      </c>
      <c r="J54" s="256">
        <v>52127206.121666677</v>
      </c>
      <c r="K54" s="256">
        <v>52127206.121666677</v>
      </c>
      <c r="L54" s="256">
        <v>52127206.121666677</v>
      </c>
      <c r="M54" s="256">
        <v>52127206.121666677</v>
      </c>
      <c r="N54" s="256">
        <v>52127206.121666677</v>
      </c>
      <c r="O54" s="470">
        <v>52127206.121666677</v>
      </c>
      <c r="P54" s="435">
        <f t="shared" si="2"/>
        <v>625526473.46000016</v>
      </c>
      <c r="Q54" s="259">
        <f t="shared" si="3"/>
        <v>17.790855331626855</v>
      </c>
      <c r="R54" s="89"/>
      <c r="S54" s="397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>
      <c r="A55" s="8"/>
      <c r="B55" s="8"/>
      <c r="C55" s="235" t="str">
        <f>IF(MasterSheet!$A$1=1,MasterSheet!C372,MasterSheet!B372)</f>
        <v>Bruto zarade i doprinosi na teret poslodavca</v>
      </c>
      <c r="D55" s="253">
        <v>32207391.143333346</v>
      </c>
      <c r="E55" s="254">
        <v>32207391.143333346</v>
      </c>
      <c r="F55" s="254">
        <v>32207391.143333346</v>
      </c>
      <c r="G55" s="254">
        <v>32207391.143333346</v>
      </c>
      <c r="H55" s="254">
        <v>32207391.143333346</v>
      </c>
      <c r="I55" s="254">
        <v>32207391.143333346</v>
      </c>
      <c r="J55" s="254">
        <v>32207391.143333346</v>
      </c>
      <c r="K55" s="254">
        <v>32207391.143333346</v>
      </c>
      <c r="L55" s="254">
        <v>32207391.143333346</v>
      </c>
      <c r="M55" s="254">
        <v>32207391.143333346</v>
      </c>
      <c r="N55" s="254">
        <v>32207391.143333346</v>
      </c>
      <c r="O55" s="377">
        <v>32207391.143333346</v>
      </c>
      <c r="P55" s="435">
        <f t="shared" si="2"/>
        <v>386488693.72000003</v>
      </c>
      <c r="Q55" s="262">
        <f t="shared" si="3"/>
        <v>10.992283666666667</v>
      </c>
      <c r="R55" s="89"/>
      <c r="S55" s="397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>
      <c r="A56" s="8"/>
      <c r="B56" s="8"/>
      <c r="C56" s="229" t="str">
        <f>IF(MasterSheet!$A$1=1,MasterSheet!C373,MasterSheet!B373)</f>
        <v>Neto zarade</v>
      </c>
      <c r="D56" s="230">
        <v>18874730.465000015</v>
      </c>
      <c r="E56" s="263">
        <v>18874730.465000015</v>
      </c>
      <c r="F56" s="263">
        <v>18874730.465000015</v>
      </c>
      <c r="G56" s="263">
        <v>18874730.465000015</v>
      </c>
      <c r="H56" s="263">
        <v>18874730.465000015</v>
      </c>
      <c r="I56" s="263">
        <v>18874730.465000015</v>
      </c>
      <c r="J56" s="263">
        <v>18874730.465000015</v>
      </c>
      <c r="K56" s="263">
        <v>18874730.465000015</v>
      </c>
      <c r="L56" s="263">
        <v>18874730.465000015</v>
      </c>
      <c r="M56" s="263">
        <v>18874730.465000015</v>
      </c>
      <c r="N56" s="263">
        <v>18874730.465000015</v>
      </c>
      <c r="O56" s="293">
        <v>18874730.465000015</v>
      </c>
      <c r="P56" s="438">
        <f t="shared" si="2"/>
        <v>226496765.58000013</v>
      </c>
      <c r="Q56" s="265">
        <f t="shared" si="3"/>
        <v>6.4418875307167278</v>
      </c>
      <c r="R56" s="148"/>
      <c r="S56" s="397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>
      <c r="A57" s="8"/>
      <c r="B57" s="8"/>
      <c r="C57" s="229" t="str">
        <f>IF(MasterSheet!$A$1=1,MasterSheet!C374,MasterSheet!B374)</f>
        <v>Porez na zarade</v>
      </c>
      <c r="D57" s="230">
        <v>2713409.8733333321</v>
      </c>
      <c r="E57" s="263">
        <v>2713409.8733333321</v>
      </c>
      <c r="F57" s="263">
        <v>2713409.8733333321</v>
      </c>
      <c r="G57" s="263">
        <v>2713409.8733333321</v>
      </c>
      <c r="H57" s="263">
        <v>2713409.8733333321</v>
      </c>
      <c r="I57" s="263">
        <v>2713409.8733333321</v>
      </c>
      <c r="J57" s="263">
        <v>2713409.8733333321</v>
      </c>
      <c r="K57" s="263">
        <v>2713409.8733333321</v>
      </c>
      <c r="L57" s="263">
        <v>2713409.8733333321</v>
      </c>
      <c r="M57" s="263">
        <v>2713409.8733333321</v>
      </c>
      <c r="N57" s="263">
        <v>2713409.8733333321</v>
      </c>
      <c r="O57" s="293">
        <v>2713409.8733333321</v>
      </c>
      <c r="P57" s="438">
        <f t="shared" si="2"/>
        <v>32560918.479999978</v>
      </c>
      <c r="Q57" s="265">
        <f t="shared" si="3"/>
        <v>0.92607845506257036</v>
      </c>
      <c r="R57" s="89"/>
      <c r="S57" s="397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2">
      <c r="A58" s="8"/>
      <c r="B58" s="8"/>
      <c r="C58" s="229" t="str">
        <f>IF(MasterSheet!$A$1=1,MasterSheet!C375,MasterSheet!B375)</f>
        <v>Doprinosi na teret zaposlenog</v>
      </c>
      <c r="D58" s="230">
        <v>6760180.5116666667</v>
      </c>
      <c r="E58" s="263">
        <v>6760180.5116666667</v>
      </c>
      <c r="F58" s="263">
        <v>6760180.5116666667</v>
      </c>
      <c r="G58" s="263">
        <v>6760180.5116666667</v>
      </c>
      <c r="H58" s="263">
        <v>6760180.5116666667</v>
      </c>
      <c r="I58" s="263">
        <v>6760180.5116666667</v>
      </c>
      <c r="J58" s="263">
        <v>6760180.5116666667</v>
      </c>
      <c r="K58" s="263">
        <v>6760180.5116666667</v>
      </c>
      <c r="L58" s="263">
        <v>6760180.5116666667</v>
      </c>
      <c r="M58" s="263">
        <v>6760180.5116666667</v>
      </c>
      <c r="N58" s="263">
        <v>6760180.5116666667</v>
      </c>
      <c r="O58" s="293">
        <v>6760180.5116666667</v>
      </c>
      <c r="P58" s="438">
        <f t="shared" si="2"/>
        <v>81122166.14000003</v>
      </c>
      <c r="Q58" s="265">
        <f t="shared" si="3"/>
        <v>2.3072288435722421</v>
      </c>
      <c r="R58" s="89"/>
      <c r="S58" s="397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2">
      <c r="A59" s="8"/>
      <c r="B59" s="8"/>
      <c r="C59" s="229" t="str">
        <f>IF(MasterSheet!$A$1=1,MasterSheet!C376,MasterSheet!B376)</f>
        <v>Doprinosi na teret poslodavca</v>
      </c>
      <c r="D59" s="230">
        <v>3474942.3550000004</v>
      </c>
      <c r="E59" s="263">
        <v>3474942.3550000004</v>
      </c>
      <c r="F59" s="263">
        <v>3474942.3550000004</v>
      </c>
      <c r="G59" s="263">
        <v>3474942.3550000004</v>
      </c>
      <c r="H59" s="263">
        <v>3474942.3550000004</v>
      </c>
      <c r="I59" s="263">
        <v>3474942.3550000004</v>
      </c>
      <c r="J59" s="263">
        <v>3474942.3550000004</v>
      </c>
      <c r="K59" s="263">
        <v>3474942.3550000004</v>
      </c>
      <c r="L59" s="263">
        <v>3474942.3550000004</v>
      </c>
      <c r="M59" s="263">
        <v>3474942.3550000004</v>
      </c>
      <c r="N59" s="263">
        <v>3474942.3550000004</v>
      </c>
      <c r="O59" s="293">
        <v>3474942.3550000004</v>
      </c>
      <c r="P59" s="438">
        <f t="shared" si="2"/>
        <v>41699308.260000005</v>
      </c>
      <c r="Q59" s="265">
        <f t="shared" si="3"/>
        <v>1.1859871518771332</v>
      </c>
      <c r="R59" s="89"/>
      <c r="S59" s="39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>
      <c r="A60" s="8"/>
      <c r="B60" s="8"/>
      <c r="C60" s="229" t="str">
        <f>IF(MasterSheet!$A$1=1,MasterSheet!C377,MasterSheet!B377)</f>
        <v>Prirez na porez na dohodak</v>
      </c>
      <c r="D60" s="230">
        <v>384127.93833333341</v>
      </c>
      <c r="E60" s="263">
        <v>384127.93833333341</v>
      </c>
      <c r="F60" s="263">
        <v>384127.93833333341</v>
      </c>
      <c r="G60" s="263">
        <v>384127.93833333341</v>
      </c>
      <c r="H60" s="263">
        <v>384127.93833333341</v>
      </c>
      <c r="I60" s="263">
        <v>384127.93833333341</v>
      </c>
      <c r="J60" s="263">
        <v>384127.93833333341</v>
      </c>
      <c r="K60" s="263">
        <v>384127.93833333341</v>
      </c>
      <c r="L60" s="263">
        <v>384127.93833333341</v>
      </c>
      <c r="M60" s="263">
        <v>384127.93833333341</v>
      </c>
      <c r="N60" s="263">
        <v>384127.93833333341</v>
      </c>
      <c r="O60" s="293">
        <v>384127.93833333341</v>
      </c>
      <c r="P60" s="438">
        <f t="shared" si="2"/>
        <v>4609535.2600000007</v>
      </c>
      <c r="Q60" s="265">
        <f t="shared" si="3"/>
        <v>0.13110168543799774</v>
      </c>
      <c r="R60" s="89"/>
      <c r="S60" s="397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>
      <c r="A61" s="8"/>
      <c r="B61" s="8"/>
      <c r="C61" s="235" t="str">
        <f>IF(MasterSheet!$A$1=1,MasterSheet!C378,MasterSheet!B378)</f>
        <v>Ostala lična primanja</v>
      </c>
      <c r="D61" s="253">
        <v>956513.66333333333</v>
      </c>
      <c r="E61" s="254">
        <v>956513.66333333333</v>
      </c>
      <c r="F61" s="254">
        <v>956513.66333333333</v>
      </c>
      <c r="G61" s="254">
        <v>956513.66333333333</v>
      </c>
      <c r="H61" s="254">
        <v>956513.66333333333</v>
      </c>
      <c r="I61" s="254">
        <v>956513.66333333333</v>
      </c>
      <c r="J61" s="254">
        <v>956513.66333333333</v>
      </c>
      <c r="K61" s="254">
        <v>956513.66333333333</v>
      </c>
      <c r="L61" s="254">
        <v>956513.66333333333</v>
      </c>
      <c r="M61" s="254">
        <v>956513.66333333333</v>
      </c>
      <c r="N61" s="254">
        <v>956513.66333333333</v>
      </c>
      <c r="O61" s="377">
        <v>956513.66333333333</v>
      </c>
      <c r="P61" s="438">
        <f t="shared" si="2"/>
        <v>11478163.960000001</v>
      </c>
      <c r="Q61" s="267">
        <f t="shared" si="3"/>
        <v>0.3264551751990899</v>
      </c>
      <c r="R61" s="89"/>
      <c r="S61" s="39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>
      <c r="A62" s="8"/>
      <c r="B62" s="8"/>
      <c r="C62" s="235" t="str">
        <f>IF(MasterSheet!$A$1=1,MasterSheet!C379,MasterSheet!B379)</f>
        <v>Rashodi za materijal i usluge</v>
      </c>
      <c r="D62" s="253">
        <v>7434194.1891666669</v>
      </c>
      <c r="E62" s="254">
        <v>7434194.1891666669</v>
      </c>
      <c r="F62" s="254">
        <v>7434194.1891666669</v>
      </c>
      <c r="G62" s="254">
        <v>7434194.1891666669</v>
      </c>
      <c r="H62" s="254">
        <v>7434194.1891666669</v>
      </c>
      <c r="I62" s="254">
        <v>7434194.1891666669</v>
      </c>
      <c r="J62" s="254">
        <v>7434194.1891666669</v>
      </c>
      <c r="K62" s="254">
        <v>7434194.1891666669</v>
      </c>
      <c r="L62" s="254">
        <v>7434194.1891666669</v>
      </c>
      <c r="M62" s="254">
        <v>7434194.1891666669</v>
      </c>
      <c r="N62" s="254">
        <v>7434194.1891666669</v>
      </c>
      <c r="O62" s="377">
        <v>7434194.1891666669</v>
      </c>
      <c r="P62" s="438">
        <f t="shared" si="2"/>
        <v>89210330.269999996</v>
      </c>
      <c r="Q62" s="241">
        <f t="shared" si="3"/>
        <v>2.5372676413538109</v>
      </c>
      <c r="R62" s="89"/>
      <c r="S62" s="397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1:32">
      <c r="A63" s="8"/>
      <c r="B63" s="8"/>
      <c r="C63" s="235" t="str">
        <f>IF(MasterSheet!$A$1=1,MasterSheet!C380,MasterSheet!B380)</f>
        <v>Tekuće održavanje</v>
      </c>
      <c r="D63" s="253">
        <v>1804616.9333333331</v>
      </c>
      <c r="E63" s="254">
        <v>1804616.9333333331</v>
      </c>
      <c r="F63" s="254">
        <v>1804616.9333333331</v>
      </c>
      <c r="G63" s="254">
        <v>1804616.9333333331</v>
      </c>
      <c r="H63" s="254">
        <v>1804616.9333333331</v>
      </c>
      <c r="I63" s="254">
        <v>1804616.9333333331</v>
      </c>
      <c r="J63" s="254">
        <v>1804616.9333333331</v>
      </c>
      <c r="K63" s="254">
        <v>1804616.9333333331</v>
      </c>
      <c r="L63" s="254">
        <v>1804616.9333333331</v>
      </c>
      <c r="M63" s="254">
        <v>1804616.9333333331</v>
      </c>
      <c r="N63" s="254">
        <v>1804616.9333333331</v>
      </c>
      <c r="O63" s="377">
        <v>1804616.9333333331</v>
      </c>
      <c r="P63" s="438">
        <f t="shared" si="2"/>
        <v>21655403.199999999</v>
      </c>
      <c r="Q63" s="267">
        <f t="shared" si="3"/>
        <v>0.6159102161547213</v>
      </c>
      <c r="R63" s="89"/>
      <c r="S63" s="397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>
      <c r="A64" s="8"/>
      <c r="B64" s="8"/>
      <c r="C64" s="235" t="str">
        <f>IF(MasterSheet!$A$1=1,MasterSheet!C381,MasterSheet!B381)</f>
        <v>Kamate</v>
      </c>
      <c r="D64" s="253">
        <v>6109676.9266666668</v>
      </c>
      <c r="E64" s="254">
        <v>6109676.9266666668</v>
      </c>
      <c r="F64" s="254">
        <v>6109676.9266666668</v>
      </c>
      <c r="G64" s="254">
        <v>6109676.9266666668</v>
      </c>
      <c r="H64" s="254">
        <v>6109676.9266666668</v>
      </c>
      <c r="I64" s="254">
        <v>6109676.9266666668</v>
      </c>
      <c r="J64" s="254">
        <v>6109676.9266666668</v>
      </c>
      <c r="K64" s="254">
        <v>6109676.9266666668</v>
      </c>
      <c r="L64" s="254">
        <v>6109676.9266666668</v>
      </c>
      <c r="M64" s="254">
        <v>6109676.9266666668</v>
      </c>
      <c r="N64" s="254">
        <v>6109676.9266666668</v>
      </c>
      <c r="O64" s="377">
        <v>6109676.9266666668</v>
      </c>
      <c r="P64" s="438">
        <f t="shared" si="2"/>
        <v>73316123.120000005</v>
      </c>
      <c r="Q64" s="241">
        <f t="shared" si="3"/>
        <v>2.0852139681456201</v>
      </c>
      <c r="R64" s="89"/>
      <c r="S64" s="397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>
      <c r="A65" s="8"/>
      <c r="B65" s="8"/>
      <c r="C65" s="235" t="str">
        <f>IF(MasterSheet!$A$1=1,MasterSheet!C382,MasterSheet!B382)</f>
        <v>Renta</v>
      </c>
      <c r="D65" s="253">
        <v>681066.84499999997</v>
      </c>
      <c r="E65" s="254">
        <v>681066.84499999997</v>
      </c>
      <c r="F65" s="254">
        <v>681066.84499999997</v>
      </c>
      <c r="G65" s="254">
        <v>681066.84499999997</v>
      </c>
      <c r="H65" s="254">
        <v>681066.84499999997</v>
      </c>
      <c r="I65" s="254">
        <v>681066.84499999997</v>
      </c>
      <c r="J65" s="254">
        <v>681066.84499999997</v>
      </c>
      <c r="K65" s="254">
        <v>681066.84499999997</v>
      </c>
      <c r="L65" s="254">
        <v>681066.84499999997</v>
      </c>
      <c r="M65" s="254">
        <v>681066.84499999997</v>
      </c>
      <c r="N65" s="254">
        <v>681066.84499999997</v>
      </c>
      <c r="O65" s="377">
        <v>681066.84499999997</v>
      </c>
      <c r="P65" s="438">
        <f t="shared" si="2"/>
        <v>8172802.1399999978</v>
      </c>
      <c r="Q65" s="267">
        <f t="shared" si="3"/>
        <v>0.23244602218430027</v>
      </c>
      <c r="R65" s="89"/>
      <c r="S65" s="397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>
      <c r="A66" s="8"/>
      <c r="B66" s="8"/>
      <c r="C66" s="235" t="str">
        <f>IF(MasterSheet!$A$1=1,MasterSheet!C383,MasterSheet!B383)</f>
        <v>Subvencije</v>
      </c>
      <c r="D66" s="253">
        <v>1572883.3333333333</v>
      </c>
      <c r="E66" s="254">
        <v>1572883.3333333333</v>
      </c>
      <c r="F66" s="254">
        <v>1572883.3333333333</v>
      </c>
      <c r="G66" s="254">
        <v>1572883.3333333333</v>
      </c>
      <c r="H66" s="254">
        <v>1572883.3333333333</v>
      </c>
      <c r="I66" s="254">
        <v>1572883.3333333333</v>
      </c>
      <c r="J66" s="254">
        <v>1572883.3333333333</v>
      </c>
      <c r="K66" s="254">
        <v>1572883.3333333333</v>
      </c>
      <c r="L66" s="254">
        <v>1572883.3333333333</v>
      </c>
      <c r="M66" s="254">
        <v>1572883.3333333333</v>
      </c>
      <c r="N66" s="254">
        <v>1572883.3333333333</v>
      </c>
      <c r="O66" s="377">
        <v>1572883.3333333333</v>
      </c>
      <c r="P66" s="438">
        <f t="shared" si="2"/>
        <v>18874600</v>
      </c>
      <c r="Q66" s="267">
        <f t="shared" si="3"/>
        <v>0.53682025028441416</v>
      </c>
      <c r="R66" s="89"/>
      <c r="S66" s="397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>
      <c r="A67" s="8"/>
      <c r="B67" s="8"/>
      <c r="C67" s="235" t="str">
        <f>IF(MasterSheet!$A$1=1,MasterSheet!C384,MasterSheet!B384)</f>
        <v>Ostali izdaci</v>
      </c>
      <c r="D67" s="253">
        <v>485616.14416666661</v>
      </c>
      <c r="E67" s="254">
        <v>485616.14416666661</v>
      </c>
      <c r="F67" s="254">
        <v>485616.14416666661</v>
      </c>
      <c r="G67" s="254">
        <v>485616.14416666661</v>
      </c>
      <c r="H67" s="254">
        <v>485616.14416666661</v>
      </c>
      <c r="I67" s="254">
        <v>485616.14416666661</v>
      </c>
      <c r="J67" s="254">
        <v>485616.14416666661</v>
      </c>
      <c r="K67" s="254">
        <v>485616.14416666661</v>
      </c>
      <c r="L67" s="254">
        <v>485616.14416666661</v>
      </c>
      <c r="M67" s="254">
        <v>485616.14416666661</v>
      </c>
      <c r="N67" s="254">
        <v>485616.14416666661</v>
      </c>
      <c r="O67" s="377">
        <v>485616.14416666661</v>
      </c>
      <c r="P67" s="438">
        <f t="shared" si="2"/>
        <v>5827393.7300000004</v>
      </c>
      <c r="Q67" s="267">
        <f t="shared" si="3"/>
        <v>0.16573929835039819</v>
      </c>
      <c r="R67" s="89"/>
      <c r="S67" s="397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>
      <c r="A68" s="8"/>
      <c r="B68" s="8"/>
      <c r="C68" s="235" t="s">
        <v>130</v>
      </c>
      <c r="D68" s="253">
        <v>875246.94333333336</v>
      </c>
      <c r="E68" s="254">
        <v>875246.94333333336</v>
      </c>
      <c r="F68" s="254">
        <v>875246.94333333336</v>
      </c>
      <c r="G68" s="254">
        <v>875246.94333333336</v>
      </c>
      <c r="H68" s="254">
        <v>875246.94333333336</v>
      </c>
      <c r="I68" s="254">
        <v>875246.94333333336</v>
      </c>
      <c r="J68" s="254">
        <v>875246.94333333336</v>
      </c>
      <c r="K68" s="254">
        <v>875246.94333333336</v>
      </c>
      <c r="L68" s="254">
        <v>875246.94333333336</v>
      </c>
      <c r="M68" s="254">
        <v>875246.94333333336</v>
      </c>
      <c r="N68" s="254">
        <v>875246.94333333336</v>
      </c>
      <c r="O68" s="377">
        <v>875246.94333333336</v>
      </c>
      <c r="P68" s="438">
        <f t="shared" si="2"/>
        <v>10502963.32</v>
      </c>
      <c r="Q68" s="267">
        <f t="shared" si="3"/>
        <v>0.29871909328782709</v>
      </c>
      <c r="R68" s="89"/>
      <c r="S68" s="397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>
      <c r="A69" s="8"/>
      <c r="B69" s="8"/>
      <c r="C69" s="235" t="str">
        <f>IF(MasterSheet!$A$1=1,MasterSheet!C386,MasterSheet!B386)</f>
        <v>Transferi za socijalnu zaštitu</v>
      </c>
      <c r="D69" s="253">
        <v>41518616.580833346</v>
      </c>
      <c r="E69" s="254">
        <v>41518616.580833346</v>
      </c>
      <c r="F69" s="254">
        <v>41518616.580833346</v>
      </c>
      <c r="G69" s="254">
        <v>41518616.580833346</v>
      </c>
      <c r="H69" s="254">
        <v>41518616.580833346</v>
      </c>
      <c r="I69" s="254">
        <v>41518616.580833346</v>
      </c>
      <c r="J69" s="254">
        <v>41518616.580833346</v>
      </c>
      <c r="K69" s="254">
        <v>41518616.580833346</v>
      </c>
      <c r="L69" s="254">
        <v>41518616.580833346</v>
      </c>
      <c r="M69" s="254">
        <v>41518616.580833346</v>
      </c>
      <c r="N69" s="254">
        <v>41518616.580833346</v>
      </c>
      <c r="O69" s="377">
        <v>41518616.580833346</v>
      </c>
      <c r="P69" s="435">
        <f t="shared" si="2"/>
        <v>498223398.97000003</v>
      </c>
      <c r="Q69" s="259">
        <f t="shared" si="3"/>
        <v>14.170176307451651</v>
      </c>
      <c r="R69" s="89"/>
      <c r="S69" s="397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>
      <c r="A70" s="8"/>
      <c r="B70" s="8"/>
      <c r="C70" s="229" t="str">
        <f>IF(MasterSheet!$A$1=1,MasterSheet!C387,MasterSheet!B387)</f>
        <v>Prava iz oblasti socijalne zaštite</v>
      </c>
      <c r="D70" s="230">
        <v>4887083.333333333</v>
      </c>
      <c r="E70" s="263">
        <v>4887083.333333333</v>
      </c>
      <c r="F70" s="263">
        <v>4887083.333333333</v>
      </c>
      <c r="G70" s="263">
        <v>4887083.333333333</v>
      </c>
      <c r="H70" s="263">
        <v>4887083.333333333</v>
      </c>
      <c r="I70" s="263">
        <v>4887083.333333333</v>
      </c>
      <c r="J70" s="263">
        <v>4887083.333333333</v>
      </c>
      <c r="K70" s="263">
        <v>4887083.333333333</v>
      </c>
      <c r="L70" s="263">
        <v>4887083.333333333</v>
      </c>
      <c r="M70" s="263">
        <v>4887083.333333333</v>
      </c>
      <c r="N70" s="263">
        <v>4887083.333333333</v>
      </c>
      <c r="O70" s="293">
        <v>4887083.333333333</v>
      </c>
      <c r="P70" s="438">
        <f t="shared" si="2"/>
        <v>58645000.000000007</v>
      </c>
      <c r="Q70" s="265">
        <f t="shared" si="3"/>
        <v>1.6679465301478953</v>
      </c>
      <c r="R70" s="89"/>
      <c r="S70" s="397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>
      <c r="A71" s="8"/>
      <c r="B71" s="8"/>
      <c r="C71" s="229" t="str">
        <f>IF(MasterSheet!$A$1=1,MasterSheet!C388,MasterSheet!B388)</f>
        <v>Sredstva za tehnološke viškove</v>
      </c>
      <c r="D71" s="230">
        <v>1729843.6666666665</v>
      </c>
      <c r="E71" s="263">
        <v>1729843.6666666665</v>
      </c>
      <c r="F71" s="263">
        <v>1729843.6666666665</v>
      </c>
      <c r="G71" s="263">
        <v>1729843.6666666665</v>
      </c>
      <c r="H71" s="263">
        <v>1729843.6666666665</v>
      </c>
      <c r="I71" s="263">
        <v>1729843.6666666665</v>
      </c>
      <c r="J71" s="263">
        <v>1729843.6666666665</v>
      </c>
      <c r="K71" s="263">
        <v>1729843.6666666665</v>
      </c>
      <c r="L71" s="263">
        <v>1729843.6666666665</v>
      </c>
      <c r="M71" s="263">
        <v>1729843.6666666665</v>
      </c>
      <c r="N71" s="263">
        <v>1729843.6666666665</v>
      </c>
      <c r="O71" s="293">
        <v>1729843.6666666665</v>
      </c>
      <c r="P71" s="438">
        <f t="shared" si="2"/>
        <v>20758124</v>
      </c>
      <c r="Q71" s="265">
        <f t="shared" si="3"/>
        <v>0.590390329920364</v>
      </c>
      <c r="R71" s="89"/>
      <c r="S71" s="397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1:32">
      <c r="A72" s="8"/>
      <c r="B72" s="8"/>
      <c r="C72" s="229" t="str">
        <f>IF(MasterSheet!$A$1=1,MasterSheet!C389,MasterSheet!B389)</f>
        <v>Prava iz oblasti penzijskog i invalidskog osiguranja</v>
      </c>
      <c r="D72" s="230">
        <v>33110022.91416667</v>
      </c>
      <c r="E72" s="263">
        <v>33110022.91416667</v>
      </c>
      <c r="F72" s="263">
        <v>33110022.91416667</v>
      </c>
      <c r="G72" s="263">
        <v>33110022.91416667</v>
      </c>
      <c r="H72" s="263">
        <v>33110022.91416667</v>
      </c>
      <c r="I72" s="263">
        <v>33110022.91416667</v>
      </c>
      <c r="J72" s="263">
        <v>33110022.91416667</v>
      </c>
      <c r="K72" s="263">
        <v>33110022.91416667</v>
      </c>
      <c r="L72" s="263">
        <v>33110022.91416667</v>
      </c>
      <c r="M72" s="263">
        <v>33110022.91416667</v>
      </c>
      <c r="N72" s="263">
        <v>33110022.91416667</v>
      </c>
      <c r="O72" s="293">
        <v>33110022.91416667</v>
      </c>
      <c r="P72" s="438">
        <f t="shared" si="2"/>
        <v>397320274.97000009</v>
      </c>
      <c r="Q72" s="265">
        <f t="shared" si="3"/>
        <v>11.300349117463028</v>
      </c>
      <c r="R72" s="89"/>
      <c r="S72" s="397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>
      <c r="A73" s="8"/>
      <c r="B73" s="8"/>
      <c r="C73" s="229" t="str">
        <f>IF(MasterSheet!$A$1=1,MasterSheet!C390,MasterSheet!B390)</f>
        <v>Ostala prava iz oblasti zdravstvene zaštite</v>
      </c>
      <c r="D73" s="230">
        <v>1208333.3333333333</v>
      </c>
      <c r="E73" s="263">
        <v>1208333.3333333333</v>
      </c>
      <c r="F73" s="263">
        <v>1208333.3333333333</v>
      </c>
      <c r="G73" s="263">
        <v>1208333.3333333333</v>
      </c>
      <c r="H73" s="263">
        <v>1208333.3333333333</v>
      </c>
      <c r="I73" s="263">
        <v>1208333.3333333333</v>
      </c>
      <c r="J73" s="263">
        <v>1208333.3333333333</v>
      </c>
      <c r="K73" s="263">
        <v>1208333.3333333333</v>
      </c>
      <c r="L73" s="263">
        <v>1208333.3333333333</v>
      </c>
      <c r="M73" s="263">
        <v>1208333.3333333333</v>
      </c>
      <c r="N73" s="263">
        <v>1208333.3333333333</v>
      </c>
      <c r="O73" s="293">
        <v>1208333.3333333333</v>
      </c>
      <c r="P73" s="438">
        <f t="shared" si="2"/>
        <v>14500000.000000002</v>
      </c>
      <c r="Q73" s="265">
        <f t="shared" si="3"/>
        <v>0.41240045506257111</v>
      </c>
      <c r="R73" s="89"/>
      <c r="S73" s="397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>
      <c r="A74" s="8"/>
      <c r="B74" s="8"/>
      <c r="C74" s="229" t="str">
        <f>IF(MasterSheet!$A$1=1,MasterSheet!C391,MasterSheet!B391)</f>
        <v>Ostala prava iz oblasti zdravstvenog osiguranja</v>
      </c>
      <c r="D74" s="230">
        <v>583333.33333333326</v>
      </c>
      <c r="E74" s="263">
        <v>583333.33333333326</v>
      </c>
      <c r="F74" s="263">
        <v>583333.33333333326</v>
      </c>
      <c r="G74" s="263">
        <v>583333.33333333326</v>
      </c>
      <c r="H74" s="263">
        <v>583333.33333333326</v>
      </c>
      <c r="I74" s="263">
        <v>583333.33333333326</v>
      </c>
      <c r="J74" s="263">
        <v>583333.33333333326</v>
      </c>
      <c r="K74" s="263">
        <v>583333.33333333326</v>
      </c>
      <c r="L74" s="263">
        <v>583333.33333333326</v>
      </c>
      <c r="M74" s="263">
        <v>583333.33333333326</v>
      </c>
      <c r="N74" s="263">
        <v>583333.33333333326</v>
      </c>
      <c r="O74" s="293">
        <v>583333.33333333326</v>
      </c>
      <c r="P74" s="438">
        <f t="shared" si="2"/>
        <v>6999999.9999999972</v>
      </c>
      <c r="Q74" s="265">
        <f t="shared" si="3"/>
        <v>0.19908987485779289</v>
      </c>
      <c r="R74" s="89"/>
      <c r="S74" s="397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>
      <c r="A75" s="8"/>
      <c r="B75" s="8"/>
      <c r="C75" s="270" t="str">
        <f>IF(MasterSheet!$A$1=1,MasterSheet!C392,MasterSheet!B392)</f>
        <v>Transferi institucijama pojedinicima nevladinom i javnom sektoru</v>
      </c>
      <c r="D75" s="253">
        <v>8420003.9683333337</v>
      </c>
      <c r="E75" s="254">
        <v>8420003.9683333337</v>
      </c>
      <c r="F75" s="254">
        <v>8420003.9683333337</v>
      </c>
      <c r="G75" s="254">
        <v>8420003.9683333337</v>
      </c>
      <c r="H75" s="254">
        <v>8420003.9683333337</v>
      </c>
      <c r="I75" s="254">
        <v>8420003.9683333337</v>
      </c>
      <c r="J75" s="254">
        <v>8420003.9683333337</v>
      </c>
      <c r="K75" s="254">
        <v>8420003.9683333337</v>
      </c>
      <c r="L75" s="254">
        <v>8420003.9683333337</v>
      </c>
      <c r="M75" s="254">
        <v>8420003.9683333337</v>
      </c>
      <c r="N75" s="254">
        <v>8420003.9683333337</v>
      </c>
      <c r="O75" s="377">
        <v>8420003.9683333337</v>
      </c>
      <c r="P75" s="435">
        <f t="shared" si="2"/>
        <v>101040047.62</v>
      </c>
      <c r="Q75" s="259">
        <f t="shared" si="3"/>
        <v>2.8737214908987485</v>
      </c>
      <c r="R75" s="89"/>
      <c r="S75" s="397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>
      <c r="A76" s="8"/>
      <c r="B76" s="8"/>
      <c r="C76" s="229" t="str">
        <f>IF(MasterSheet!$A$1=1,MasterSheet!C393,MasterSheet!B393)</f>
        <v>Transferi javnim institucijama</v>
      </c>
      <c r="D76" s="230">
        <v>6403923.8533333335</v>
      </c>
      <c r="E76" s="263">
        <v>6403923.8533333335</v>
      </c>
      <c r="F76" s="263">
        <v>6403923.8533333335</v>
      </c>
      <c r="G76" s="263">
        <v>6403923.8533333335</v>
      </c>
      <c r="H76" s="263">
        <v>6403923.8533333335</v>
      </c>
      <c r="I76" s="263">
        <v>6403923.8533333335</v>
      </c>
      <c r="J76" s="263">
        <v>6403923.8533333335</v>
      </c>
      <c r="K76" s="263">
        <v>6403923.8533333335</v>
      </c>
      <c r="L76" s="263">
        <v>6403923.8533333335</v>
      </c>
      <c r="M76" s="263">
        <v>6403923.8533333335</v>
      </c>
      <c r="N76" s="263">
        <v>6403923.8533333335</v>
      </c>
      <c r="O76" s="293">
        <v>6403923.8533333335</v>
      </c>
      <c r="P76" s="438">
        <f t="shared" si="2"/>
        <v>76847086.239999995</v>
      </c>
      <c r="Q76" s="265">
        <f t="shared" si="3"/>
        <v>2.185639540386803</v>
      </c>
      <c r="R76" s="89"/>
      <c r="S76" s="397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>
      <c r="A77" s="8"/>
      <c r="B77" s="8"/>
      <c r="C77" s="229" t="str">
        <f>IF(MasterSheet!$A$1=1,MasterSheet!C394,MasterSheet!B394)</f>
        <v>Transferi nevladinim organizacijama</v>
      </c>
      <c r="D77" s="230">
        <v>206125.82833333334</v>
      </c>
      <c r="E77" s="263">
        <v>206125.82833333334</v>
      </c>
      <c r="F77" s="263">
        <v>206125.82833333334</v>
      </c>
      <c r="G77" s="263">
        <v>206125.82833333334</v>
      </c>
      <c r="H77" s="263">
        <v>206125.82833333334</v>
      </c>
      <c r="I77" s="263">
        <v>206125.82833333334</v>
      </c>
      <c r="J77" s="263">
        <v>206125.82833333334</v>
      </c>
      <c r="K77" s="263">
        <v>206125.82833333334</v>
      </c>
      <c r="L77" s="263">
        <v>206125.82833333334</v>
      </c>
      <c r="M77" s="263">
        <v>206125.82833333334</v>
      </c>
      <c r="N77" s="263">
        <v>206125.82833333334</v>
      </c>
      <c r="O77" s="293">
        <v>206125.82833333334</v>
      </c>
      <c r="P77" s="438">
        <f t="shared" si="2"/>
        <v>2473509.94</v>
      </c>
      <c r="Q77" s="265">
        <f t="shared" si="3"/>
        <v>7.0350112059158129E-2</v>
      </c>
      <c r="R77" s="89"/>
      <c r="S77" s="39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1:32">
      <c r="A78" s="8"/>
      <c r="B78" s="8"/>
      <c r="C78" s="229" t="str">
        <f>IF(MasterSheet!$A$1=1,MasterSheet!C395,MasterSheet!B395)</f>
        <v>Transferi pojedincima</v>
      </c>
      <c r="D78" s="230">
        <v>1620971</v>
      </c>
      <c r="E78" s="263">
        <v>1620971</v>
      </c>
      <c r="F78" s="263">
        <v>1620971</v>
      </c>
      <c r="G78" s="263">
        <v>1620971</v>
      </c>
      <c r="H78" s="263">
        <v>1620971</v>
      </c>
      <c r="I78" s="263">
        <v>1620971</v>
      </c>
      <c r="J78" s="263">
        <v>1620971</v>
      </c>
      <c r="K78" s="263">
        <v>1620971</v>
      </c>
      <c r="L78" s="263">
        <v>1620971</v>
      </c>
      <c r="M78" s="263">
        <v>1620971</v>
      </c>
      <c r="N78" s="263">
        <v>1620971</v>
      </c>
      <c r="O78" s="293">
        <v>1620971</v>
      </c>
      <c r="P78" s="438">
        <f t="shared" si="2"/>
        <v>19451652</v>
      </c>
      <c r="Q78" s="265">
        <f t="shared" si="3"/>
        <v>0.5532324232081911</v>
      </c>
      <c r="R78" s="89"/>
      <c r="S78" s="397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1:32">
      <c r="A79" s="8"/>
      <c r="B79" s="8"/>
      <c r="C79" s="229" t="str">
        <f>IF(MasterSheet!$A$1=1,MasterSheet!C396,MasterSheet!B396)</f>
        <v>Transferi opštinama</v>
      </c>
      <c r="D79" s="230">
        <v>157676.39749999999</v>
      </c>
      <c r="E79" s="263">
        <v>157676.39749999999</v>
      </c>
      <c r="F79" s="263">
        <v>157676.39749999999</v>
      </c>
      <c r="G79" s="263">
        <v>157676.39749999999</v>
      </c>
      <c r="H79" s="263">
        <v>157676.39749999999</v>
      </c>
      <c r="I79" s="263">
        <v>157676.39749999999</v>
      </c>
      <c r="J79" s="263">
        <v>157676.39749999999</v>
      </c>
      <c r="K79" s="263">
        <v>157676.39749999999</v>
      </c>
      <c r="L79" s="263">
        <v>157676.39749999999</v>
      </c>
      <c r="M79" s="263">
        <v>157676.39749999999</v>
      </c>
      <c r="N79" s="263">
        <v>157676.39749999999</v>
      </c>
      <c r="O79" s="293">
        <v>157676.39749999999</v>
      </c>
      <c r="P79" s="438">
        <f t="shared" si="2"/>
        <v>1892116.7699999998</v>
      </c>
      <c r="Q79" s="265">
        <f t="shared" si="3"/>
        <v>5.3814470136518765E-2</v>
      </c>
      <c r="R79" s="89"/>
      <c r="S79" s="397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1:32">
      <c r="A80" s="8"/>
      <c r="B80" s="8"/>
      <c r="C80" s="229" t="s">
        <v>412</v>
      </c>
      <c r="D80" s="230">
        <v>2140.2224999999999</v>
      </c>
      <c r="E80" s="263">
        <v>2140.2224999999999</v>
      </c>
      <c r="F80" s="263">
        <v>2140.2224999999999</v>
      </c>
      <c r="G80" s="263">
        <v>2140.2224999999999</v>
      </c>
      <c r="H80" s="263">
        <v>2140.2224999999999</v>
      </c>
      <c r="I80" s="263">
        <v>2140.2224999999999</v>
      </c>
      <c r="J80" s="263">
        <v>2140.2224999999999</v>
      </c>
      <c r="K80" s="263">
        <v>2140.2224999999999</v>
      </c>
      <c r="L80" s="263">
        <v>2140.2224999999999</v>
      </c>
      <c r="M80" s="263">
        <v>2140.2224999999999</v>
      </c>
      <c r="N80" s="263">
        <v>2140.2224999999999</v>
      </c>
      <c r="O80" s="293">
        <v>2140.2224999999999</v>
      </c>
      <c r="P80" s="438"/>
      <c r="Q80" s="265">
        <f t="shared" si="3"/>
        <v>0</v>
      </c>
      <c r="R80" s="89"/>
      <c r="S80" s="397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spans="1:32" ht="13.5" thickBot="1">
      <c r="A81" s="8"/>
      <c r="B81" s="8"/>
      <c r="C81" s="271" t="str">
        <f>IF(MasterSheet!$A$1=1,MasterSheet!C397,MasterSheet!B397)</f>
        <v>Transferi javnim preduzećima</v>
      </c>
      <c r="D81" s="272">
        <v>29166.666666666668</v>
      </c>
      <c r="E81" s="273">
        <v>29166.666666666668</v>
      </c>
      <c r="F81" s="273">
        <v>29166.666666666668</v>
      </c>
      <c r="G81" s="273">
        <v>29166.666666666668</v>
      </c>
      <c r="H81" s="273">
        <v>29166.666666666668</v>
      </c>
      <c r="I81" s="273">
        <v>29166.666666666668</v>
      </c>
      <c r="J81" s="273">
        <v>29166.666666666668</v>
      </c>
      <c r="K81" s="273">
        <v>29166.666666666668</v>
      </c>
      <c r="L81" s="273">
        <v>29166.666666666668</v>
      </c>
      <c r="M81" s="273">
        <v>29166.666666666668</v>
      </c>
      <c r="N81" s="273">
        <v>29166.666666666668</v>
      </c>
      <c r="O81" s="378">
        <v>29166.666666666668</v>
      </c>
      <c r="P81" s="445">
        <f t="shared" si="2"/>
        <v>350000.00000000006</v>
      </c>
      <c r="Q81" s="277">
        <f t="shared" si="3"/>
        <v>9.9544937428896491E-3</v>
      </c>
      <c r="R81" s="89"/>
      <c r="S81" s="397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1:32" ht="14.25" thickTop="1" thickBot="1">
      <c r="A82" s="8"/>
      <c r="B82" s="8"/>
      <c r="C82" s="217" t="str">
        <f>IF(MasterSheet!$A$1=1,MasterSheet!C398,MasterSheet!B398)</f>
        <v>Kapitalni budžet</v>
      </c>
      <c r="D82" s="399">
        <v>8485041.666666666</v>
      </c>
      <c r="E82" s="399">
        <v>8485041.666666666</v>
      </c>
      <c r="F82" s="399">
        <v>8485041.666666666</v>
      </c>
      <c r="G82" s="400">
        <v>8485041.666666666</v>
      </c>
      <c r="H82" s="400">
        <v>8485041.666666666</v>
      </c>
      <c r="I82" s="400">
        <v>8485041.666666666</v>
      </c>
      <c r="J82" s="400">
        <v>8485041.666666666</v>
      </c>
      <c r="K82" s="400">
        <v>8485041.666666666</v>
      </c>
      <c r="L82" s="400">
        <v>8485041.666666666</v>
      </c>
      <c r="M82" s="401">
        <v>8485041.666666666</v>
      </c>
      <c r="N82" s="282">
        <v>8485041.666666666</v>
      </c>
      <c r="O82" s="400">
        <v>8485041.666666666</v>
      </c>
      <c r="P82" s="472">
        <f t="shared" si="2"/>
        <v>101820500.00000001</v>
      </c>
      <c r="Q82" s="285">
        <f t="shared" si="3"/>
        <v>2.8959186575654159</v>
      </c>
      <c r="R82" s="89"/>
      <c r="S82" s="397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1:32" ht="13.5" thickTop="1">
      <c r="A83" s="8"/>
      <c r="B83" s="8"/>
      <c r="C83" s="229" t="str">
        <f>IF(MasterSheet!$A$1=1,MasterSheet!C399,MasterSheet!B399)</f>
        <v>Pozajmice i krediti</v>
      </c>
      <c r="D83" s="230">
        <v>178333.33333333334</v>
      </c>
      <c r="E83" s="231">
        <v>178333.33333333334</v>
      </c>
      <c r="F83" s="231">
        <v>178333.33333333334</v>
      </c>
      <c r="G83" s="231">
        <v>178333.33333333334</v>
      </c>
      <c r="H83" s="231">
        <v>178333.33333333334</v>
      </c>
      <c r="I83" s="263">
        <v>178333.33333333334</v>
      </c>
      <c r="J83" s="231">
        <v>178333.33333333334</v>
      </c>
      <c r="K83" s="263">
        <v>178333.33333333334</v>
      </c>
      <c r="L83" s="263">
        <v>178333.33333333334</v>
      </c>
      <c r="M83" s="263">
        <v>178333.33333333334</v>
      </c>
      <c r="N83" s="263">
        <v>178333.33333333334</v>
      </c>
      <c r="O83" s="293">
        <v>178333.33333333334</v>
      </c>
      <c r="P83" s="473">
        <f t="shared" si="2"/>
        <v>2139999.9999999995</v>
      </c>
      <c r="Q83" s="287">
        <f t="shared" si="3"/>
        <v>6.0864618885096686E-2</v>
      </c>
      <c r="R83" s="89"/>
      <c r="S83" s="39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ht="13.5" thickBot="1">
      <c r="A84" s="8"/>
      <c r="B84" s="8"/>
      <c r="C84" s="271" t="str">
        <f>IF(MasterSheet!$A$1=1,MasterSheet!C400,MasterSheet!B400)</f>
        <v>Rezerve</v>
      </c>
      <c r="D84" s="272">
        <v>737887.48083333333</v>
      </c>
      <c r="E84" s="274">
        <v>737887.48083333333</v>
      </c>
      <c r="F84" s="274">
        <v>737887.48083333333</v>
      </c>
      <c r="G84" s="274">
        <v>737887.48083333333</v>
      </c>
      <c r="H84" s="274">
        <v>737887.48083333333</v>
      </c>
      <c r="I84" s="273">
        <v>737887.48083333333</v>
      </c>
      <c r="J84" s="274">
        <v>737887.48083333333</v>
      </c>
      <c r="K84" s="273">
        <v>737887.48083333333</v>
      </c>
      <c r="L84" s="273">
        <v>737887.48083333333</v>
      </c>
      <c r="M84" s="273">
        <v>737887.48083333333</v>
      </c>
      <c r="N84" s="273">
        <v>737887.48083333333</v>
      </c>
      <c r="O84" s="378">
        <v>737887.48083333333</v>
      </c>
      <c r="P84" s="445">
        <f t="shared" si="2"/>
        <v>8854649.7699999977</v>
      </c>
      <c r="Q84" s="277">
        <f t="shared" si="3"/>
        <v>0.25183873065984069</v>
      </c>
      <c r="R84" s="89"/>
      <c r="S84" s="397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ht="14.25" thickTop="1" thickBot="1">
      <c r="A85" s="8"/>
      <c r="B85" s="8"/>
      <c r="C85" s="271" t="str">
        <f>IF(MasterSheet!$A$1=1,MasterSheet!C408,MasterSheet!B408)</f>
        <v>Otplata garancija</v>
      </c>
      <c r="D85" s="230">
        <v>0</v>
      </c>
      <c r="E85" s="231">
        <v>0</v>
      </c>
      <c r="F85" s="231">
        <v>0</v>
      </c>
      <c r="G85" s="231">
        <v>0</v>
      </c>
      <c r="H85" s="231">
        <v>0</v>
      </c>
      <c r="I85" s="263">
        <v>0</v>
      </c>
      <c r="J85" s="231">
        <v>0</v>
      </c>
      <c r="K85" s="263">
        <v>0</v>
      </c>
      <c r="L85" s="263">
        <v>0</v>
      </c>
      <c r="M85" s="263">
        <v>0</v>
      </c>
      <c r="N85" s="263">
        <v>0</v>
      </c>
      <c r="O85" s="293">
        <v>0</v>
      </c>
      <c r="P85" s="422">
        <f>+SUM(D85:O85)</f>
        <v>0</v>
      </c>
      <c r="Q85" s="265">
        <f t="shared" ref="Q85:Q98" si="8">+$P85/$D$14*100</f>
        <v>0</v>
      </c>
      <c r="R85" s="87"/>
      <c r="S85" s="397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ht="14.25" thickTop="1" thickBot="1">
      <c r="A86" s="8"/>
      <c r="B86" s="8"/>
      <c r="C86" s="271" t="s">
        <v>152</v>
      </c>
      <c r="D86" s="366">
        <v>0</v>
      </c>
      <c r="E86" s="368">
        <v>0</v>
      </c>
      <c r="F86" s="368">
        <v>0</v>
      </c>
      <c r="G86" s="368">
        <v>0</v>
      </c>
      <c r="H86" s="368">
        <v>0</v>
      </c>
      <c r="I86" s="368">
        <v>0</v>
      </c>
      <c r="J86" s="368">
        <v>0</v>
      </c>
      <c r="K86" s="368">
        <v>0</v>
      </c>
      <c r="L86" s="368">
        <v>0</v>
      </c>
      <c r="M86" s="368">
        <v>0</v>
      </c>
      <c r="N86" s="368">
        <v>0</v>
      </c>
      <c r="O86" s="380">
        <v>0</v>
      </c>
      <c r="P86" s="391"/>
      <c r="Q86" s="390">
        <f t="shared" si="8"/>
        <v>0</v>
      </c>
      <c r="R86" s="87"/>
      <c r="S86" s="397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ht="14.25" thickTop="1" thickBot="1">
      <c r="A87" s="8"/>
      <c r="B87" s="8"/>
      <c r="C87" s="217" t="str">
        <f>IF(MasterSheet!$A$1=1,MasterSheet!C402,MasterSheet!B402)</f>
        <v>Suficit/ Deficit</v>
      </c>
      <c r="D87" s="330">
        <f>+D19-D52</f>
        <v>-48375129.328034438</v>
      </c>
      <c r="E87" s="330">
        <f t="shared" ref="E87:O87" si="9">+E19-E52</f>
        <v>-31038234.886479124</v>
      </c>
      <c r="F87" s="330">
        <f t="shared" si="9"/>
        <v>-21481734.333081111</v>
      </c>
      <c r="G87" s="330">
        <f t="shared" si="9"/>
        <v>-4506341.2096453756</v>
      </c>
      <c r="H87" s="330">
        <f>+H19-H52</f>
        <v>-13610760.659075096</v>
      </c>
      <c r="I87" s="330">
        <f t="shared" si="9"/>
        <v>-5608621.1399348825</v>
      </c>
      <c r="J87" s="330">
        <f t="shared" si="9"/>
        <v>12472466.693584353</v>
      </c>
      <c r="K87" s="330">
        <f t="shared" si="9"/>
        <v>14778711.16826506</v>
      </c>
      <c r="L87" s="330">
        <f t="shared" si="9"/>
        <v>10247474.853430808</v>
      </c>
      <c r="M87" s="330">
        <f t="shared" si="9"/>
        <v>3989083.3701590598</v>
      </c>
      <c r="N87" s="330">
        <f t="shared" si="9"/>
        <v>-13394121.005284965</v>
      </c>
      <c r="O87" s="331">
        <f t="shared" si="9"/>
        <v>34978536.093265995</v>
      </c>
      <c r="P87" s="252">
        <f t="shared" ref="P87:P97" si="10">+SUM(D87:O87)</f>
        <v>-61548670.382829726</v>
      </c>
      <c r="Q87" s="220">
        <f t="shared" si="8"/>
        <v>-1.7505310120258739</v>
      </c>
      <c r="R87" s="89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ht="14.25" thickTop="1" thickBot="1">
      <c r="A88" s="8"/>
      <c r="B88" s="8"/>
      <c r="C88" s="217" t="str">
        <f>IF(MasterSheet!$A$1=1,MasterSheet!C403,MasterSheet!B403)</f>
        <v>Primarni deficit</v>
      </c>
      <c r="D88" s="330">
        <f t="shared" ref="D88:O88" si="11">+D87+D64</f>
        <v>-42265452.401367769</v>
      </c>
      <c r="E88" s="330">
        <f t="shared" si="11"/>
        <v>-24928557.959812459</v>
      </c>
      <c r="F88" s="330">
        <f t="shared" si="11"/>
        <v>-15372057.406414445</v>
      </c>
      <c r="G88" s="330">
        <f t="shared" si="11"/>
        <v>1603335.7170212911</v>
      </c>
      <c r="H88" s="330">
        <f t="shared" si="11"/>
        <v>-7501083.7324084295</v>
      </c>
      <c r="I88" s="330">
        <f t="shared" si="11"/>
        <v>501055.78673178423</v>
      </c>
      <c r="J88" s="330">
        <f t="shared" si="11"/>
        <v>18582143.620251019</v>
      </c>
      <c r="K88" s="330">
        <f t="shared" si="11"/>
        <v>20888388.094931725</v>
      </c>
      <c r="L88" s="330">
        <f t="shared" si="11"/>
        <v>16357151.780097473</v>
      </c>
      <c r="M88" s="330">
        <f t="shared" si="11"/>
        <v>10098760.296825726</v>
      </c>
      <c r="N88" s="330">
        <f t="shared" si="11"/>
        <v>-7284444.0786182983</v>
      </c>
      <c r="O88" s="331">
        <f t="shared" si="11"/>
        <v>41088213.019932665</v>
      </c>
      <c r="P88" s="252">
        <f t="shared" si="10"/>
        <v>11767452.737170253</v>
      </c>
      <c r="Q88" s="220">
        <f t="shared" si="8"/>
        <v>0.33468295611974552</v>
      </c>
      <c r="R88" s="89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1:32" ht="14.25" thickTop="1" thickBot="1">
      <c r="A89" s="8"/>
      <c r="B89" s="8"/>
      <c r="C89" s="217" t="str">
        <f>IF(MasterSheet!$A$1=1,MasterSheet!C404,MasterSheet!B404)</f>
        <v>Otplata duga</v>
      </c>
      <c r="D89" s="330">
        <f>+SUM(D90:D92)</f>
        <v>14285575.4575</v>
      </c>
      <c r="E89" s="330">
        <f t="shared" ref="E89:O89" si="12">+SUM(E90:E92)</f>
        <v>14285575.4575</v>
      </c>
      <c r="F89" s="330">
        <f t="shared" si="12"/>
        <v>14285575.4575</v>
      </c>
      <c r="G89" s="330">
        <f t="shared" si="12"/>
        <v>14285575.4575</v>
      </c>
      <c r="H89" s="330">
        <f t="shared" si="12"/>
        <v>14285575.4575</v>
      </c>
      <c r="I89" s="330">
        <f t="shared" si="12"/>
        <v>14285575.4575</v>
      </c>
      <c r="J89" s="330">
        <f t="shared" si="12"/>
        <v>14285575.4575</v>
      </c>
      <c r="K89" s="330">
        <f t="shared" si="12"/>
        <v>14285575.4575</v>
      </c>
      <c r="L89" s="330">
        <f t="shared" si="12"/>
        <v>14285575.4575</v>
      </c>
      <c r="M89" s="330">
        <f t="shared" si="12"/>
        <v>14285575.4575</v>
      </c>
      <c r="N89" s="330">
        <f t="shared" si="12"/>
        <v>14285575.4575</v>
      </c>
      <c r="O89" s="331">
        <f t="shared" si="12"/>
        <v>14285575.4575</v>
      </c>
      <c r="P89" s="252">
        <f>+SUM(D89:O89)</f>
        <v>171426905.49000001</v>
      </c>
      <c r="Q89" s="220">
        <f t="shared" si="8"/>
        <v>4.8756230230375435</v>
      </c>
      <c r="R89" s="145"/>
      <c r="S89" s="5"/>
      <c r="T89" s="5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1:32" ht="13.5" thickTop="1">
      <c r="A90" s="8"/>
      <c r="B90" s="8"/>
      <c r="C90" s="229" t="str">
        <f>IF(MasterSheet!$A$1=1,MasterSheet!C405,MasterSheet!B405)</f>
        <v>Otplata duga rezidentima</v>
      </c>
      <c r="D90" s="230">
        <v>2500695.4391666665</v>
      </c>
      <c r="E90" s="231">
        <v>2500695.4391666665</v>
      </c>
      <c r="F90" s="231">
        <v>2500695.4391666665</v>
      </c>
      <c r="G90" s="231">
        <v>2500695.4391666665</v>
      </c>
      <c r="H90" s="231">
        <v>2500695.4391666665</v>
      </c>
      <c r="I90" s="263">
        <v>2500695.4391666665</v>
      </c>
      <c r="J90" s="231">
        <v>2500695.4391666665</v>
      </c>
      <c r="K90" s="263">
        <v>2500695.4391666665</v>
      </c>
      <c r="L90" s="263">
        <v>2500695.4391666665</v>
      </c>
      <c r="M90" s="263">
        <v>2500695.4391666665</v>
      </c>
      <c r="N90" s="263">
        <v>2500695.4391666665</v>
      </c>
      <c r="O90" s="293">
        <v>2500695.4391666665</v>
      </c>
      <c r="P90" s="422">
        <f t="shared" si="10"/>
        <v>30008345.269999992</v>
      </c>
      <c r="Q90" s="265">
        <f t="shared" si="8"/>
        <v>0.85347967207053455</v>
      </c>
      <c r="R90" s="145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1:32">
      <c r="A91" s="8"/>
      <c r="B91" s="8"/>
      <c r="C91" s="229" t="str">
        <f>IF(MasterSheet!$A$1=1,MasterSheet!C406,MasterSheet!B406)</f>
        <v>Otplata duga nerezidentima</v>
      </c>
      <c r="D91" s="230">
        <v>9006700.020833334</v>
      </c>
      <c r="E91" s="231">
        <v>9006700.020833334</v>
      </c>
      <c r="F91" s="231">
        <v>9006700.020833334</v>
      </c>
      <c r="G91" s="231">
        <v>9006700.020833334</v>
      </c>
      <c r="H91" s="231">
        <v>9006700.020833334</v>
      </c>
      <c r="I91" s="263">
        <v>9006700.020833334</v>
      </c>
      <c r="J91" s="231">
        <v>9006700.020833334</v>
      </c>
      <c r="K91" s="263">
        <v>9006700.020833334</v>
      </c>
      <c r="L91" s="263">
        <v>9006700.020833334</v>
      </c>
      <c r="M91" s="263">
        <v>9006700.020833334</v>
      </c>
      <c r="N91" s="263">
        <v>9006700.020833334</v>
      </c>
      <c r="O91" s="293">
        <v>9006700.020833334</v>
      </c>
      <c r="P91" s="438">
        <f t="shared" si="10"/>
        <v>108080400.24999999</v>
      </c>
      <c r="Q91" s="265">
        <f t="shared" si="8"/>
        <v>3.073959051478953</v>
      </c>
      <c r="R91" s="145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1:32" ht="13.5" thickBot="1">
      <c r="A92" s="8"/>
      <c r="B92" s="8"/>
      <c r="C92" s="229" t="str">
        <f>IF(MasterSheet!$A$1=1,MasterSheet!C407,MasterSheet!B407)</f>
        <v>Otplata obaveza iz prethodnog perioda</v>
      </c>
      <c r="D92" s="230">
        <v>2778179.9974999996</v>
      </c>
      <c r="E92" s="231">
        <v>2778179.9974999996</v>
      </c>
      <c r="F92" s="231">
        <v>2778179.9974999996</v>
      </c>
      <c r="G92" s="231">
        <v>2778179.9974999996</v>
      </c>
      <c r="H92" s="231">
        <v>2778179.9974999996</v>
      </c>
      <c r="I92" s="263">
        <v>2778179.9974999996</v>
      </c>
      <c r="J92" s="231">
        <v>2778179.9974999996</v>
      </c>
      <c r="K92" s="263">
        <v>2778179.9974999996</v>
      </c>
      <c r="L92" s="263">
        <v>2778179.9974999996</v>
      </c>
      <c r="M92" s="263">
        <v>2778179.9974999996</v>
      </c>
      <c r="N92" s="263">
        <v>2778179.9974999996</v>
      </c>
      <c r="O92" s="293">
        <v>2778179.9974999996</v>
      </c>
      <c r="P92" s="422">
        <f t="shared" si="10"/>
        <v>33338159.969999988</v>
      </c>
      <c r="Q92" s="265">
        <f t="shared" si="8"/>
        <v>0.94818429948805427</v>
      </c>
      <c r="R92" s="145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1:32" ht="14.25" thickTop="1" thickBot="1">
      <c r="A93" s="8"/>
      <c r="B93" s="8"/>
      <c r="C93" s="217" t="str">
        <f>IF(MasterSheet!$A$1=1,MasterSheet!C409,MasterSheet!B409)</f>
        <v>Nedostajuća sredstva</v>
      </c>
      <c r="D93" s="330">
        <f>+D87-D89</f>
        <v>-62660704.785534441</v>
      </c>
      <c r="E93" s="330">
        <f t="shared" ref="E93:O93" si="13">+E87-E89</f>
        <v>-45323810.34397912</v>
      </c>
      <c r="F93" s="330">
        <f t="shared" si="13"/>
        <v>-35767309.790581107</v>
      </c>
      <c r="G93" s="330">
        <f t="shared" si="13"/>
        <v>-18791916.667145375</v>
      </c>
      <c r="H93" s="330">
        <f t="shared" si="13"/>
        <v>-27896336.116575096</v>
      </c>
      <c r="I93" s="330">
        <f t="shared" si="13"/>
        <v>-19894196.597434882</v>
      </c>
      <c r="J93" s="330">
        <f t="shared" si="13"/>
        <v>-1813108.7639156468</v>
      </c>
      <c r="K93" s="330">
        <f t="shared" si="13"/>
        <v>493135.71076506004</v>
      </c>
      <c r="L93" s="330">
        <f t="shared" si="13"/>
        <v>-4038100.604069192</v>
      </c>
      <c r="M93" s="330">
        <f t="shared" si="13"/>
        <v>-10296492.08734094</v>
      </c>
      <c r="N93" s="330">
        <f t="shared" si="13"/>
        <v>-27679696.462784965</v>
      </c>
      <c r="O93" s="331">
        <f t="shared" si="13"/>
        <v>20692960.635765996</v>
      </c>
      <c r="P93" s="252">
        <f t="shared" si="10"/>
        <v>-232975575.87282974</v>
      </c>
      <c r="Q93" s="220">
        <f t="shared" si="8"/>
        <v>-6.6261540350634167</v>
      </c>
      <c r="R93" s="89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1:32" ht="14.25" thickTop="1" thickBot="1">
      <c r="A94" s="8"/>
      <c r="B94" s="8"/>
      <c r="C94" s="217" t="str">
        <f>IF(MasterSheet!$A$1=1,MasterSheet!C410,MasterSheet!B410)</f>
        <v>Finansiranje</v>
      </c>
      <c r="D94" s="330">
        <f>+SUM(D95:D98)</f>
        <v>62660704.785534441</v>
      </c>
      <c r="E94" s="330">
        <f t="shared" ref="E94:O94" si="14">+SUM(E95:E98)</f>
        <v>45323810.34397912</v>
      </c>
      <c r="F94" s="330">
        <f t="shared" si="14"/>
        <v>35767309.790581107</v>
      </c>
      <c r="G94" s="330">
        <f t="shared" si="14"/>
        <v>18791916.667145375</v>
      </c>
      <c r="H94" s="330">
        <f t="shared" si="14"/>
        <v>27896336.116575096</v>
      </c>
      <c r="I94" s="330">
        <f t="shared" si="14"/>
        <v>19894196.597434882</v>
      </c>
      <c r="J94" s="330">
        <f t="shared" si="14"/>
        <v>1813108.7639156468</v>
      </c>
      <c r="K94" s="330">
        <f t="shared" si="14"/>
        <v>-493135.71076506004</v>
      </c>
      <c r="L94" s="330">
        <f t="shared" si="14"/>
        <v>4038100.604069192</v>
      </c>
      <c r="M94" s="330">
        <f t="shared" si="14"/>
        <v>10296492.08734094</v>
      </c>
      <c r="N94" s="330">
        <f t="shared" si="14"/>
        <v>27679696.462784965</v>
      </c>
      <c r="O94" s="331">
        <f t="shared" si="14"/>
        <v>-20692960.635766</v>
      </c>
      <c r="P94" s="252">
        <f t="shared" si="10"/>
        <v>232975575.87282974</v>
      </c>
      <c r="Q94" s="220">
        <f t="shared" si="8"/>
        <v>6.6261540350634167</v>
      </c>
      <c r="R94" s="89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1:32" ht="13.5" thickTop="1">
      <c r="A95" s="8"/>
      <c r="B95" s="8"/>
      <c r="C95" s="229" t="str">
        <f>IF(MasterSheet!$A$1=1,MasterSheet!C411,MasterSheet!B411)</f>
        <v>Pozajmice i krediti iz domaćih izvora</v>
      </c>
      <c r="D95" s="296">
        <v>0</v>
      </c>
      <c r="E95" s="297">
        <v>0</v>
      </c>
      <c r="F95" s="297">
        <v>0</v>
      </c>
      <c r="G95" s="297">
        <v>0</v>
      </c>
      <c r="H95" s="297">
        <v>0</v>
      </c>
      <c r="I95" s="297">
        <v>0</v>
      </c>
      <c r="J95" s="297">
        <v>0</v>
      </c>
      <c r="K95" s="297">
        <v>0</v>
      </c>
      <c r="L95" s="297">
        <v>0</v>
      </c>
      <c r="M95" s="297">
        <v>0</v>
      </c>
      <c r="N95" s="297">
        <v>0</v>
      </c>
      <c r="O95" s="298">
        <v>0</v>
      </c>
      <c r="P95" s="422">
        <f t="shared" si="10"/>
        <v>0</v>
      </c>
      <c r="Q95" s="265">
        <f t="shared" si="8"/>
        <v>0</v>
      </c>
      <c r="R95" s="87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1:32">
      <c r="A96" s="8"/>
      <c r="B96" s="8"/>
      <c r="C96" s="229" t="str">
        <f>IF(MasterSheet!$A$1=1,MasterSheet!C412,MasterSheet!B412)</f>
        <v>Pozajmice i krediti iz inostranih izvora</v>
      </c>
      <c r="D96" s="230">
        <v>18997964.655235786</v>
      </c>
      <c r="E96" s="263">
        <v>18997964.655235786</v>
      </c>
      <c r="F96" s="263">
        <v>18997964.655235786</v>
      </c>
      <c r="G96" s="479">
        <v>18997964.655235786</v>
      </c>
      <c r="H96" s="263">
        <v>18997964.655235786</v>
      </c>
      <c r="I96" s="263">
        <v>18997964.655235786</v>
      </c>
      <c r="J96" s="263">
        <v>18997964.655235786</v>
      </c>
      <c r="K96" s="263">
        <v>18997964.655235786</v>
      </c>
      <c r="L96" s="263">
        <v>18997964.655235786</v>
      </c>
      <c r="M96" s="480">
        <v>18997964.655235786</v>
      </c>
      <c r="N96" s="263">
        <v>18997964.655235786</v>
      </c>
      <c r="O96" s="299">
        <v>18997964.655235786</v>
      </c>
      <c r="P96" s="422">
        <f t="shared" si="10"/>
        <v>227975575.86282948</v>
      </c>
      <c r="Q96" s="265">
        <f t="shared" si="8"/>
        <v>6.4839469813091437</v>
      </c>
      <c r="R96" s="87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>
      <c r="A97" s="8"/>
      <c r="B97" s="8"/>
      <c r="C97" s="229" t="str">
        <f>IF(MasterSheet!$A$1=1,MasterSheet!C414,MasterSheet!B414)</f>
        <v>Prihodi od privatizacije</v>
      </c>
      <c r="D97" s="230">
        <v>416666.66666666669</v>
      </c>
      <c r="E97" s="263">
        <v>416666.66666666669</v>
      </c>
      <c r="F97" s="263">
        <v>416666.66666666669</v>
      </c>
      <c r="G97" s="263">
        <v>416666.66666666669</v>
      </c>
      <c r="H97" s="263">
        <v>416666.66666666669</v>
      </c>
      <c r="I97" s="263">
        <v>416666.66666666669</v>
      </c>
      <c r="J97" s="263">
        <v>416666.66666666669</v>
      </c>
      <c r="K97" s="263">
        <v>416666.66666666669</v>
      </c>
      <c r="L97" s="263">
        <v>416666.66666666669</v>
      </c>
      <c r="M97" s="263">
        <v>416666.66666666669</v>
      </c>
      <c r="N97" s="263">
        <v>416666.66666666669</v>
      </c>
      <c r="O97" s="299">
        <v>416666.66666666669</v>
      </c>
      <c r="P97" s="422">
        <f t="shared" si="10"/>
        <v>5000000</v>
      </c>
      <c r="Q97" s="265">
        <f t="shared" si="8"/>
        <v>0.1422070534698521</v>
      </c>
      <c r="R97" s="87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ht="13.5" thickBot="1">
      <c r="A98" s="8"/>
      <c r="B98" s="8"/>
      <c r="C98" s="302" t="str">
        <f>IF(MasterSheet!$A$1=1,MasterSheet!C415,MasterSheet!B415)</f>
        <v>Povećanje/smanjenje depozita</v>
      </c>
      <c r="D98" s="303">
        <f t="shared" ref="D98:O98" si="15">-D93-SUM(D95:D97)</f>
        <v>43246073.463631988</v>
      </c>
      <c r="E98" s="304">
        <f t="shared" si="15"/>
        <v>25909179.022076666</v>
      </c>
      <c r="F98" s="304">
        <f t="shared" si="15"/>
        <v>16352678.468678653</v>
      </c>
      <c r="G98" s="304">
        <f t="shared" si="15"/>
        <v>-622714.65475707874</v>
      </c>
      <c r="H98" s="304">
        <f t="shared" si="15"/>
        <v>8481704.7946726419</v>
      </c>
      <c r="I98" s="304">
        <f t="shared" si="15"/>
        <v>479565.27553242818</v>
      </c>
      <c r="J98" s="304">
        <f t="shared" si="15"/>
        <v>-17601522.557986807</v>
      </c>
      <c r="K98" s="304">
        <f t="shared" si="15"/>
        <v>-19907767.032667514</v>
      </c>
      <c r="L98" s="304">
        <f t="shared" si="15"/>
        <v>-15376530.717833262</v>
      </c>
      <c r="M98" s="304">
        <f t="shared" si="15"/>
        <v>-9118139.2345615141</v>
      </c>
      <c r="N98" s="304">
        <f t="shared" si="15"/>
        <v>8265065.1408825107</v>
      </c>
      <c r="O98" s="349">
        <f t="shared" si="15"/>
        <v>-40107591.957668453</v>
      </c>
      <c r="P98" s="355">
        <f>+SUM(D98:O98)</f>
        <v>1.0000236332416534E-2</v>
      </c>
      <c r="Q98" s="308">
        <f t="shared" si="8"/>
        <v>2.8442082856702313E-10</v>
      </c>
      <c r="R98" s="63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ht="13.5" thickTop="1">
      <c r="A99" s="8"/>
      <c r="B99" s="8"/>
      <c r="C99" s="309" t="str">
        <f>IF(MasterSheet!$A$1=1,MasterSheet!C416,MasterSheet!B416)</f>
        <v>Izvor: Ministarstvo finansija Crne Gore</v>
      </c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1:3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397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1:32">
      <c r="A101" s="8"/>
      <c r="B101" s="8"/>
      <c r="C101" s="8"/>
      <c r="D101" s="8"/>
      <c r="E101" s="8"/>
      <c r="F101" s="8"/>
      <c r="G101" s="8"/>
      <c r="H101" s="396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1:32">
      <c r="A102" s="8"/>
      <c r="B102" s="8"/>
      <c r="C102" s="8"/>
      <c r="D102" s="8"/>
      <c r="E102" s="8"/>
      <c r="F102" s="8"/>
      <c r="G102" s="397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1:32">
      <c r="A103" s="8"/>
      <c r="B103" s="8"/>
      <c r="C103" s="8"/>
      <c r="D103" s="8"/>
      <c r="E103" s="8"/>
      <c r="F103" s="8"/>
      <c r="G103" s="397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1:3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1:3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1:3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1:3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1:3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1:3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1:3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1:3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1:3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1:3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1:3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1:3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1:3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1:3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1:3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1:3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1:3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1:3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1:3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1:3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1:3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1:3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1:3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1:3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1:3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1:3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1:3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1:3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1:3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1:3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1:3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spans="1:3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32">
      <c r="D157" s="8"/>
      <c r="E157" s="8"/>
      <c r="F157" s="8"/>
      <c r="G157" s="8"/>
      <c r="H157" s="8"/>
      <c r="I157" s="8"/>
    </row>
  </sheetData>
  <sheetProtection formatCells="0" formatColumns="0" formatRows="0" sort="0" autoFilter="0" pivotTables="0"/>
  <mergeCells count="5">
    <mergeCell ref="G8:I8"/>
    <mergeCell ref="F9:J9"/>
    <mergeCell ref="C17:C18"/>
    <mergeCell ref="D14:Q14"/>
    <mergeCell ref="D17:Q17"/>
  </mergeCells>
  <pageMargins left="0.15748031496062992" right="0.19685039370078741" top="0.74803149606299213" bottom="0.74803149606299213" header="0.31496062992125984" footer="0.31496062992125984"/>
  <pageSetup paperSize="9"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6"/>
  <sheetViews>
    <sheetView zoomScale="85" zoomScaleNormal="85" workbookViewId="0">
      <selection activeCell="A81" sqref="A76:XFD81"/>
    </sheetView>
  </sheetViews>
  <sheetFormatPr defaultRowHeight="12.75"/>
  <cols>
    <col min="1" max="1" width="9.140625" style="2" customWidth="1"/>
    <col min="2" max="2" width="9.140625" customWidth="1"/>
    <col min="3" max="3" width="54.85546875" customWidth="1"/>
    <col min="4" max="4" width="10.7109375" customWidth="1"/>
    <col min="5" max="8" width="10.7109375" style="1" customWidth="1"/>
    <col min="9" max="9" width="10.7109375" customWidth="1"/>
    <col min="10" max="10" width="8.85546875" customWidth="1"/>
    <col min="11" max="11" width="10.7109375" customWidth="1"/>
    <col min="12" max="12" width="11.7109375" customWidth="1"/>
    <col min="13" max="13" width="10.7109375" customWidth="1"/>
    <col min="14" max="15" width="11.7109375" customWidth="1"/>
    <col min="16" max="16" width="14.7109375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2"/>
      <c r="C1" s="3"/>
      <c r="D1" s="2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B2" s="2"/>
      <c r="C2" s="3"/>
      <c r="D2" s="2"/>
      <c r="E2" s="5"/>
      <c r="F2" s="2"/>
      <c r="G2" s="5"/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B3" s="2"/>
      <c r="C3" s="3"/>
      <c r="D3" s="2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B4" s="2"/>
      <c r="C4" s="3"/>
      <c r="D4" s="2"/>
      <c r="E4" s="5"/>
      <c r="F4" s="2"/>
      <c r="G4" s="5"/>
      <c r="H4" s="2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B5" s="2"/>
      <c r="C5" s="3"/>
      <c r="D5" s="2"/>
      <c r="E5" s="5"/>
      <c r="F5" s="5"/>
      <c r="G5" s="5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B6" s="2"/>
      <c r="C6" s="3"/>
      <c r="D6" s="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>
      <c r="B7" s="2"/>
      <c r="C7" s="3"/>
      <c r="D7" s="574" t="str">
        <f>IF(MasterSheet!$A$1=1, MasterSheet!C5,MasterSheet!B5)</f>
        <v>CRNA GORA</v>
      </c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B8" s="2"/>
      <c r="C8" s="2"/>
      <c r="D8" s="574" t="str">
        <f>IF(MasterSheet!$A$1=1, MasterSheet!C6,MasterSheet!B6)</f>
        <v>MINISTARSTVO FINANSIJA</v>
      </c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>
      <c r="B9" s="2"/>
      <c r="C9" s="5"/>
      <c r="D9" s="5"/>
      <c r="E9" s="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2"/>
      <c r="S9" s="2"/>
      <c r="T9" s="2"/>
      <c r="U9" s="2"/>
      <c r="V9" s="3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B10" s="2"/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B11" s="2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Y11" s="2"/>
      <c r="Z11" s="2"/>
      <c r="AA11" s="2"/>
      <c r="AB11" s="2"/>
      <c r="AC11" s="2"/>
      <c r="AD11" s="2"/>
      <c r="AE11" s="2"/>
      <c r="AF11" s="2"/>
    </row>
    <row r="12" spans="1:32"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B13" s="2"/>
      <c r="C13" s="5"/>
      <c r="D13" s="5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577">
        <f>+'2014 - plan'!D14</f>
        <v>3516000000</v>
      </c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9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ht="17.25" customHeight="1" thickTop="1">
      <c r="B17" s="2"/>
      <c r="C17" s="575" t="str">
        <f>IF(MasterSheet!$A$1=1,MasterSheet!B422,MasterSheet!B421)</f>
        <v>Izvršenje budžeta, po mjesecima</v>
      </c>
      <c r="D17" s="583">
        <v>2014</v>
      </c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584"/>
      <c r="S17" s="584"/>
      <c r="T17" s="584"/>
      <c r="U17" s="584"/>
      <c r="V17" s="584"/>
      <c r="W17" s="584"/>
      <c r="X17" s="585"/>
      <c r="Y17" s="2"/>
      <c r="Z17" s="2"/>
      <c r="AA17" s="2"/>
      <c r="AB17" s="2"/>
      <c r="AC17" s="2"/>
      <c r="AD17" s="2"/>
      <c r="AE17" s="2"/>
      <c r="AF17" s="2"/>
    </row>
    <row r="18" spans="2:32" ht="13.5" thickBot="1">
      <c r="B18" s="2"/>
      <c r="C18" s="576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356" t="s">
        <v>411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2"/>
      <c r="Z18" s="2"/>
      <c r="AA18" s="2"/>
      <c r="AB18" s="2"/>
      <c r="AC18" s="2"/>
      <c r="AD18" s="2"/>
      <c r="AE18" s="2"/>
      <c r="AF18" s="2"/>
    </row>
    <row r="19" spans="2:32" ht="15" customHeight="1" thickTop="1" thickBot="1">
      <c r="B19" s="2"/>
      <c r="C19" s="313" t="str">
        <f>IF(MasterSheet!$A$1=1,MasterSheet!C337,MasterSheet!B337)</f>
        <v>Izvorni prihodi</v>
      </c>
      <c r="D19" s="314">
        <f>+D20+D28+D33+D38+D45+D50+D51</f>
        <v>70782033.309999987</v>
      </c>
      <c r="E19" s="448">
        <f t="shared" ref="E19:O19" si="0">+E20+E28+E33+E38+E45+E50+E51</f>
        <v>82107724.440000013</v>
      </c>
      <c r="F19" s="314">
        <f t="shared" si="0"/>
        <v>100668861.39000002</v>
      </c>
      <c r="G19" s="314">
        <f t="shared" si="0"/>
        <v>108679556.45999998</v>
      </c>
      <c r="H19" s="314">
        <f t="shared" si="0"/>
        <v>0</v>
      </c>
      <c r="I19" s="314">
        <f t="shared" si="0"/>
        <v>0</v>
      </c>
      <c r="J19" s="314">
        <f t="shared" si="0"/>
        <v>0</v>
      </c>
      <c r="K19" s="314">
        <f t="shared" si="0"/>
        <v>0</v>
      </c>
      <c r="L19" s="314">
        <f t="shared" si="0"/>
        <v>0</v>
      </c>
      <c r="M19" s="314">
        <f t="shared" si="0"/>
        <v>0</v>
      </c>
      <c r="N19" s="314">
        <f t="shared" si="0"/>
        <v>0</v>
      </c>
      <c r="O19" s="315">
        <f t="shared" si="0"/>
        <v>0</v>
      </c>
      <c r="P19" s="402">
        <f>SUM(D19:O19)</f>
        <v>362238175.60000002</v>
      </c>
      <c r="Q19" s="316">
        <f>+P19+P95+P96+P51+P97</f>
        <v>464156695.36000007</v>
      </c>
      <c r="R19" s="317"/>
      <c r="S19" s="317"/>
      <c r="T19" s="317"/>
      <c r="U19" s="317"/>
      <c r="V19" s="317"/>
      <c r="W19" s="317"/>
      <c r="X19" s="220">
        <f>+P19/$D$14*100</f>
        <v>10.302564721274175</v>
      </c>
      <c r="Y19" s="2"/>
      <c r="Z19" s="2"/>
      <c r="AA19" s="2"/>
      <c r="AB19" s="2"/>
      <c r="AC19" s="2"/>
      <c r="AD19" s="2"/>
      <c r="AE19" s="2"/>
      <c r="AF19" s="2"/>
    </row>
    <row r="20" spans="2:32" ht="15" customHeight="1" thickTop="1">
      <c r="B20" s="2"/>
      <c r="C20" s="318" t="str">
        <f>IF(MasterSheet!$A$1=1,MasterSheet!C338,MasterSheet!B338)</f>
        <v>Porezi</v>
      </c>
      <c r="D20" s="236">
        <f t="shared" ref="D20:N20" si="1">SUM(D21:D27)</f>
        <v>48388139.909999996</v>
      </c>
      <c r="E20" s="224">
        <f t="shared" si="1"/>
        <v>48891680.690000005</v>
      </c>
      <c r="F20" s="223">
        <f t="shared" si="1"/>
        <v>66983401.860000007</v>
      </c>
      <c r="G20" s="223">
        <f t="shared" si="1"/>
        <v>71590015.019999996</v>
      </c>
      <c r="H20" s="223">
        <f t="shared" si="1"/>
        <v>0</v>
      </c>
      <c r="I20" s="223">
        <f t="shared" si="1"/>
        <v>0</v>
      </c>
      <c r="J20" s="223">
        <f t="shared" si="1"/>
        <v>0</v>
      </c>
      <c r="K20" s="223">
        <f t="shared" si="1"/>
        <v>0</v>
      </c>
      <c r="L20" s="223">
        <f t="shared" si="1"/>
        <v>0</v>
      </c>
      <c r="M20" s="223">
        <f t="shared" si="1"/>
        <v>0</v>
      </c>
      <c r="N20" s="372">
        <f t="shared" si="1"/>
        <v>0</v>
      </c>
      <c r="O20" s="386">
        <f t="shared" ref="O20" si="2">+SUM(O21:O27)</f>
        <v>0</v>
      </c>
      <c r="P20" s="403">
        <f t="shared" ref="P20:P50" si="3">SUM(D20:O20)</f>
        <v>235853237.48000002</v>
      </c>
      <c r="Q20" s="310"/>
      <c r="R20" s="310"/>
      <c r="S20" s="310"/>
      <c r="T20" s="310"/>
      <c r="U20" s="310"/>
      <c r="V20" s="310"/>
      <c r="W20" s="310"/>
      <c r="X20" s="228">
        <f t="shared" ref="X20:X85" si="4">+P20/$D$14*100</f>
        <v>6.7079987906712182</v>
      </c>
      <c r="Y20" s="113"/>
      <c r="Z20" s="2"/>
      <c r="AA20" s="2"/>
      <c r="AB20" s="2"/>
      <c r="AC20" s="2"/>
      <c r="AD20" s="2"/>
      <c r="AE20" s="2"/>
      <c r="AF20" s="2"/>
    </row>
    <row r="21" spans="2:32" ht="15" customHeight="1">
      <c r="B21" s="2"/>
      <c r="C21" s="319" t="str">
        <f>IF(MasterSheet!$A$1=1,MasterSheet!C339,MasterSheet!B339)</f>
        <v>Porez na dohodak fizičkih lica</v>
      </c>
      <c r="D21" s="230">
        <v>3618675.86</v>
      </c>
      <c r="E21" s="231">
        <v>6667541.54</v>
      </c>
      <c r="F21" s="263">
        <v>8194536.0300000003</v>
      </c>
      <c r="G21" s="263">
        <v>8012567.7000000002</v>
      </c>
      <c r="H21" s="263"/>
      <c r="I21" s="263"/>
      <c r="J21" s="263"/>
      <c r="K21" s="263"/>
      <c r="L21" s="263"/>
      <c r="M21" s="263"/>
      <c r="N21" s="293"/>
      <c r="O21" s="320"/>
      <c r="P21" s="404">
        <f t="shared" si="3"/>
        <v>26493321.129999999</v>
      </c>
      <c r="Q21" s="310"/>
      <c r="R21" s="311"/>
      <c r="S21" s="310"/>
      <c r="T21" s="310"/>
      <c r="U21" s="310"/>
      <c r="V21" s="310"/>
      <c r="W21" s="310"/>
      <c r="X21" s="234">
        <f t="shared" si="4"/>
        <v>0.75350742690557448</v>
      </c>
      <c r="Y21" s="2"/>
      <c r="Z21" s="2"/>
      <c r="AA21" s="2"/>
      <c r="AB21" s="2"/>
      <c r="AC21" s="2"/>
      <c r="AD21" s="2"/>
      <c r="AE21" s="2"/>
      <c r="AF21" s="2"/>
    </row>
    <row r="22" spans="2:32" ht="15" customHeight="1">
      <c r="B22" s="2"/>
      <c r="C22" s="319" t="str">
        <f>IF(MasterSheet!$A$1=1,MasterSheet!C340,MasterSheet!B340)</f>
        <v>Porez na dobit pravnih lica</v>
      </c>
      <c r="D22" s="230">
        <v>1541172.27</v>
      </c>
      <c r="E22" s="231">
        <v>956251.9</v>
      </c>
      <c r="F22" s="263">
        <v>12105724.380000001</v>
      </c>
      <c r="G22" s="263">
        <v>11308140.51</v>
      </c>
      <c r="H22" s="263"/>
      <c r="I22" s="263"/>
      <c r="J22" s="263"/>
      <c r="K22" s="263"/>
      <c r="L22" s="263"/>
      <c r="M22" s="263"/>
      <c r="N22" s="293"/>
      <c r="O22" s="320"/>
      <c r="P22" s="404">
        <f t="shared" si="3"/>
        <v>25911289.060000002</v>
      </c>
      <c r="Q22" s="310"/>
      <c r="R22" s="310"/>
      <c r="S22" s="310"/>
      <c r="T22" s="310"/>
      <c r="U22" s="310"/>
      <c r="V22" s="310"/>
      <c r="W22" s="310"/>
      <c r="X22" s="234">
        <f t="shared" si="4"/>
        <v>0.73695361376564283</v>
      </c>
      <c r="Y22" s="2"/>
      <c r="Z22" s="2"/>
      <c r="AA22" s="2"/>
      <c r="AB22" s="2"/>
      <c r="AC22" s="2"/>
      <c r="AD22" s="2"/>
      <c r="AE22" s="2"/>
      <c r="AF22" s="2"/>
    </row>
    <row r="23" spans="2:32" ht="15" customHeight="1">
      <c r="B23" s="2"/>
      <c r="C23" s="319" t="str">
        <f>IF(MasterSheet!$A$1=1,MasterSheet!C341,MasterSheet!B341)</f>
        <v>Porez na imovinu</v>
      </c>
      <c r="D23" s="230">
        <v>101912.43</v>
      </c>
      <c r="E23" s="231">
        <v>108443.93</v>
      </c>
      <c r="F23" s="263">
        <v>147063.39000000001</v>
      </c>
      <c r="G23" s="263">
        <v>141709.28</v>
      </c>
      <c r="H23" s="263"/>
      <c r="I23" s="263"/>
      <c r="J23" s="263"/>
      <c r="K23" s="263"/>
      <c r="L23" s="263"/>
      <c r="M23" s="263"/>
      <c r="N23" s="293"/>
      <c r="O23" s="320"/>
      <c r="P23" s="404">
        <f t="shared" si="3"/>
        <v>499129.03</v>
      </c>
      <c r="Q23" s="310"/>
      <c r="R23" s="310"/>
      <c r="S23" s="310"/>
      <c r="T23" s="310"/>
      <c r="U23" s="310"/>
      <c r="V23" s="310"/>
      <c r="W23" s="310"/>
      <c r="X23" s="234">
        <f t="shared" si="4"/>
        <v>1.4195933731513084E-2</v>
      </c>
      <c r="Y23" s="2"/>
      <c r="Z23" s="2"/>
      <c r="AA23" s="2"/>
      <c r="AB23" s="2"/>
      <c r="AC23" s="2"/>
      <c r="AD23" s="2"/>
      <c r="AE23" s="2"/>
      <c r="AF23" s="2"/>
    </row>
    <row r="24" spans="2:32" ht="15" customHeight="1">
      <c r="B24" s="2"/>
      <c r="C24" s="319" t="str">
        <f>IF(MasterSheet!$A$1=1,MasterSheet!C342,MasterSheet!B342)</f>
        <v>Porez na dodatu vrijednost</v>
      </c>
      <c r="D24" s="230">
        <v>32174209.809999999</v>
      </c>
      <c r="E24" s="231">
        <v>31155049.949999999</v>
      </c>
      <c r="F24" s="263">
        <v>34924206.759999998</v>
      </c>
      <c r="G24" s="263">
        <v>39010711.420000002</v>
      </c>
      <c r="H24" s="263"/>
      <c r="I24" s="263"/>
      <c r="J24" s="263"/>
      <c r="K24" s="263"/>
      <c r="L24" s="263"/>
      <c r="M24" s="263"/>
      <c r="N24" s="293"/>
      <c r="O24" s="320"/>
      <c r="P24" s="404">
        <f t="shared" si="3"/>
        <v>137264177.94</v>
      </c>
      <c r="Q24" s="310"/>
      <c r="R24" s="310"/>
      <c r="S24" s="310"/>
      <c r="T24" s="310"/>
      <c r="U24" s="310"/>
      <c r="V24" s="310"/>
      <c r="W24" s="310"/>
      <c r="X24" s="234">
        <f t="shared" si="4"/>
        <v>3.9039868583617752</v>
      </c>
      <c r="Y24" s="2"/>
      <c r="Z24" s="2"/>
      <c r="AA24" s="2"/>
      <c r="AB24" s="2"/>
      <c r="AC24" s="2"/>
      <c r="AD24" s="2"/>
      <c r="AE24" s="2"/>
      <c r="AF24" s="2"/>
    </row>
    <row r="25" spans="2:32" ht="15" customHeight="1">
      <c r="B25" s="2"/>
      <c r="C25" s="319" t="str">
        <f>IF(MasterSheet!$A$1=1,MasterSheet!C343,MasterSheet!B343)</f>
        <v xml:space="preserve">Akcize </v>
      </c>
      <c r="D25" s="230">
        <v>9737815.5600000005</v>
      </c>
      <c r="E25" s="231">
        <v>8372894.3799999999</v>
      </c>
      <c r="F25" s="263">
        <v>9529436.2400000002</v>
      </c>
      <c r="G25" s="263">
        <v>10780925.279999999</v>
      </c>
      <c r="H25" s="263"/>
      <c r="I25" s="263"/>
      <c r="J25" s="263"/>
      <c r="K25" s="263"/>
      <c r="L25" s="263"/>
      <c r="M25" s="263"/>
      <c r="N25" s="293"/>
      <c r="O25" s="320"/>
      <c r="P25" s="404">
        <f t="shared" si="3"/>
        <v>38421071.460000001</v>
      </c>
      <c r="Q25" s="310"/>
      <c r="R25" s="310"/>
      <c r="S25" s="310"/>
      <c r="T25" s="310"/>
      <c r="U25" s="310"/>
      <c r="V25" s="310"/>
      <c r="W25" s="310"/>
      <c r="X25" s="234">
        <f t="shared" si="4"/>
        <v>1.0927494726962459</v>
      </c>
      <c r="Y25" s="2"/>
      <c r="Z25" s="2"/>
      <c r="AA25" s="2"/>
      <c r="AB25" s="2"/>
      <c r="AC25" s="2"/>
      <c r="AD25" s="2"/>
      <c r="AE25" s="2"/>
      <c r="AF25" s="2"/>
    </row>
    <row r="26" spans="2:32" ht="15" customHeight="1">
      <c r="B26" s="2"/>
      <c r="C26" s="319" t="str">
        <f>IF(MasterSheet!$A$1=1,MasterSheet!C344,MasterSheet!B344)</f>
        <v>Porez na međ. trgov. i transakcije</v>
      </c>
      <c r="D26" s="230">
        <v>956509.68</v>
      </c>
      <c r="E26" s="231">
        <v>1301360.32</v>
      </c>
      <c r="F26" s="263">
        <v>1639263.5</v>
      </c>
      <c r="G26" s="263">
        <v>1828424.62</v>
      </c>
      <c r="H26" s="263"/>
      <c r="I26" s="263"/>
      <c r="J26" s="263"/>
      <c r="K26" s="263"/>
      <c r="L26" s="263"/>
      <c r="M26" s="263"/>
      <c r="N26" s="293"/>
      <c r="O26" s="320"/>
      <c r="P26" s="404">
        <f t="shared" si="3"/>
        <v>5725558.1200000001</v>
      </c>
      <c r="Q26" s="310"/>
      <c r="R26" s="310"/>
      <c r="S26" s="310"/>
      <c r="T26" s="310"/>
      <c r="U26" s="310"/>
      <c r="V26" s="310"/>
      <c r="W26" s="310"/>
      <c r="X26" s="234">
        <f t="shared" si="4"/>
        <v>0.16284294994311718</v>
      </c>
      <c r="Y26" s="2"/>
      <c r="Z26" s="2"/>
      <c r="AA26" s="2"/>
      <c r="AB26" s="2"/>
      <c r="AC26" s="2"/>
      <c r="AD26" s="2"/>
      <c r="AE26" s="2"/>
      <c r="AF26" s="2"/>
    </row>
    <row r="27" spans="2:32" ht="15" customHeight="1">
      <c r="B27" s="2"/>
      <c r="C27" s="319" t="str">
        <f>IF(MasterSheet!$A$1=1,MasterSheet!C345,MasterSheet!B345)</f>
        <v>Ostali republički porezi</v>
      </c>
      <c r="D27" s="230">
        <v>257844.3</v>
      </c>
      <c r="E27" s="231">
        <v>330138.67</v>
      </c>
      <c r="F27" s="263">
        <v>443171.56</v>
      </c>
      <c r="G27" s="263">
        <v>507536.21</v>
      </c>
      <c r="H27" s="263"/>
      <c r="I27" s="263"/>
      <c r="J27" s="263"/>
      <c r="K27" s="263"/>
      <c r="L27" s="263"/>
      <c r="M27" s="263"/>
      <c r="N27" s="293"/>
      <c r="O27" s="320"/>
      <c r="P27" s="404">
        <f t="shared" si="3"/>
        <v>1538690.74</v>
      </c>
      <c r="Q27" s="310"/>
      <c r="R27" s="310"/>
      <c r="S27" s="310"/>
      <c r="T27" s="310"/>
      <c r="U27" s="310"/>
      <c r="V27" s="310"/>
      <c r="W27" s="310"/>
      <c r="X27" s="234">
        <f t="shared" si="4"/>
        <v>4.3762535267349259E-2</v>
      </c>
      <c r="Y27" s="2"/>
      <c r="Z27" s="2"/>
      <c r="AA27" s="2"/>
      <c r="AB27" s="2"/>
      <c r="AC27" s="2"/>
      <c r="AD27" s="2"/>
      <c r="AE27" s="2"/>
      <c r="AF27" s="2"/>
    </row>
    <row r="28" spans="2:32" ht="15" customHeight="1">
      <c r="B28" s="2"/>
      <c r="C28" s="321" t="str">
        <f>IF(MasterSheet!$A$1=1,MasterSheet!C346,MasterSheet!B346)</f>
        <v>Doprinosi</v>
      </c>
      <c r="D28" s="236">
        <f t="shared" ref="D28:N28" si="5">SUM(D29:D32)</f>
        <v>17610366.02</v>
      </c>
      <c r="E28" s="238">
        <f t="shared" si="5"/>
        <v>27692962.630000003</v>
      </c>
      <c r="F28" s="237">
        <f t="shared" si="5"/>
        <v>29711005.169999998</v>
      </c>
      <c r="G28" s="237">
        <f t="shared" si="5"/>
        <v>32199860.619999997</v>
      </c>
      <c r="H28" s="237">
        <f t="shared" si="5"/>
        <v>0</v>
      </c>
      <c r="I28" s="237">
        <f t="shared" si="5"/>
        <v>0</v>
      </c>
      <c r="J28" s="237">
        <f t="shared" si="5"/>
        <v>0</v>
      </c>
      <c r="K28" s="237">
        <f t="shared" si="5"/>
        <v>0</v>
      </c>
      <c r="L28" s="237">
        <f t="shared" si="5"/>
        <v>0</v>
      </c>
      <c r="M28" s="237">
        <f t="shared" si="5"/>
        <v>0</v>
      </c>
      <c r="N28" s="373">
        <f t="shared" si="5"/>
        <v>0</v>
      </c>
      <c r="O28" s="387">
        <f t="shared" ref="O28" si="6">+SUM(O29:O32)</f>
        <v>0</v>
      </c>
      <c r="P28" s="405">
        <f t="shared" si="3"/>
        <v>107214194.44</v>
      </c>
      <c r="Q28" s="310"/>
      <c r="R28" s="310"/>
      <c r="S28" s="310"/>
      <c r="T28" s="310"/>
      <c r="U28" s="310"/>
      <c r="V28" s="310"/>
      <c r="W28" s="310"/>
      <c r="X28" s="241">
        <f t="shared" si="4"/>
        <v>3.0493229362912397</v>
      </c>
      <c r="Y28" s="2"/>
      <c r="Z28" s="2"/>
      <c r="AA28" s="2"/>
      <c r="AB28" s="2"/>
      <c r="AC28" s="2"/>
      <c r="AD28" s="2"/>
      <c r="AE28" s="2"/>
      <c r="AF28" s="2"/>
    </row>
    <row r="29" spans="2:32" ht="15" customHeight="1">
      <c r="B29" s="2"/>
      <c r="C29" s="319" t="str">
        <f>IF(MasterSheet!$A$1=1,MasterSheet!C347,MasterSheet!B347)</f>
        <v>Doprinosi za PIO</v>
      </c>
      <c r="D29" s="230">
        <v>11471497.619999999</v>
      </c>
      <c r="E29" s="231">
        <v>17428110.199999999</v>
      </c>
      <c r="F29" s="263">
        <v>17730616.32</v>
      </c>
      <c r="G29" s="263">
        <v>19478759.109999999</v>
      </c>
      <c r="H29" s="263"/>
      <c r="I29" s="263"/>
      <c r="J29" s="263"/>
      <c r="K29" s="263"/>
      <c r="L29" s="263"/>
      <c r="M29" s="263"/>
      <c r="N29" s="293"/>
      <c r="O29" s="320"/>
      <c r="P29" s="404">
        <f t="shared" si="3"/>
        <v>66108983.25</v>
      </c>
      <c r="Q29" s="310"/>
      <c r="R29" s="310"/>
      <c r="S29" s="310"/>
      <c r="T29" s="310"/>
      <c r="U29" s="310"/>
      <c r="V29" s="310"/>
      <c r="W29" s="310"/>
      <c r="X29" s="234">
        <f t="shared" si="4"/>
        <v>1.8802327431740613</v>
      </c>
      <c r="Y29" s="113"/>
      <c r="Z29" s="2"/>
      <c r="AA29" s="2"/>
      <c r="AB29" s="2"/>
      <c r="AC29" s="2"/>
      <c r="AD29" s="2"/>
      <c r="AE29" s="2"/>
      <c r="AF29" s="2"/>
    </row>
    <row r="30" spans="2:32" ht="15" customHeight="1">
      <c r="B30" s="2"/>
      <c r="C30" s="319" t="str">
        <f>IF(MasterSheet!$A$1=1,MasterSheet!C348,MasterSheet!B348)</f>
        <v>Doprinosi za zdravstvo</v>
      </c>
      <c r="D30" s="230">
        <v>5448406.1600000001</v>
      </c>
      <c r="E30" s="231">
        <v>8879083.2599999998</v>
      </c>
      <c r="F30" s="263">
        <v>10464094.869999999</v>
      </c>
      <c r="G30" s="263">
        <v>11013856.119999999</v>
      </c>
      <c r="H30" s="263"/>
      <c r="I30" s="263"/>
      <c r="J30" s="263"/>
      <c r="K30" s="263"/>
      <c r="L30" s="263"/>
      <c r="M30" s="263"/>
      <c r="N30" s="293"/>
      <c r="O30" s="320"/>
      <c r="P30" s="404">
        <f t="shared" si="3"/>
        <v>35805440.409999996</v>
      </c>
      <c r="Q30" s="310"/>
      <c r="R30" s="310"/>
      <c r="S30" s="310"/>
      <c r="T30" s="310"/>
      <c r="U30" s="310"/>
      <c r="V30" s="310"/>
      <c r="W30" s="310"/>
      <c r="X30" s="234">
        <f t="shared" si="4"/>
        <v>1.0183572357792945</v>
      </c>
      <c r="Y30" s="113"/>
      <c r="Z30" s="2"/>
      <c r="AA30" s="2"/>
      <c r="AB30" s="2"/>
      <c r="AC30" s="2"/>
      <c r="AD30" s="2"/>
      <c r="AE30" s="2"/>
      <c r="AF30" s="2"/>
    </row>
    <row r="31" spans="2:32" ht="15" customHeight="1">
      <c r="B31" s="2"/>
      <c r="C31" s="319" t="str">
        <f>IF(MasterSheet!$A$1=1,MasterSheet!C349,MasterSheet!B349)</f>
        <v>Doprinosi za nezaposlene</v>
      </c>
      <c r="D31" s="230">
        <v>423773.65</v>
      </c>
      <c r="E31" s="231">
        <v>737969.6</v>
      </c>
      <c r="F31" s="263">
        <v>824174.47</v>
      </c>
      <c r="G31" s="263">
        <v>896402.02</v>
      </c>
      <c r="H31" s="263"/>
      <c r="I31" s="263"/>
      <c r="J31" s="263"/>
      <c r="K31" s="263"/>
      <c r="L31" s="263"/>
      <c r="M31" s="263"/>
      <c r="N31" s="293"/>
      <c r="O31" s="320"/>
      <c r="P31" s="404">
        <f t="shared" si="3"/>
        <v>2882319.74</v>
      </c>
      <c r="Q31" s="310"/>
      <c r="R31" s="310"/>
      <c r="S31" s="310"/>
      <c r="T31" s="310"/>
      <c r="U31" s="310"/>
      <c r="V31" s="310"/>
      <c r="W31" s="310"/>
      <c r="X31" s="234">
        <f t="shared" si="4"/>
        <v>8.1977239476678052E-2</v>
      </c>
      <c r="Y31" s="113"/>
      <c r="Z31" s="2"/>
      <c r="AA31" s="2"/>
      <c r="AB31" s="2"/>
      <c r="AC31" s="2"/>
      <c r="AD31" s="2"/>
      <c r="AE31" s="2"/>
      <c r="AF31" s="2"/>
    </row>
    <row r="32" spans="2:32" ht="15" customHeight="1">
      <c r="B32" s="2"/>
      <c r="C32" s="319" t="str">
        <f>IF(MasterSheet!$A$1=1,MasterSheet!C350,MasterSheet!B350)</f>
        <v>Ostali doprinosi</v>
      </c>
      <c r="D32" s="230">
        <v>266688.59000000003</v>
      </c>
      <c r="E32" s="231">
        <v>647799.56999999995</v>
      </c>
      <c r="F32" s="263">
        <v>692119.51</v>
      </c>
      <c r="G32" s="263">
        <v>810843.37</v>
      </c>
      <c r="H32" s="263"/>
      <c r="I32" s="263"/>
      <c r="J32" s="263"/>
      <c r="K32" s="263"/>
      <c r="L32" s="263"/>
      <c r="M32" s="263"/>
      <c r="N32" s="293"/>
      <c r="O32" s="320"/>
      <c r="P32" s="404">
        <f t="shared" si="3"/>
        <v>2417451.04</v>
      </c>
      <c r="Q32" s="310"/>
      <c r="R32" s="310"/>
      <c r="S32" s="310"/>
      <c r="T32" s="310"/>
      <c r="U32" s="310"/>
      <c r="V32" s="310"/>
      <c r="W32" s="310"/>
      <c r="X32" s="234">
        <f t="shared" si="4"/>
        <v>6.875571786120592E-2</v>
      </c>
      <c r="Y32" s="113"/>
      <c r="Z32" s="2"/>
      <c r="AA32" s="2"/>
      <c r="AB32" s="2"/>
      <c r="AC32" s="2"/>
      <c r="AD32" s="2"/>
      <c r="AE32" s="2"/>
      <c r="AF32" s="2"/>
    </row>
    <row r="33" spans="2:32" ht="15" customHeight="1">
      <c r="B33" s="2"/>
      <c r="C33" s="321" t="str">
        <f>IF(MasterSheet!$A$1=1,MasterSheet!C351,MasterSheet!B351)</f>
        <v>Takse</v>
      </c>
      <c r="D33" s="236">
        <f t="shared" ref="D33:N33" si="7">SUM(D34:D37)</f>
        <v>987210.26</v>
      </c>
      <c r="E33" s="238">
        <f t="shared" si="7"/>
        <v>2533522.59</v>
      </c>
      <c r="F33" s="237">
        <f t="shared" si="7"/>
        <v>989993.92999999993</v>
      </c>
      <c r="G33" s="237">
        <f t="shared" si="7"/>
        <v>1095615.51</v>
      </c>
      <c r="H33" s="237">
        <f t="shared" si="7"/>
        <v>0</v>
      </c>
      <c r="I33" s="237">
        <f t="shared" si="7"/>
        <v>0</v>
      </c>
      <c r="J33" s="237">
        <f t="shared" si="7"/>
        <v>0</v>
      </c>
      <c r="K33" s="237">
        <f t="shared" si="7"/>
        <v>0</v>
      </c>
      <c r="L33" s="237">
        <f t="shared" si="7"/>
        <v>0</v>
      </c>
      <c r="M33" s="237">
        <f t="shared" si="7"/>
        <v>0</v>
      </c>
      <c r="N33" s="373">
        <f t="shared" si="7"/>
        <v>0</v>
      </c>
      <c r="O33" s="387">
        <f t="shared" ref="O33" si="8">+SUM(O34:O37)</f>
        <v>0</v>
      </c>
      <c r="P33" s="405">
        <f t="shared" si="3"/>
        <v>5606342.2899999991</v>
      </c>
      <c r="Q33" s="310"/>
      <c r="R33" s="310"/>
      <c r="S33" s="310"/>
      <c r="T33" s="310"/>
      <c r="U33" s="310"/>
      <c r="V33" s="310"/>
      <c r="W33" s="310"/>
      <c r="X33" s="241">
        <f t="shared" si="4"/>
        <v>0.1594522835608646</v>
      </c>
      <c r="Y33" s="2"/>
      <c r="Z33" s="2"/>
      <c r="AA33" s="2"/>
      <c r="AB33" s="2"/>
      <c r="AC33" s="2"/>
      <c r="AD33" s="2"/>
      <c r="AE33" s="2"/>
      <c r="AF33" s="2"/>
    </row>
    <row r="34" spans="2:32" ht="15" customHeight="1">
      <c r="B34" s="2"/>
      <c r="C34" s="319" t="str">
        <f>IF(MasterSheet!$A$1=1,MasterSheet!C352,MasterSheet!B352)</f>
        <v>Administrativne takse</v>
      </c>
      <c r="D34" s="230">
        <v>413582.89</v>
      </c>
      <c r="E34" s="231">
        <v>502683.71</v>
      </c>
      <c r="F34" s="263">
        <v>579656.19999999995</v>
      </c>
      <c r="G34" s="263">
        <v>653179.1</v>
      </c>
      <c r="H34" s="263"/>
      <c r="I34" s="263"/>
      <c r="J34" s="263"/>
      <c r="K34" s="263"/>
      <c r="L34" s="263"/>
      <c r="M34" s="263"/>
      <c r="N34" s="293"/>
      <c r="O34" s="320"/>
      <c r="P34" s="404">
        <f t="shared" si="3"/>
        <v>2149101.9</v>
      </c>
      <c r="Q34" s="323"/>
      <c r="R34" s="310"/>
      <c r="S34" s="310"/>
      <c r="T34" s="310"/>
      <c r="U34" s="310"/>
      <c r="V34" s="310"/>
      <c r="W34" s="310"/>
      <c r="X34" s="234">
        <f t="shared" si="4"/>
        <v>6.1123489761092144E-2</v>
      </c>
      <c r="Y34" s="2"/>
      <c r="Z34" s="2"/>
      <c r="AA34" s="2"/>
      <c r="AB34" s="2"/>
      <c r="AC34" s="2"/>
      <c r="AD34" s="2"/>
      <c r="AE34" s="2"/>
      <c r="AF34" s="2"/>
    </row>
    <row r="35" spans="2:32" ht="15" customHeight="1">
      <c r="B35" s="2"/>
      <c r="C35" s="319" t="str">
        <f>IF(MasterSheet!$A$1=1,MasterSheet!C353,MasterSheet!B353)</f>
        <v>Sudske takse</v>
      </c>
      <c r="D35" s="230">
        <v>245212.08</v>
      </c>
      <c r="E35" s="231">
        <v>1313502.6499999999</v>
      </c>
      <c r="F35" s="263">
        <v>318720.94</v>
      </c>
      <c r="G35" s="263">
        <v>297710.26</v>
      </c>
      <c r="H35" s="263"/>
      <c r="I35" s="263"/>
      <c r="J35" s="263"/>
      <c r="K35" s="263"/>
      <c r="L35" s="263"/>
      <c r="M35" s="263"/>
      <c r="N35" s="293"/>
      <c r="O35" s="320"/>
      <c r="P35" s="404">
        <f t="shared" si="3"/>
        <v>2175145.9299999997</v>
      </c>
      <c r="Q35" s="310"/>
      <c r="R35" s="310"/>
      <c r="S35" s="310"/>
      <c r="T35" s="310"/>
      <c r="U35" s="310"/>
      <c r="V35" s="310"/>
      <c r="W35" s="310"/>
      <c r="X35" s="234">
        <f t="shared" si="4"/>
        <v>6.1864218714448228E-2</v>
      </c>
      <c r="Y35" s="2"/>
      <c r="Z35" s="6"/>
      <c r="AA35" s="2"/>
      <c r="AB35" s="2"/>
      <c r="AC35" s="2"/>
      <c r="AD35" s="2"/>
      <c r="AE35" s="2"/>
      <c r="AF35" s="2"/>
    </row>
    <row r="36" spans="2:32" ht="15" customHeight="1">
      <c r="B36" s="2"/>
      <c r="C36" s="319" t="str">
        <f>IF(MasterSheet!$A$1=1,MasterSheet!C354,MasterSheet!B354)</f>
        <v>Boravišne takse</v>
      </c>
      <c r="D36" s="230">
        <v>8119.6</v>
      </c>
      <c r="E36" s="231">
        <v>9491.69</v>
      </c>
      <c r="F36" s="263">
        <v>11037.38</v>
      </c>
      <c r="G36" s="263">
        <v>15407.26</v>
      </c>
      <c r="H36" s="263"/>
      <c r="I36" s="263"/>
      <c r="J36" s="263"/>
      <c r="K36" s="263"/>
      <c r="L36" s="263"/>
      <c r="M36" s="263"/>
      <c r="N36" s="293"/>
      <c r="O36" s="320"/>
      <c r="P36" s="404">
        <f t="shared" si="3"/>
        <v>44055.93</v>
      </c>
      <c r="Q36" s="310"/>
      <c r="R36" s="310"/>
      <c r="S36" s="310"/>
      <c r="T36" s="310"/>
      <c r="U36" s="310"/>
      <c r="V36" s="310"/>
      <c r="W36" s="310"/>
      <c r="X36" s="234">
        <f t="shared" si="4"/>
        <v>1.2530127986348123E-3</v>
      </c>
      <c r="Y36" s="2"/>
      <c r="Z36" s="2"/>
      <c r="AA36" s="2"/>
      <c r="AB36" s="2"/>
      <c r="AC36" s="2"/>
      <c r="AD36" s="2"/>
      <c r="AE36" s="2"/>
      <c r="AF36" s="2"/>
    </row>
    <row r="37" spans="2:32" ht="15" customHeight="1">
      <c r="B37" s="2"/>
      <c r="C37" s="319" t="str">
        <f>IF(MasterSheet!$A$1=1,MasterSheet!C355,MasterSheet!B355)</f>
        <v>Ostale takse</v>
      </c>
      <c r="D37" s="230">
        <v>320295.69</v>
      </c>
      <c r="E37" s="231">
        <v>707844.54</v>
      </c>
      <c r="F37" s="263">
        <v>80579.41</v>
      </c>
      <c r="G37" s="263">
        <v>129318.89</v>
      </c>
      <c r="H37" s="263"/>
      <c r="I37" s="263"/>
      <c r="J37" s="263"/>
      <c r="K37" s="263"/>
      <c r="L37" s="263"/>
      <c r="M37" s="263"/>
      <c r="N37" s="293"/>
      <c r="O37" s="320"/>
      <c r="P37" s="404">
        <f t="shared" si="3"/>
        <v>1238038.5299999998</v>
      </c>
      <c r="Q37" s="310"/>
      <c r="R37" s="310"/>
      <c r="S37" s="310"/>
      <c r="T37" s="310"/>
      <c r="U37" s="310"/>
      <c r="V37" s="310"/>
      <c r="W37" s="310"/>
      <c r="X37" s="234">
        <f t="shared" si="4"/>
        <v>3.5211562286689417E-2</v>
      </c>
      <c r="Y37" s="2"/>
      <c r="Z37" s="2"/>
      <c r="AA37" s="2"/>
      <c r="AB37" s="2"/>
      <c r="AC37" s="2"/>
      <c r="AD37" s="2"/>
      <c r="AE37" s="2"/>
      <c r="AF37" s="2"/>
    </row>
    <row r="38" spans="2:32" ht="15" customHeight="1">
      <c r="B38" s="2"/>
      <c r="C38" s="321" t="str">
        <f>IF(MasterSheet!$A$1=1,MasterSheet!C356,MasterSheet!B356)</f>
        <v>Naknade</v>
      </c>
      <c r="D38" s="236">
        <f t="shared" ref="D38:O38" si="9">SUM(D39:D44)</f>
        <v>1287580.6800000002</v>
      </c>
      <c r="E38" s="238">
        <f t="shared" si="9"/>
        <v>715085.05</v>
      </c>
      <c r="F38" s="237">
        <f t="shared" si="9"/>
        <v>890846.15</v>
      </c>
      <c r="G38" s="237">
        <f t="shared" si="9"/>
        <v>876230.8</v>
      </c>
      <c r="H38" s="237">
        <f t="shared" si="9"/>
        <v>0</v>
      </c>
      <c r="I38" s="237">
        <f t="shared" si="9"/>
        <v>0</v>
      </c>
      <c r="J38" s="237">
        <f t="shared" si="9"/>
        <v>0</v>
      </c>
      <c r="K38" s="237">
        <f t="shared" si="9"/>
        <v>0</v>
      </c>
      <c r="L38" s="237">
        <f t="shared" si="9"/>
        <v>0</v>
      </c>
      <c r="M38" s="237">
        <f t="shared" si="9"/>
        <v>0</v>
      </c>
      <c r="N38" s="373">
        <f t="shared" si="9"/>
        <v>0</v>
      </c>
      <c r="O38" s="322">
        <f t="shared" si="9"/>
        <v>0</v>
      </c>
      <c r="P38" s="405">
        <f t="shared" si="3"/>
        <v>3769742.6800000006</v>
      </c>
      <c r="Q38" s="310"/>
      <c r="R38" s="310"/>
      <c r="S38" s="310"/>
      <c r="T38" s="310"/>
      <c r="U38" s="310"/>
      <c r="V38" s="310"/>
      <c r="W38" s="310"/>
      <c r="X38" s="241">
        <f t="shared" si="4"/>
        <v>0.10721679977246873</v>
      </c>
      <c r="Y38" s="2"/>
      <c r="Z38" s="2"/>
      <c r="AA38" s="2"/>
      <c r="AB38" s="2"/>
      <c r="AC38" s="2"/>
      <c r="AD38" s="2"/>
      <c r="AE38" s="2"/>
      <c r="AF38" s="2"/>
    </row>
    <row r="39" spans="2:32" ht="15" customHeight="1">
      <c r="B39" s="2"/>
      <c r="C39" s="319" t="str">
        <f>IF(MasterSheet!$A$1=1,MasterSheet!C357,MasterSheet!B357)</f>
        <v>Nakn. za koriš. dob. od opš. int.</v>
      </c>
      <c r="D39" s="230">
        <v>11805.07</v>
      </c>
      <c r="E39" s="231">
        <v>13526.36</v>
      </c>
      <c r="F39" s="263">
        <v>13005.58</v>
      </c>
      <c r="G39" s="263">
        <v>7337.36</v>
      </c>
      <c r="H39" s="263"/>
      <c r="I39" s="263"/>
      <c r="J39" s="263"/>
      <c r="K39" s="263"/>
      <c r="L39" s="263"/>
      <c r="M39" s="263"/>
      <c r="N39" s="293"/>
      <c r="O39" s="320"/>
      <c r="P39" s="404">
        <f t="shared" si="3"/>
        <v>45674.37</v>
      </c>
      <c r="Q39" s="310"/>
      <c r="R39" s="310"/>
      <c r="S39" s="310"/>
      <c r="T39" s="310"/>
      <c r="U39" s="310"/>
      <c r="V39" s="310"/>
      <c r="W39" s="310"/>
      <c r="X39" s="234">
        <f t="shared" si="4"/>
        <v>1.2990435153583618E-3</v>
      </c>
      <c r="Y39" s="2"/>
      <c r="Z39" s="2"/>
      <c r="AA39" s="2"/>
      <c r="AB39" s="2"/>
      <c r="AC39" s="2"/>
      <c r="AD39" s="2"/>
      <c r="AE39" s="2"/>
      <c r="AF39" s="2"/>
    </row>
    <row r="40" spans="2:32" ht="15" customHeight="1">
      <c r="B40" s="2"/>
      <c r="C40" s="319" t="str">
        <f>IF(MasterSheet!$A$1=1,MasterSheet!C358,MasterSheet!B358)</f>
        <v>Naknada za kor. prirodnih dobara</v>
      </c>
      <c r="D40" s="230">
        <v>199447.96</v>
      </c>
      <c r="E40" s="231">
        <v>95519.52</v>
      </c>
      <c r="F40" s="263">
        <v>97649.919999999998</v>
      </c>
      <c r="G40" s="263">
        <v>82870.850000000006</v>
      </c>
      <c r="H40" s="263"/>
      <c r="I40" s="263"/>
      <c r="J40" s="263"/>
      <c r="K40" s="263"/>
      <c r="L40" s="263"/>
      <c r="M40" s="263"/>
      <c r="N40" s="293"/>
      <c r="O40" s="320"/>
      <c r="P40" s="404">
        <f t="shared" si="3"/>
        <v>475488.25</v>
      </c>
      <c r="Q40" s="310"/>
      <c r="R40" s="310"/>
      <c r="S40" s="310"/>
      <c r="T40" s="310"/>
      <c r="U40" s="310"/>
      <c r="V40" s="310"/>
      <c r="W40" s="310"/>
      <c r="X40" s="234">
        <f t="shared" si="4"/>
        <v>1.3523556598407281E-2</v>
      </c>
      <c r="Y40" s="2"/>
      <c r="Z40" s="2"/>
      <c r="AA40" s="2"/>
      <c r="AB40" s="2"/>
      <c r="AC40" s="2"/>
      <c r="AD40" s="2"/>
      <c r="AE40" s="2"/>
      <c r="AF40" s="2"/>
    </row>
    <row r="41" spans="2:32" ht="15" customHeight="1">
      <c r="B41" s="2"/>
      <c r="C41" s="319" t="str">
        <f>IF(MasterSheet!$A$1=1,MasterSheet!C359,MasterSheet!B359)</f>
        <v>Ekološke naknade</v>
      </c>
      <c r="D41" s="230">
        <v>1060.0899999999999</v>
      </c>
      <c r="E41" s="231">
        <v>375.97</v>
      </c>
      <c r="F41" s="263">
        <v>13202.22</v>
      </c>
      <c r="G41" s="263">
        <v>12964.26</v>
      </c>
      <c r="H41" s="263"/>
      <c r="I41" s="263"/>
      <c r="J41" s="263"/>
      <c r="K41" s="263"/>
      <c r="L41" s="263"/>
      <c r="M41" s="263"/>
      <c r="N41" s="293"/>
      <c r="O41" s="320"/>
      <c r="P41" s="404">
        <f t="shared" si="3"/>
        <v>27602.54</v>
      </c>
      <c r="Q41" s="310"/>
      <c r="R41" s="310"/>
      <c r="S41" s="310"/>
      <c r="T41" s="310"/>
      <c r="U41" s="310"/>
      <c r="V41" s="310"/>
      <c r="W41" s="310"/>
      <c r="X41" s="234">
        <f t="shared" si="4"/>
        <v>7.8505517633674631E-4</v>
      </c>
      <c r="Y41" s="2"/>
      <c r="Z41" s="2"/>
      <c r="AA41" s="2"/>
      <c r="AB41" s="2"/>
      <c r="AC41" s="2"/>
      <c r="AD41" s="2"/>
      <c r="AE41" s="2"/>
      <c r="AF41" s="2"/>
    </row>
    <row r="42" spans="2:32" ht="15" customHeight="1">
      <c r="B42" s="2"/>
      <c r="C42" s="319" t="str">
        <f>IF(MasterSheet!$A$1=1,MasterSheet!C360,MasterSheet!B360)</f>
        <v>Naknade za priređ.  igara na sreću</v>
      </c>
      <c r="D42" s="230">
        <v>353041.95</v>
      </c>
      <c r="E42" s="231">
        <v>346116.13</v>
      </c>
      <c r="F42" s="263">
        <v>387159.84</v>
      </c>
      <c r="G42" s="263">
        <v>354782.12</v>
      </c>
      <c r="H42" s="263"/>
      <c r="I42" s="263"/>
      <c r="J42" s="263"/>
      <c r="K42" s="263"/>
      <c r="L42" s="263"/>
      <c r="M42" s="263"/>
      <c r="N42" s="293"/>
      <c r="O42" s="320"/>
      <c r="P42" s="404">
        <f t="shared" si="3"/>
        <v>1441100.04</v>
      </c>
      <c r="Q42" s="310"/>
      <c r="R42" s="310"/>
      <c r="S42" s="310"/>
      <c r="T42" s="310"/>
      <c r="U42" s="310"/>
      <c r="V42" s="310"/>
      <c r="W42" s="310"/>
      <c r="X42" s="234">
        <f t="shared" si="4"/>
        <v>4.0986918088737202E-2</v>
      </c>
      <c r="Y42" s="2"/>
      <c r="Z42" s="2"/>
      <c r="AA42" s="2"/>
      <c r="AB42" s="2"/>
      <c r="AC42" s="2"/>
      <c r="AD42" s="2"/>
      <c r="AE42" s="2"/>
      <c r="AF42" s="2"/>
    </row>
    <row r="43" spans="2:32" ht="15" customHeight="1">
      <c r="B43" s="2"/>
      <c r="C43" s="319" t="str">
        <f>IF(MasterSheet!$A$1=1,MasterSheet!C361,MasterSheet!B361)</f>
        <v>Naknade za puteve</v>
      </c>
      <c r="D43" s="324">
        <v>125915.12</v>
      </c>
      <c r="E43" s="449">
        <v>108356.37</v>
      </c>
      <c r="F43" s="325">
        <v>205665.12</v>
      </c>
      <c r="G43" s="325">
        <v>255519.42</v>
      </c>
      <c r="H43" s="325"/>
      <c r="I43" s="325"/>
      <c r="J43" s="325"/>
      <c r="K43" s="325"/>
      <c r="L43" s="325"/>
      <c r="M43" s="325"/>
      <c r="N43" s="374"/>
      <c r="O43" s="320"/>
      <c r="P43" s="406">
        <f t="shared" si="3"/>
        <v>695456.03</v>
      </c>
      <c r="Q43" s="310"/>
      <c r="R43" s="310"/>
      <c r="S43" s="310"/>
      <c r="T43" s="310"/>
      <c r="U43" s="310"/>
      <c r="V43" s="310"/>
      <c r="W43" s="310"/>
      <c r="X43" s="234">
        <f t="shared" si="4"/>
        <v>1.9779750568828216E-2</v>
      </c>
      <c r="Y43" s="2"/>
      <c r="Z43" s="2"/>
      <c r="AA43" s="2"/>
      <c r="AB43" s="2"/>
      <c r="AC43" s="2"/>
      <c r="AD43" s="2"/>
      <c r="AE43" s="2"/>
      <c r="AF43" s="2"/>
    </row>
    <row r="44" spans="2:32" ht="15" customHeight="1">
      <c r="B44" s="2"/>
      <c r="C44" s="319" t="str">
        <f>IF(MasterSheet!$A$1=1,MasterSheet!C362,MasterSheet!B362)</f>
        <v>Ostale naknade</v>
      </c>
      <c r="D44" s="230">
        <v>596310.49</v>
      </c>
      <c r="E44" s="231">
        <v>151190.70000000001</v>
      </c>
      <c r="F44" s="263">
        <v>174163.47</v>
      </c>
      <c r="G44" s="263">
        <v>162756.79</v>
      </c>
      <c r="H44" s="263"/>
      <c r="I44" s="263"/>
      <c r="J44" s="263"/>
      <c r="K44" s="263"/>
      <c r="L44" s="263"/>
      <c r="M44" s="263"/>
      <c r="N44" s="293"/>
      <c r="O44" s="320"/>
      <c r="P44" s="404">
        <f t="shared" si="3"/>
        <v>1084421.45</v>
      </c>
      <c r="Q44" s="310"/>
      <c r="R44" s="310"/>
      <c r="S44" s="310"/>
      <c r="T44" s="310"/>
      <c r="U44" s="310"/>
      <c r="V44" s="310"/>
      <c r="W44" s="310"/>
      <c r="X44" s="234">
        <f t="shared" si="4"/>
        <v>3.0842475824800909E-2</v>
      </c>
      <c r="Y44" s="2"/>
      <c r="Z44" s="2"/>
      <c r="AA44" s="2"/>
      <c r="AB44" s="2"/>
      <c r="AC44" s="2"/>
      <c r="AD44" s="2"/>
      <c r="AE44" s="2"/>
      <c r="AF44" s="2"/>
    </row>
    <row r="45" spans="2:32" ht="15" customHeight="1">
      <c r="B45" s="2"/>
      <c r="C45" s="321" t="str">
        <f>IF(MasterSheet!$A$1=1,MasterSheet!C363,MasterSheet!B363)</f>
        <v>Ostali prihodi</v>
      </c>
      <c r="D45" s="236">
        <f t="shared" ref="D45:N45" si="10">SUM(D46:D49)</f>
        <v>2213002.4900000002</v>
      </c>
      <c r="E45" s="238">
        <f t="shared" si="10"/>
        <v>1442024.6099999999</v>
      </c>
      <c r="F45" s="237">
        <f t="shared" si="10"/>
        <v>1627786.63</v>
      </c>
      <c r="G45" s="237">
        <f t="shared" si="10"/>
        <v>1910888.05</v>
      </c>
      <c r="H45" s="237">
        <f t="shared" si="10"/>
        <v>0</v>
      </c>
      <c r="I45" s="237">
        <f t="shared" si="10"/>
        <v>0</v>
      </c>
      <c r="J45" s="237">
        <f t="shared" si="10"/>
        <v>0</v>
      </c>
      <c r="K45" s="237">
        <f t="shared" si="10"/>
        <v>0</v>
      </c>
      <c r="L45" s="237">
        <f t="shared" si="10"/>
        <v>0</v>
      </c>
      <c r="M45" s="237">
        <f t="shared" si="10"/>
        <v>0</v>
      </c>
      <c r="N45" s="373">
        <f t="shared" si="10"/>
        <v>0</v>
      </c>
      <c r="O45" s="387">
        <f t="shared" ref="O45" si="11">+SUM(O46:O49)</f>
        <v>0</v>
      </c>
      <c r="P45" s="405">
        <f t="shared" si="3"/>
        <v>7193701.7800000003</v>
      </c>
      <c r="Q45" s="310"/>
      <c r="R45" s="310"/>
      <c r="S45" s="310"/>
      <c r="T45" s="310"/>
      <c r="U45" s="310"/>
      <c r="V45" s="310"/>
      <c r="W45" s="310"/>
      <c r="X45" s="241">
        <f t="shared" si="4"/>
        <v>0.20459902673492605</v>
      </c>
      <c r="Y45" s="2"/>
      <c r="Z45" s="2"/>
      <c r="AA45" s="2"/>
      <c r="AB45" s="2"/>
      <c r="AC45" s="2"/>
      <c r="AD45" s="2"/>
      <c r="AE45" s="2"/>
      <c r="AF45" s="2"/>
    </row>
    <row r="46" spans="2:32" ht="15" customHeight="1">
      <c r="B46" s="2"/>
      <c r="C46" s="319" t="str">
        <f>IF(MasterSheet!$A$1=1,MasterSheet!C364,MasterSheet!B364)</f>
        <v>Prihodi od kapitala</v>
      </c>
      <c r="D46" s="230">
        <v>790825.37</v>
      </c>
      <c r="E46" s="231">
        <v>6808.18</v>
      </c>
      <c r="F46" s="263">
        <v>28429.95</v>
      </c>
      <c r="G46" s="263">
        <v>133541.67000000001</v>
      </c>
      <c r="H46" s="263"/>
      <c r="I46" s="263"/>
      <c r="J46" s="263"/>
      <c r="K46" s="263"/>
      <c r="L46" s="263"/>
      <c r="M46" s="263"/>
      <c r="N46" s="293"/>
      <c r="O46" s="320"/>
      <c r="P46" s="404">
        <f t="shared" si="3"/>
        <v>959605.17</v>
      </c>
      <c r="Q46" s="310"/>
      <c r="R46" s="310"/>
      <c r="S46" s="310"/>
      <c r="T46" s="310"/>
      <c r="U46" s="310"/>
      <c r="V46" s="310"/>
      <c r="W46" s="310"/>
      <c r="X46" s="234">
        <f t="shared" si="4"/>
        <v>2.7292524744027307E-2</v>
      </c>
      <c r="Y46" s="2"/>
      <c r="Z46" s="2"/>
      <c r="AA46" s="2"/>
      <c r="AB46" s="2"/>
      <c r="AC46" s="2"/>
      <c r="AD46" s="2"/>
      <c r="AE46" s="2"/>
      <c r="AF46" s="2"/>
    </row>
    <row r="47" spans="2:32" ht="15" customHeight="1">
      <c r="B47" s="2"/>
      <c r="C47" s="319" t="str">
        <f>IF(MasterSheet!$A$1=1,MasterSheet!C365,MasterSheet!B365)</f>
        <v>Novčane kazne i oduzete imovinske koristi</v>
      </c>
      <c r="D47" s="230">
        <v>656458.4</v>
      </c>
      <c r="E47" s="231">
        <v>837985.98</v>
      </c>
      <c r="F47" s="263">
        <v>970016.33</v>
      </c>
      <c r="G47" s="263">
        <v>945260.91</v>
      </c>
      <c r="H47" s="263"/>
      <c r="I47" s="263"/>
      <c r="J47" s="263"/>
      <c r="K47" s="263"/>
      <c r="L47" s="263"/>
      <c r="M47" s="263"/>
      <c r="N47" s="293"/>
      <c r="O47" s="320"/>
      <c r="P47" s="404">
        <f t="shared" si="3"/>
        <v>3409721.62</v>
      </c>
      <c r="Q47" s="310"/>
      <c r="R47" s="310"/>
      <c r="S47" s="310"/>
      <c r="T47" s="310"/>
      <c r="U47" s="310"/>
      <c r="V47" s="310"/>
      <c r="W47" s="310"/>
      <c r="X47" s="234">
        <f t="shared" si="4"/>
        <v>9.6977292946530153E-2</v>
      </c>
      <c r="Y47" s="2"/>
      <c r="Z47" s="2"/>
      <c r="AA47" s="2"/>
      <c r="AB47" s="2"/>
      <c r="AC47" s="2"/>
      <c r="AD47" s="2"/>
      <c r="AE47" s="2"/>
      <c r="AF47" s="2"/>
    </row>
    <row r="48" spans="2:32" ht="15" customHeight="1">
      <c r="B48" s="2"/>
      <c r="C48" s="319" t="str">
        <f>IF(MasterSheet!$A$1=1,MasterSheet!C366,MasterSheet!B366)</f>
        <v>Prihodi koje organi ostvaruju vršenjem svoje djel.</v>
      </c>
      <c r="D48" s="230">
        <v>109376.37</v>
      </c>
      <c r="E48" s="231">
        <v>160251.59</v>
      </c>
      <c r="F48" s="263">
        <v>171488.41</v>
      </c>
      <c r="G48" s="263">
        <v>218231.41</v>
      </c>
      <c r="H48" s="263"/>
      <c r="I48" s="263"/>
      <c r="J48" s="263"/>
      <c r="K48" s="263"/>
      <c r="L48" s="263"/>
      <c r="M48" s="263"/>
      <c r="N48" s="293"/>
      <c r="O48" s="320"/>
      <c r="P48" s="404">
        <f t="shared" si="3"/>
        <v>659347.78</v>
      </c>
      <c r="Q48" s="310"/>
      <c r="R48" s="310"/>
      <c r="S48" s="310"/>
      <c r="T48" s="310"/>
      <c r="U48" s="310"/>
      <c r="V48" s="310"/>
      <c r="W48" s="310"/>
      <c r="X48" s="234">
        <f t="shared" si="4"/>
        <v>1.8752781001137656E-2</v>
      </c>
      <c r="Y48" s="2"/>
      <c r="Z48" s="2"/>
      <c r="AA48" s="2"/>
      <c r="AB48" s="2"/>
      <c r="AC48" s="2"/>
      <c r="AD48" s="2"/>
      <c r="AE48" s="2"/>
      <c r="AF48" s="2"/>
    </row>
    <row r="49" spans="1:32">
      <c r="B49" s="2"/>
      <c r="C49" s="319" t="str">
        <f>IF(MasterSheet!$A$1=1,MasterSheet!C367,MasterSheet!B367)</f>
        <v>Ostali prihodi</v>
      </c>
      <c r="D49" s="230">
        <v>656342.35</v>
      </c>
      <c r="E49" s="231">
        <v>436978.86</v>
      </c>
      <c r="F49" s="263">
        <v>457851.94</v>
      </c>
      <c r="G49" s="263">
        <v>613854.06000000006</v>
      </c>
      <c r="H49" s="263"/>
      <c r="I49" s="263"/>
      <c r="J49" s="263"/>
      <c r="K49" s="263"/>
      <c r="L49" s="263"/>
      <c r="M49" s="263"/>
      <c r="N49" s="293"/>
      <c r="O49" s="320"/>
      <c r="P49" s="404">
        <f t="shared" si="3"/>
        <v>2165027.21</v>
      </c>
      <c r="Q49" s="310"/>
      <c r="R49" s="310"/>
      <c r="S49" s="310"/>
      <c r="T49" s="310"/>
      <c r="U49" s="310"/>
      <c r="V49" s="310"/>
      <c r="W49" s="310"/>
      <c r="X49" s="234">
        <f t="shared" si="4"/>
        <v>6.1576428043230942E-2</v>
      </c>
      <c r="Y49" s="2"/>
      <c r="Z49" s="2"/>
      <c r="AA49" s="2"/>
      <c r="AB49" s="2"/>
      <c r="AC49" s="2"/>
      <c r="AD49" s="2"/>
      <c r="AE49" s="2"/>
      <c r="AF49" s="2"/>
    </row>
    <row r="50" spans="1:32" ht="13.5" thickBot="1">
      <c r="B50" s="2"/>
      <c r="C50" s="326" t="str">
        <f>IF(MasterSheet!$A$1=1,MasterSheet!C368,MasterSheet!B368)</f>
        <v>Primici od otplate kredita i sredstva prenijeta iz prethodne godine</v>
      </c>
      <c r="D50" s="245">
        <v>145969.23000000001</v>
      </c>
      <c r="E50" s="247">
        <v>107462.68</v>
      </c>
      <c r="F50" s="246">
        <v>292731.87</v>
      </c>
      <c r="G50" s="246">
        <v>369726.11</v>
      </c>
      <c r="H50" s="246"/>
      <c r="I50" s="246"/>
      <c r="J50" s="246"/>
      <c r="K50" s="246"/>
      <c r="L50" s="246"/>
      <c r="M50" s="327"/>
      <c r="N50" s="248"/>
      <c r="O50" s="328"/>
      <c r="P50" s="405">
        <f t="shared" si="3"/>
        <v>915889.89</v>
      </c>
      <c r="Q50" s="310"/>
      <c r="R50" s="329"/>
      <c r="S50" s="329"/>
      <c r="T50" s="329"/>
      <c r="U50" s="310"/>
      <c r="V50" s="310"/>
      <c r="W50" s="310"/>
      <c r="X50" s="262">
        <f t="shared" si="4"/>
        <v>2.6049200511945394E-2</v>
      </c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B51" s="2"/>
      <c r="C51" s="321" t="str">
        <f>IF(MasterSheet!$A$1=1,MasterSheet!C413,MasterSheet!B413)</f>
        <v>Donacije</v>
      </c>
      <c r="D51" s="484">
        <v>149764.72</v>
      </c>
      <c r="E51" s="485">
        <v>724986.19</v>
      </c>
      <c r="F51" s="485">
        <v>173095.78</v>
      </c>
      <c r="G51" s="485">
        <v>637220.35</v>
      </c>
      <c r="H51" s="485"/>
      <c r="I51" s="485"/>
      <c r="J51" s="485"/>
      <c r="K51" s="485"/>
      <c r="L51" s="485"/>
      <c r="M51" s="485"/>
      <c r="N51" s="485"/>
      <c r="O51" s="486"/>
      <c r="P51" s="481">
        <f>+SUM(D51:O51)</f>
        <v>1685067.04</v>
      </c>
      <c r="Q51" s="482"/>
      <c r="R51" s="482"/>
      <c r="S51" s="482"/>
      <c r="T51" s="482"/>
      <c r="U51" s="482"/>
      <c r="V51" s="482"/>
      <c r="W51" s="482"/>
      <c r="X51" s="483">
        <f>+P51/$D$14*100</f>
        <v>4.792568373151309E-2</v>
      </c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B52" s="2"/>
      <c r="C52" s="313" t="str">
        <f>IF(MasterSheet!$A$1=1,MasterSheet!C369,MasterSheet!B369)</f>
        <v>Izdaci</v>
      </c>
      <c r="D52" s="330">
        <f>+D54+D69+D75+SUM(D82:D86)</f>
        <v>94324014.019999996</v>
      </c>
      <c r="E52" s="354">
        <f t="shared" ref="E52:O52" si="12">+E54+E69+E75+SUM(E82:E86)</f>
        <v>88928613.660000041</v>
      </c>
      <c r="F52" s="330">
        <f t="shared" si="12"/>
        <v>115851980.97000003</v>
      </c>
      <c r="G52" s="330">
        <f t="shared" si="12"/>
        <v>122269919.07000001</v>
      </c>
      <c r="H52" s="330">
        <f t="shared" si="12"/>
        <v>0</v>
      </c>
      <c r="I52" s="330">
        <f t="shared" si="12"/>
        <v>0</v>
      </c>
      <c r="J52" s="330">
        <f t="shared" si="12"/>
        <v>0</v>
      </c>
      <c r="K52" s="330">
        <f t="shared" si="12"/>
        <v>0</v>
      </c>
      <c r="L52" s="330">
        <f t="shared" si="12"/>
        <v>0</v>
      </c>
      <c r="M52" s="330">
        <f t="shared" si="12"/>
        <v>0</v>
      </c>
      <c r="N52" s="331">
        <f t="shared" si="12"/>
        <v>0</v>
      </c>
      <c r="O52" s="388">
        <f t="shared" si="12"/>
        <v>0</v>
      </c>
      <c r="P52" s="402">
        <f>+SUM(D52:O52)</f>
        <v>421374527.72000009</v>
      </c>
      <c r="Q52" s="219">
        <v>113729902.45999995</v>
      </c>
      <c r="R52" s="219">
        <f>+P52+Q52</f>
        <v>535104430.18000007</v>
      </c>
      <c r="S52" s="219">
        <f>+'2013 - plan'!D51+'2013 - plan'!E51+'2013 - plan'!F51</f>
        <v>314350240.43000001</v>
      </c>
      <c r="T52" s="467">
        <f>+R52-S52</f>
        <v>220754189.75000006</v>
      </c>
      <c r="U52" s="468"/>
      <c r="V52" s="468"/>
      <c r="W52" s="468">
        <f>286.98-30.35</f>
        <v>256.63</v>
      </c>
      <c r="X52" s="220">
        <f t="shared" si="4"/>
        <v>11.984485998862345</v>
      </c>
      <c r="Y52" s="2"/>
      <c r="Z52" s="2"/>
      <c r="AA52" s="2"/>
      <c r="AB52" s="2"/>
      <c r="AC52" s="2"/>
      <c r="AD52" s="2"/>
      <c r="AE52" s="2"/>
      <c r="AF52" s="2"/>
    </row>
    <row r="53" spans="1:32" ht="14.25" thickTop="1" thickBot="1">
      <c r="B53" s="2"/>
      <c r="C53" s="313" t="str">
        <f>IF(MasterSheet!$A$1=1,MasterSheet!C370,MasterSheet!B370)</f>
        <v>Tekuća budžetska potrošnja</v>
      </c>
      <c r="D53" s="330">
        <f>+D52-D82</f>
        <v>92663032.339999989</v>
      </c>
      <c r="E53" s="354">
        <f t="shared" ref="E53:O53" si="13">+E52-E82</f>
        <v>88222039.180000037</v>
      </c>
      <c r="F53" s="330">
        <f t="shared" si="13"/>
        <v>109651332.34000003</v>
      </c>
      <c r="G53" s="330">
        <f t="shared" si="13"/>
        <v>119168181.96000001</v>
      </c>
      <c r="H53" s="330">
        <f t="shared" si="13"/>
        <v>0</v>
      </c>
      <c r="I53" s="330">
        <f t="shared" si="13"/>
        <v>0</v>
      </c>
      <c r="J53" s="330">
        <f t="shared" si="13"/>
        <v>0</v>
      </c>
      <c r="K53" s="330">
        <f t="shared" si="13"/>
        <v>0</v>
      </c>
      <c r="L53" s="330">
        <f t="shared" si="13"/>
        <v>0</v>
      </c>
      <c r="M53" s="330">
        <f t="shared" si="13"/>
        <v>0</v>
      </c>
      <c r="N53" s="331">
        <f t="shared" si="13"/>
        <v>0</v>
      </c>
      <c r="O53" s="388">
        <f t="shared" si="13"/>
        <v>0</v>
      </c>
      <c r="P53" s="402">
        <f t="shared" ref="P53:P98" si="14">+SUM(D53:O53)</f>
        <v>409704585.82000005</v>
      </c>
      <c r="Q53" s="219">
        <v>109307661.20999995</v>
      </c>
      <c r="R53" s="219">
        <f t="shared" ref="R53:R85" si="15">+P53+Q53</f>
        <v>519012247.02999997</v>
      </c>
      <c r="S53" s="219">
        <f>+'2013 - plan'!D52+'2013 - plan'!E52+'2013 - plan'!F52</f>
        <v>297940490.42000002</v>
      </c>
      <c r="T53" s="467">
        <f t="shared" ref="T53:T84" si="16">+R53-S53</f>
        <v>221071756.60999995</v>
      </c>
      <c r="U53" s="468"/>
      <c r="V53" s="468"/>
      <c r="W53" s="468"/>
      <c r="X53" s="220">
        <f t="shared" si="4"/>
        <v>11.652576388509672</v>
      </c>
      <c r="Y53" s="2"/>
      <c r="Z53" s="2"/>
      <c r="AA53" s="2"/>
      <c r="AB53" s="2"/>
      <c r="AC53" s="2"/>
      <c r="AD53" s="2"/>
      <c r="AE53" s="2"/>
      <c r="AF53" s="2"/>
    </row>
    <row r="54" spans="1:32" ht="13.5" thickTop="1">
      <c r="B54" s="2"/>
      <c r="C54" s="321" t="str">
        <f>IF(MasterSheet!$A$1=1,MasterSheet!C371,MasterSheet!B371)</f>
        <v>Tekući izdaci</v>
      </c>
      <c r="D54" s="357">
        <f>+D55+SUM(D61:D68)</f>
        <v>42218152.969999991</v>
      </c>
      <c r="E54" s="450">
        <f t="shared" ref="E54:O54" si="17">+E55+SUM(E61:E68)</f>
        <v>41127548.800000034</v>
      </c>
      <c r="F54" s="333">
        <f t="shared" si="17"/>
        <v>49464521.99000001</v>
      </c>
      <c r="G54" s="333">
        <f t="shared" si="17"/>
        <v>69656616.760000005</v>
      </c>
      <c r="H54" s="333">
        <f t="shared" si="17"/>
        <v>0</v>
      </c>
      <c r="I54" s="333">
        <f t="shared" si="17"/>
        <v>0</v>
      </c>
      <c r="J54" s="333">
        <f t="shared" si="17"/>
        <v>0</v>
      </c>
      <c r="K54" s="333">
        <f t="shared" si="17"/>
        <v>0</v>
      </c>
      <c r="L54" s="333">
        <f t="shared" si="17"/>
        <v>0</v>
      </c>
      <c r="M54" s="333">
        <f t="shared" si="17"/>
        <v>0</v>
      </c>
      <c r="N54" s="375">
        <f t="shared" si="17"/>
        <v>0</v>
      </c>
      <c r="O54" s="338">
        <f t="shared" si="17"/>
        <v>0</v>
      </c>
      <c r="P54" s="407">
        <f t="shared" si="14"/>
        <v>202466840.52000004</v>
      </c>
      <c r="Q54" s="258">
        <v>56546402.069999963</v>
      </c>
      <c r="R54" s="258">
        <f t="shared" si="15"/>
        <v>259013242.59</v>
      </c>
      <c r="S54" s="258">
        <f>+'2013 - plan'!D53+'2013 - plan'!E53+'2013 - plan'!F53</f>
        <v>147883117.22</v>
      </c>
      <c r="T54" s="438">
        <f t="shared" si="16"/>
        <v>111130125.37</v>
      </c>
      <c r="U54" s="229"/>
      <c r="V54" s="229"/>
      <c r="W54" s="229"/>
      <c r="X54" s="259">
        <f t="shared" si="4"/>
        <v>5.7584425631399334</v>
      </c>
      <c r="Y54" s="2"/>
      <c r="Z54" s="2"/>
      <c r="AA54" s="2"/>
      <c r="AB54" s="2"/>
      <c r="AC54" s="2"/>
      <c r="AD54" s="2"/>
      <c r="AE54" s="2"/>
      <c r="AF54" s="2"/>
    </row>
    <row r="55" spans="1:32" s="1" customFormat="1">
      <c r="A55" s="2"/>
      <c r="C55" s="335" t="str">
        <f>IF(MasterSheet!$A$1=1,MasterSheet!C372,MasterSheet!B372)</f>
        <v>Bruto zarade i doprinosi na teret poslodavca</v>
      </c>
      <c r="D55" s="358">
        <f>+SUM(D56:D60)</f>
        <v>31746411.439999994</v>
      </c>
      <c r="E55" s="334">
        <f t="shared" ref="E55:O55" si="18">+SUM(E56:E60)</f>
        <v>31984738.93000003</v>
      </c>
      <c r="F55" s="337">
        <f t="shared" si="18"/>
        <v>28941743.350000009</v>
      </c>
      <c r="G55" s="337">
        <f t="shared" si="18"/>
        <v>33391470.590000015</v>
      </c>
      <c r="H55" s="337">
        <f t="shared" si="18"/>
        <v>0</v>
      </c>
      <c r="I55" s="337">
        <f t="shared" si="18"/>
        <v>0</v>
      </c>
      <c r="J55" s="337">
        <f t="shared" si="18"/>
        <v>0</v>
      </c>
      <c r="K55" s="337">
        <f t="shared" si="18"/>
        <v>0</v>
      </c>
      <c r="L55" s="337">
        <f t="shared" si="18"/>
        <v>0</v>
      </c>
      <c r="M55" s="337">
        <f t="shared" si="18"/>
        <v>0</v>
      </c>
      <c r="N55" s="376">
        <f t="shared" si="18"/>
        <v>0</v>
      </c>
      <c r="O55" s="338">
        <f t="shared" si="18"/>
        <v>0</v>
      </c>
      <c r="P55" s="407">
        <f t="shared" si="14"/>
        <v>126064364.31000005</v>
      </c>
      <c r="Q55" s="339">
        <v>38511985.289999969</v>
      </c>
      <c r="R55" s="339">
        <f t="shared" si="15"/>
        <v>164576349.60000002</v>
      </c>
      <c r="S55" s="339">
        <f>+'2013 - plan'!D54+'2013 - plan'!E54+'2013 - plan'!F54</f>
        <v>93032152.929999992</v>
      </c>
      <c r="T55" s="465">
        <f t="shared" si="16"/>
        <v>71544196.670000032</v>
      </c>
      <c r="U55" s="466"/>
      <c r="V55" s="466"/>
      <c r="W55" s="466"/>
      <c r="X55" s="262">
        <f t="shared" si="4"/>
        <v>3.5854483592150181</v>
      </c>
      <c r="Z55" s="2"/>
      <c r="AA55" s="2"/>
      <c r="AB55" s="2"/>
      <c r="AC55" s="2"/>
      <c r="AD55" s="2"/>
      <c r="AE55" s="2"/>
      <c r="AF55" s="2"/>
    </row>
    <row r="56" spans="1:32">
      <c r="B56" s="2"/>
      <c r="C56" s="319" t="str">
        <f>IF(MasterSheet!$A$1=1,MasterSheet!C373,MasterSheet!B373)</f>
        <v>Neto zarade</v>
      </c>
      <c r="D56" s="460">
        <v>18808221.599999994</v>
      </c>
      <c r="E56" s="231">
        <v>19000610.94000002</v>
      </c>
      <c r="F56" s="263">
        <v>18681080.550000012</v>
      </c>
      <c r="G56" s="263">
        <v>18838523.720000006</v>
      </c>
      <c r="H56" s="263"/>
      <c r="I56" s="263"/>
      <c r="J56" s="263"/>
      <c r="K56" s="263"/>
      <c r="L56" s="263"/>
      <c r="M56" s="263"/>
      <c r="N56" s="293"/>
      <c r="O56" s="299"/>
      <c r="P56" s="404">
        <f t="shared" si="14"/>
        <v>75328436.810000032</v>
      </c>
      <c r="Q56" s="264">
        <v>22436323.329999987</v>
      </c>
      <c r="R56" s="264">
        <f t="shared" si="15"/>
        <v>97764760.140000015</v>
      </c>
      <c r="S56" s="264">
        <f>+'2013 - plan'!D55+'2013 - plan'!E55+'2013 - plan'!F55</f>
        <v>55374640.199999996</v>
      </c>
      <c r="T56" s="438">
        <f t="shared" si="16"/>
        <v>42390119.94000002</v>
      </c>
      <c r="U56" s="229"/>
      <c r="V56" s="229"/>
      <c r="W56" s="229"/>
      <c r="X56" s="265">
        <f t="shared" si="4"/>
        <v>2.14244700824801</v>
      </c>
      <c r="Y56" s="2"/>
      <c r="Z56" s="2"/>
      <c r="AA56" s="2"/>
      <c r="AB56" s="2"/>
      <c r="AC56" s="2"/>
      <c r="AD56" s="2"/>
      <c r="AE56" s="2"/>
      <c r="AF56" s="2"/>
    </row>
    <row r="57" spans="1:32">
      <c r="B57" s="2"/>
      <c r="C57" s="319" t="str">
        <f>IF(MasterSheet!$A$1=1,MasterSheet!C374,MasterSheet!B374)</f>
        <v>Porez na zarade</v>
      </c>
      <c r="D57" s="460">
        <v>2675264.7499999986</v>
      </c>
      <c r="E57" s="231">
        <v>2705751.1999999997</v>
      </c>
      <c r="F57" s="263">
        <v>2103408.4899999993</v>
      </c>
      <c r="G57" s="263">
        <v>3206011.6400000011</v>
      </c>
      <c r="H57" s="263"/>
      <c r="I57" s="263"/>
      <c r="J57" s="263"/>
      <c r="K57" s="263"/>
      <c r="L57" s="263"/>
      <c r="M57" s="263"/>
      <c r="N57" s="293"/>
      <c r="O57" s="299"/>
      <c r="P57" s="404">
        <f t="shared" si="14"/>
        <v>10690436.079999998</v>
      </c>
      <c r="Q57" s="264">
        <v>3349675.4600000009</v>
      </c>
      <c r="R57" s="264">
        <f t="shared" si="15"/>
        <v>14040111.539999999</v>
      </c>
      <c r="S57" s="264">
        <f>+'2013 - plan'!D56+'2013 - plan'!E56+'2013 - plan'!F56</f>
        <v>7481364.75</v>
      </c>
      <c r="T57" s="438">
        <f t="shared" si="16"/>
        <v>6558746.7899999991</v>
      </c>
      <c r="U57" s="229"/>
      <c r="V57" s="229"/>
      <c r="W57" s="229"/>
      <c r="X57" s="265">
        <f t="shared" si="4"/>
        <v>0.3040510830489192</v>
      </c>
      <c r="Y57" s="2"/>
      <c r="Z57" s="2"/>
      <c r="AA57" s="2"/>
      <c r="AB57" s="2"/>
      <c r="AC57" s="2"/>
      <c r="AD57" s="2"/>
      <c r="AE57" s="2"/>
      <c r="AF57" s="2"/>
    </row>
    <row r="58" spans="1:32">
      <c r="B58" s="2"/>
      <c r="C58" s="319" t="str">
        <f>IF(MasterSheet!$A$1=1,MasterSheet!C375,MasterSheet!B375)</f>
        <v>Doprinosi na teret zaposlenog</v>
      </c>
      <c r="D58" s="460">
        <v>6537985.2499999963</v>
      </c>
      <c r="E58" s="231">
        <v>6565570.8700000038</v>
      </c>
      <c r="F58" s="263">
        <v>5120485.9699999988</v>
      </c>
      <c r="G58" s="263">
        <v>6909301.3700000057</v>
      </c>
      <c r="H58" s="263"/>
      <c r="I58" s="263"/>
      <c r="J58" s="263"/>
      <c r="K58" s="263"/>
      <c r="L58" s="263"/>
      <c r="M58" s="263"/>
      <c r="N58" s="293"/>
      <c r="O58" s="299"/>
      <c r="P58" s="404">
        <f t="shared" si="14"/>
        <v>25133343.460000005</v>
      </c>
      <c r="Q58" s="264">
        <v>8045126.2099999925</v>
      </c>
      <c r="R58" s="264">
        <f t="shared" si="15"/>
        <v>33178469.669999998</v>
      </c>
      <c r="S58" s="264">
        <f>+'2013 - plan'!D57+'2013 - plan'!E57+'2013 - plan'!F57</f>
        <v>19000048.140000001</v>
      </c>
      <c r="T58" s="438">
        <f t="shared" si="16"/>
        <v>14178421.529999997</v>
      </c>
      <c r="U58" s="229"/>
      <c r="V58" s="229"/>
      <c r="W58" s="229"/>
      <c r="X58" s="265">
        <f t="shared" si="4"/>
        <v>0.71482774345847566</v>
      </c>
      <c r="Y58" s="2"/>
      <c r="Z58" s="2"/>
      <c r="AA58" s="2"/>
      <c r="AB58" s="2"/>
      <c r="AC58" s="2"/>
      <c r="AD58" s="2"/>
      <c r="AE58" s="2"/>
      <c r="AF58" s="2"/>
    </row>
    <row r="59" spans="1:32">
      <c r="B59" s="2"/>
      <c r="C59" s="319" t="str">
        <f>IF(MasterSheet!$A$1=1,MasterSheet!C376,MasterSheet!B376)</f>
        <v>Doprinosi na teret poslodavca</v>
      </c>
      <c r="D59" s="460">
        <v>3348368.9900000044</v>
      </c>
      <c r="E59" s="231">
        <v>3600953.8300000066</v>
      </c>
      <c r="F59" s="263">
        <v>2741076.2599999984</v>
      </c>
      <c r="G59" s="263">
        <v>3971889.810000001</v>
      </c>
      <c r="H59" s="263"/>
      <c r="I59" s="263"/>
      <c r="J59" s="263"/>
      <c r="K59" s="263"/>
      <c r="L59" s="263"/>
      <c r="M59" s="263"/>
      <c r="N59" s="293"/>
      <c r="O59" s="299"/>
      <c r="P59" s="404">
        <f t="shared" si="14"/>
        <v>13662288.89000001</v>
      </c>
      <c r="Q59" s="264">
        <v>4309106.8499999968</v>
      </c>
      <c r="R59" s="264">
        <f t="shared" si="15"/>
        <v>17971395.740000006</v>
      </c>
      <c r="S59" s="264">
        <f>+'2013 - plan'!D58+'2013 - plan'!E58+'2013 - plan'!F58</f>
        <v>10099422.940000001</v>
      </c>
      <c r="T59" s="438">
        <f t="shared" si="16"/>
        <v>7871972.8000000045</v>
      </c>
      <c r="U59" s="229"/>
      <c r="V59" s="229"/>
      <c r="W59" s="229"/>
      <c r="X59" s="265">
        <f t="shared" si="4"/>
        <v>0.38857476934015955</v>
      </c>
      <c r="Y59" s="2"/>
      <c r="Z59" s="2"/>
      <c r="AA59" s="2"/>
      <c r="AB59" s="2"/>
      <c r="AC59" s="2"/>
      <c r="AD59" s="2"/>
      <c r="AE59" s="2"/>
      <c r="AF59" s="2"/>
    </row>
    <row r="60" spans="1:32">
      <c r="B60" s="2"/>
      <c r="C60" s="319" t="str">
        <f>IF(MasterSheet!$A$1=1,MasterSheet!C377,MasterSheet!B377)</f>
        <v>Prirez na porez na dohodak</v>
      </c>
      <c r="D60" s="460">
        <v>376570.84999999934</v>
      </c>
      <c r="E60" s="231">
        <v>111852.09</v>
      </c>
      <c r="F60" s="263">
        <v>295692.08000000007</v>
      </c>
      <c r="G60" s="263">
        <v>465744.04999999958</v>
      </c>
      <c r="H60" s="263"/>
      <c r="I60" s="263"/>
      <c r="J60" s="263"/>
      <c r="K60" s="263"/>
      <c r="L60" s="263"/>
      <c r="M60" s="263"/>
      <c r="N60" s="293"/>
      <c r="O60" s="299"/>
      <c r="P60" s="404">
        <f t="shared" si="14"/>
        <v>1249859.0699999989</v>
      </c>
      <c r="Q60" s="264">
        <v>371753.44000000012</v>
      </c>
      <c r="R60" s="264">
        <f t="shared" si="15"/>
        <v>1621612.5099999991</v>
      </c>
      <c r="S60" s="264">
        <f>+'2013 - plan'!D59+'2013 - plan'!E59+'2013 - plan'!F59</f>
        <v>1076676.8999999999</v>
      </c>
      <c r="T60" s="438">
        <f t="shared" si="16"/>
        <v>544935.60999999917</v>
      </c>
      <c r="U60" s="229"/>
      <c r="V60" s="229"/>
      <c r="W60" s="229"/>
      <c r="X60" s="265">
        <f t="shared" si="4"/>
        <v>3.5547755119453892E-2</v>
      </c>
      <c r="Y60" s="2"/>
      <c r="Z60" s="2"/>
      <c r="AA60" s="2"/>
      <c r="AB60" s="2"/>
      <c r="AC60" s="2"/>
      <c r="AD60" s="2"/>
      <c r="AE60" s="2"/>
      <c r="AF60" s="2"/>
    </row>
    <row r="61" spans="1:32">
      <c r="B61" s="2"/>
      <c r="C61" s="321" t="str">
        <f>IF(MasterSheet!$A$1=1,MasterSheet!C378,MasterSheet!B378)</f>
        <v>Ostala lična primanja</v>
      </c>
      <c r="D61" s="336">
        <v>439879.61999999988</v>
      </c>
      <c r="E61" s="334">
        <v>458274.38</v>
      </c>
      <c r="F61" s="337">
        <v>1312845.2299999997</v>
      </c>
      <c r="G61" s="337">
        <v>817179.90999999992</v>
      </c>
      <c r="H61" s="337"/>
      <c r="I61" s="337"/>
      <c r="J61" s="337"/>
      <c r="K61" s="337"/>
      <c r="L61" s="337"/>
      <c r="M61" s="337"/>
      <c r="N61" s="376"/>
      <c r="O61" s="338"/>
      <c r="P61" s="407">
        <f t="shared" si="14"/>
        <v>3028179.1399999997</v>
      </c>
      <c r="Q61" s="266">
        <v>1196100.06</v>
      </c>
      <c r="R61" s="266">
        <f t="shared" si="15"/>
        <v>4224279.1999999993</v>
      </c>
      <c r="S61" s="266">
        <f>+'2013 - plan'!D60+'2013 - plan'!E60+'2013 - plan'!F60</f>
        <v>2618575.59</v>
      </c>
      <c r="T61" s="437">
        <f t="shared" si="16"/>
        <v>1605703.6099999994</v>
      </c>
      <c r="U61" s="235"/>
      <c r="V61" s="235"/>
      <c r="W61" s="235"/>
      <c r="X61" s="267">
        <f t="shared" si="4"/>
        <v>8.6125686575654142E-2</v>
      </c>
      <c r="Y61" s="2"/>
      <c r="Z61" s="2"/>
      <c r="AA61" s="2"/>
      <c r="AB61" s="2"/>
      <c r="AC61" s="2"/>
      <c r="AD61" s="2"/>
      <c r="AE61" s="2"/>
      <c r="AF61" s="2"/>
    </row>
    <row r="62" spans="1:32" s="1" customFormat="1">
      <c r="A62" s="2"/>
      <c r="C62" s="335" t="str">
        <f>IF(MasterSheet!$A$1=1,MasterSheet!C379,MasterSheet!B379)</f>
        <v>Rashodi za materijal i usluge</v>
      </c>
      <c r="D62" s="336">
        <v>3837525.9399999985</v>
      </c>
      <c r="E62" s="337">
        <v>5143842.3000000007</v>
      </c>
      <c r="F62" s="337">
        <v>6405267.6199999992</v>
      </c>
      <c r="G62" s="337">
        <v>5241118.04</v>
      </c>
      <c r="H62" s="337"/>
      <c r="I62" s="337"/>
      <c r="J62" s="337"/>
      <c r="K62" s="337"/>
      <c r="L62" s="337"/>
      <c r="M62" s="337"/>
      <c r="N62" s="376"/>
      <c r="O62" s="338"/>
      <c r="P62" s="407">
        <f t="shared" si="14"/>
        <v>20627753.899999999</v>
      </c>
      <c r="Q62" s="240">
        <v>7976181.8499999987</v>
      </c>
      <c r="R62" s="240">
        <f t="shared" si="15"/>
        <v>28603935.749999996</v>
      </c>
      <c r="S62" s="240">
        <f>+'2013 - plan'!D61+'2013 - plan'!E61+'2013 - plan'!F61</f>
        <v>20551690.990000002</v>
      </c>
      <c r="T62" s="474">
        <f t="shared" si="16"/>
        <v>8052244.7599999942</v>
      </c>
      <c r="U62" s="268"/>
      <c r="V62" s="268"/>
      <c r="W62" s="268"/>
      <c r="X62" s="241">
        <f t="shared" si="4"/>
        <v>0.58668242036404994</v>
      </c>
      <c r="Z62" s="2"/>
      <c r="AA62" s="2"/>
      <c r="AB62" s="2"/>
      <c r="AC62" s="2"/>
      <c r="AD62" s="2"/>
      <c r="AE62" s="2"/>
      <c r="AF62" s="2"/>
    </row>
    <row r="63" spans="1:32">
      <c r="B63" s="2"/>
      <c r="C63" s="321" t="str">
        <f>IF(MasterSheet!$A$1=1,MasterSheet!C380,MasterSheet!B380)</f>
        <v>Tekuće održavanje</v>
      </c>
      <c r="D63" s="336">
        <v>639522.21</v>
      </c>
      <c r="E63" s="334">
        <v>185129.94</v>
      </c>
      <c r="F63" s="337">
        <v>1189329.8499999999</v>
      </c>
      <c r="G63" s="337">
        <v>2186611.2799999998</v>
      </c>
      <c r="H63" s="337"/>
      <c r="I63" s="337"/>
      <c r="J63" s="337"/>
      <c r="K63" s="337"/>
      <c r="L63" s="337"/>
      <c r="M63" s="337"/>
      <c r="N63" s="376"/>
      <c r="O63" s="338"/>
      <c r="P63" s="407">
        <f t="shared" si="14"/>
        <v>4200593.2799999993</v>
      </c>
      <c r="Q63" s="266">
        <v>2188111.64</v>
      </c>
      <c r="R63" s="266">
        <f t="shared" si="15"/>
        <v>6388704.9199999999</v>
      </c>
      <c r="S63" s="266">
        <f>+'2013 - plan'!D62+'2013 - plan'!E62+'2013 - plan'!F62</f>
        <v>5115547.49</v>
      </c>
      <c r="T63" s="437">
        <f t="shared" si="16"/>
        <v>1273157.4299999997</v>
      </c>
      <c r="U63" s="235"/>
      <c r="V63" s="235"/>
      <c r="W63" s="235"/>
      <c r="X63" s="267">
        <f t="shared" si="4"/>
        <v>0.11947079863481228</v>
      </c>
      <c r="Y63" s="2"/>
      <c r="Z63" s="2"/>
      <c r="AA63" s="2"/>
      <c r="AB63" s="2"/>
      <c r="AC63" s="2"/>
      <c r="AD63" s="2"/>
      <c r="AE63" s="2"/>
      <c r="AF63" s="2"/>
    </row>
    <row r="64" spans="1:32" s="1" customFormat="1">
      <c r="A64" s="2"/>
      <c r="C64" s="335" t="str">
        <f>IF(MasterSheet!$A$1=1,MasterSheet!C381,MasterSheet!B381)</f>
        <v>Kamate</v>
      </c>
      <c r="D64" s="336">
        <v>2311659.59</v>
      </c>
      <c r="E64" s="334">
        <v>1110012.8900000001</v>
      </c>
      <c r="F64" s="337">
        <v>4624851.26</v>
      </c>
      <c r="G64" s="337">
        <v>24662849.41</v>
      </c>
      <c r="H64" s="337"/>
      <c r="I64" s="337"/>
      <c r="J64" s="337"/>
      <c r="K64" s="337"/>
      <c r="L64" s="337"/>
      <c r="M64" s="337"/>
      <c r="N64" s="376"/>
      <c r="O64" s="338"/>
      <c r="P64" s="407">
        <f t="shared" si="14"/>
        <v>32709373.149999999</v>
      </c>
      <c r="Q64" s="240">
        <v>1881095.87</v>
      </c>
      <c r="R64" s="240">
        <f t="shared" si="15"/>
        <v>34590469.019999996</v>
      </c>
      <c r="S64" s="240">
        <f>+'2013 - plan'!D63+'2013 - plan'!E63+'2013 - plan'!F63</f>
        <v>17600901.84</v>
      </c>
      <c r="T64" s="474">
        <f t="shared" si="16"/>
        <v>16989567.179999996</v>
      </c>
      <c r="U64" s="268"/>
      <c r="V64" s="268"/>
      <c r="W64" s="268"/>
      <c r="X64" s="241">
        <f t="shared" si="4"/>
        <v>0.93030071530147884</v>
      </c>
      <c r="Z64" s="2"/>
      <c r="AA64" s="2"/>
      <c r="AB64" s="2"/>
      <c r="AC64" s="2"/>
      <c r="AD64" s="2"/>
      <c r="AE64" s="2"/>
      <c r="AF64" s="2"/>
    </row>
    <row r="65" spans="2:32">
      <c r="B65" s="2"/>
      <c r="C65" s="321" t="str">
        <f>IF(MasterSheet!$A$1=1,MasterSheet!C382,MasterSheet!B382)</f>
        <v>Renta</v>
      </c>
      <c r="D65" s="336">
        <v>940663.68000000028</v>
      </c>
      <c r="E65" s="334">
        <v>532115.69999999995</v>
      </c>
      <c r="F65" s="337">
        <v>631213.78</v>
      </c>
      <c r="G65" s="337">
        <v>662523.6399999999</v>
      </c>
      <c r="H65" s="337"/>
      <c r="I65" s="337"/>
      <c r="J65" s="337"/>
      <c r="K65" s="337"/>
      <c r="L65" s="337"/>
      <c r="M65" s="337"/>
      <c r="N65" s="376"/>
      <c r="O65" s="338"/>
      <c r="P65" s="407">
        <f t="shared" si="14"/>
        <v>2766516.8</v>
      </c>
      <c r="Q65" s="266">
        <v>717206.67999999993</v>
      </c>
      <c r="R65" s="266">
        <f t="shared" si="15"/>
        <v>3483723.4799999995</v>
      </c>
      <c r="S65" s="266">
        <f>+'2013 - plan'!D64+'2013 - plan'!E64+'2013 - plan'!F64</f>
        <v>1955684.8499999999</v>
      </c>
      <c r="T65" s="437">
        <f t="shared" si="16"/>
        <v>1528038.6299999997</v>
      </c>
      <c r="U65" s="235"/>
      <c r="V65" s="235"/>
      <c r="W65" s="235"/>
      <c r="X65" s="267">
        <f t="shared" si="4"/>
        <v>7.8683640500568822E-2</v>
      </c>
      <c r="Y65" s="2"/>
      <c r="Z65" s="2"/>
      <c r="AA65" s="2"/>
      <c r="AB65" s="2"/>
      <c r="AC65" s="2"/>
      <c r="AD65" s="2"/>
      <c r="AE65" s="2"/>
      <c r="AF65" s="2"/>
    </row>
    <row r="66" spans="2:32">
      <c r="B66" s="2"/>
      <c r="C66" s="321" t="str">
        <f>IF(MasterSheet!$A$1=1,MasterSheet!C383,MasterSheet!B383)</f>
        <v>Subvencije</v>
      </c>
      <c r="D66" s="336">
        <v>2104751.61</v>
      </c>
      <c r="E66" s="334">
        <v>964053.87000000011</v>
      </c>
      <c r="F66" s="337">
        <v>3024119.07</v>
      </c>
      <c r="G66" s="337">
        <v>1097205.76</v>
      </c>
      <c r="H66" s="337"/>
      <c r="I66" s="337"/>
      <c r="J66" s="337"/>
      <c r="K66" s="337"/>
      <c r="L66" s="337"/>
      <c r="M66" s="337"/>
      <c r="N66" s="376"/>
      <c r="O66" s="338"/>
      <c r="P66" s="407">
        <f t="shared" si="14"/>
        <v>7190130.3099999996</v>
      </c>
      <c r="Q66" s="266">
        <v>3164428.4699999997</v>
      </c>
      <c r="R66" s="266">
        <f t="shared" si="15"/>
        <v>10354558.779999999</v>
      </c>
      <c r="S66" s="266">
        <f>+'2013 - plan'!D65+'2013 - plan'!E65+'2013 - plan'!F65</f>
        <v>3630000.0300000003</v>
      </c>
      <c r="T66" s="437">
        <f t="shared" si="16"/>
        <v>6724558.7499999991</v>
      </c>
      <c r="U66" s="235"/>
      <c r="V66" s="235"/>
      <c r="W66" s="235"/>
      <c r="X66" s="267">
        <f t="shared" si="4"/>
        <v>0.20449744908987486</v>
      </c>
      <c r="Y66" s="2"/>
      <c r="Z66" s="2"/>
      <c r="AA66" s="2"/>
      <c r="AB66" s="2"/>
      <c r="AC66" s="2"/>
      <c r="AD66" s="2"/>
      <c r="AE66" s="2"/>
      <c r="AF66" s="2"/>
    </row>
    <row r="67" spans="2:32" ht="12.75" customHeight="1">
      <c r="B67" s="2"/>
      <c r="C67" s="321" t="str">
        <f>IF(MasterSheet!$A$1=1,MasterSheet!C384,MasterSheet!B384)</f>
        <v>Ostali izdaci</v>
      </c>
      <c r="D67" s="336">
        <v>183999.85</v>
      </c>
      <c r="E67" s="334">
        <v>381488.1399999999</v>
      </c>
      <c r="F67" s="337">
        <v>2913313.09</v>
      </c>
      <c r="G67" s="337">
        <v>1187251.9799999995</v>
      </c>
      <c r="H67" s="337"/>
      <c r="I67" s="337"/>
      <c r="J67" s="337"/>
      <c r="K67" s="337"/>
      <c r="L67" s="337"/>
      <c r="M67" s="337"/>
      <c r="N67" s="376"/>
      <c r="O67" s="338"/>
      <c r="P67" s="407">
        <f t="shared" si="14"/>
        <v>4666053.0599999987</v>
      </c>
      <c r="Q67" s="266">
        <v>464637.15000000037</v>
      </c>
      <c r="R67" s="266">
        <f t="shared" si="15"/>
        <v>5130690.209999999</v>
      </c>
      <c r="S67" s="266">
        <f>+'2013 - plan'!D66+'2013 - plan'!E66+'2013 - plan'!F66</f>
        <v>1440476.4600000007</v>
      </c>
      <c r="T67" s="437">
        <f t="shared" si="16"/>
        <v>3690213.7499999981</v>
      </c>
      <c r="U67" s="235"/>
      <c r="V67" s="235"/>
      <c r="W67" s="235"/>
      <c r="X67" s="267">
        <f t="shared" si="4"/>
        <v>0.13270913139931736</v>
      </c>
      <c r="Y67" s="2"/>
      <c r="Z67" s="2"/>
      <c r="AA67" s="2"/>
      <c r="AB67" s="2"/>
      <c r="AC67" s="2"/>
      <c r="AD67" s="2"/>
      <c r="AE67" s="2"/>
      <c r="AF67" s="2"/>
    </row>
    <row r="68" spans="2:32" ht="12.75" customHeight="1">
      <c r="B68" s="2"/>
      <c r="C68" s="321" t="str">
        <f>IF(MasterSheet!$A$1=1,MasterSheet!C385,MasterSheet!B385)</f>
        <v>Kapitalni izdaci u tekućem budžetu</v>
      </c>
      <c r="D68" s="336">
        <v>13739.03</v>
      </c>
      <c r="E68" s="334">
        <v>367892.65</v>
      </c>
      <c r="F68" s="337">
        <v>421838.74</v>
      </c>
      <c r="G68" s="337">
        <v>410406.14999999997</v>
      </c>
      <c r="H68" s="337"/>
      <c r="I68" s="337"/>
      <c r="J68" s="337"/>
      <c r="K68" s="337"/>
      <c r="L68" s="337"/>
      <c r="M68" s="337"/>
      <c r="N68" s="376"/>
      <c r="O68" s="338"/>
      <c r="P68" s="407">
        <f t="shared" si="14"/>
        <v>1213876.57</v>
      </c>
      <c r="Q68" s="266">
        <v>446655.06</v>
      </c>
      <c r="R68" s="266">
        <f t="shared" si="15"/>
        <v>1660531.6300000001</v>
      </c>
      <c r="S68" s="266">
        <f>+'2013 - plan'!D67+'2013 - plan'!E67+'2013 - plan'!F67</f>
        <v>1938087.0399999996</v>
      </c>
      <c r="T68" s="437">
        <f t="shared" si="16"/>
        <v>-277555.40999999945</v>
      </c>
      <c r="U68" s="235"/>
      <c r="V68" s="235"/>
      <c r="W68" s="235"/>
      <c r="X68" s="267">
        <f t="shared" si="4"/>
        <v>3.4524362059158133E-2</v>
      </c>
      <c r="Y68" s="2"/>
      <c r="Z68" s="2"/>
      <c r="AA68" s="2"/>
      <c r="AB68" s="2"/>
      <c r="AC68" s="2"/>
      <c r="AD68" s="2"/>
      <c r="AE68" s="2"/>
      <c r="AF68" s="2"/>
    </row>
    <row r="69" spans="2:32">
      <c r="B69" s="2"/>
      <c r="C69" s="321" t="str">
        <f>IF(MasterSheet!$A$1=1,MasterSheet!C386,MasterSheet!B386)</f>
        <v>Transferi za socijalnu zaštitu</v>
      </c>
      <c r="D69" s="360">
        <f>+SUM(D70:D74)</f>
        <v>39555878.580000006</v>
      </c>
      <c r="E69" s="255">
        <f t="shared" ref="E69:O69" si="19">+SUM(E70:E74)</f>
        <v>41425187.060000002</v>
      </c>
      <c r="F69" s="254">
        <f t="shared" si="19"/>
        <v>41909906.140000015</v>
      </c>
      <c r="G69" s="254">
        <f t="shared" si="19"/>
        <v>40423629.730000004</v>
      </c>
      <c r="H69" s="254">
        <f t="shared" si="19"/>
        <v>0</v>
      </c>
      <c r="I69" s="254">
        <f t="shared" si="19"/>
        <v>0</v>
      </c>
      <c r="J69" s="254">
        <f t="shared" si="19"/>
        <v>0</v>
      </c>
      <c r="K69" s="254">
        <f t="shared" si="19"/>
        <v>0</v>
      </c>
      <c r="L69" s="254">
        <f t="shared" si="19"/>
        <v>0</v>
      </c>
      <c r="M69" s="254">
        <f t="shared" si="19"/>
        <v>0</v>
      </c>
      <c r="N69" s="377">
        <f t="shared" si="19"/>
        <v>0</v>
      </c>
      <c r="O69" s="340">
        <f t="shared" si="19"/>
        <v>0</v>
      </c>
      <c r="P69" s="258">
        <f t="shared" si="14"/>
        <v>163314601.51000005</v>
      </c>
      <c r="Q69" s="258">
        <v>42817670.630000003</v>
      </c>
      <c r="R69" s="258">
        <f t="shared" si="15"/>
        <v>206132272.14000005</v>
      </c>
      <c r="S69" s="258">
        <f>+'2013 - plan'!D68+'2013 - plan'!E68+'2013 - plan'!F68</f>
        <v>124468181.75999999</v>
      </c>
      <c r="T69" s="438">
        <f t="shared" si="16"/>
        <v>81664090.380000055</v>
      </c>
      <c r="U69" s="229"/>
      <c r="V69" s="229"/>
      <c r="W69" s="229"/>
      <c r="X69" s="259">
        <f t="shared" si="4"/>
        <v>4.6448976538680329</v>
      </c>
      <c r="Y69" s="2"/>
      <c r="Z69" s="2"/>
      <c r="AA69" s="2"/>
      <c r="AB69" s="2"/>
      <c r="AC69" s="2"/>
      <c r="AD69" s="2"/>
      <c r="AE69" s="2"/>
      <c r="AF69" s="2"/>
    </row>
    <row r="70" spans="2:32">
      <c r="B70" s="2"/>
      <c r="C70" s="319" t="str">
        <f>IF(MasterSheet!$A$1=1,MasterSheet!C387,MasterSheet!B387)</f>
        <v>Prava iz oblasti socijalne zaštite</v>
      </c>
      <c r="D70" s="359">
        <v>5197554.8999999994</v>
      </c>
      <c r="E70" s="231">
        <v>5250468.46</v>
      </c>
      <c r="F70" s="263">
        <v>4943694.8400000008</v>
      </c>
      <c r="G70" s="263">
        <v>5048089.1400000006</v>
      </c>
      <c r="H70" s="263"/>
      <c r="I70" s="263"/>
      <c r="J70" s="263"/>
      <c r="K70" s="263"/>
      <c r="L70" s="263"/>
      <c r="M70" s="263"/>
      <c r="N70" s="293"/>
      <c r="O70" s="299"/>
      <c r="P70" s="404">
        <f t="shared" si="14"/>
        <v>20439807.34</v>
      </c>
      <c r="Q70" s="264">
        <v>5548846.8199999994</v>
      </c>
      <c r="R70" s="264">
        <f t="shared" si="15"/>
        <v>25988654.16</v>
      </c>
      <c r="S70" s="264">
        <f>+'2013 - plan'!D69+'2013 - plan'!E69+'2013 - plan'!F69</f>
        <v>15252249.99</v>
      </c>
      <c r="T70" s="438">
        <f t="shared" si="16"/>
        <v>10736404.17</v>
      </c>
      <c r="U70" s="229"/>
      <c r="V70" s="229"/>
      <c r="W70" s="229"/>
      <c r="X70" s="265">
        <f t="shared" si="4"/>
        <v>0.5813369550625711</v>
      </c>
      <c r="Y70" s="2"/>
      <c r="Z70" s="2"/>
      <c r="AA70" s="113"/>
      <c r="AB70" s="113"/>
      <c r="AC70" s="113"/>
      <c r="AD70" s="2"/>
      <c r="AE70" s="2"/>
      <c r="AF70" s="2"/>
    </row>
    <row r="71" spans="2:32">
      <c r="B71" s="2"/>
      <c r="C71" s="319" t="str">
        <f>IF(MasterSheet!$A$1=1,MasterSheet!C388,MasterSheet!B388)</f>
        <v>Sredstva za tehnološke viškove</v>
      </c>
      <c r="D71" s="359">
        <v>631049.97</v>
      </c>
      <c r="E71" s="231">
        <v>2339008.5</v>
      </c>
      <c r="F71" s="263">
        <v>3379279.58</v>
      </c>
      <c r="G71" s="263">
        <v>1009266.9</v>
      </c>
      <c r="H71" s="263"/>
      <c r="I71" s="263"/>
      <c r="J71" s="263"/>
      <c r="K71" s="263"/>
      <c r="L71" s="263"/>
      <c r="M71" s="263"/>
      <c r="N71" s="293"/>
      <c r="O71" s="299"/>
      <c r="P71" s="404">
        <f t="shared" si="14"/>
        <v>7358604.9500000002</v>
      </c>
      <c r="Q71" s="264">
        <v>1411205.3399999999</v>
      </c>
      <c r="R71" s="264">
        <f t="shared" si="15"/>
        <v>8769810.2899999991</v>
      </c>
      <c r="S71" s="264">
        <f>+'2013 - plan'!D70+'2013 - plan'!E70+'2013 - plan'!F70</f>
        <v>3840012.51</v>
      </c>
      <c r="T71" s="438">
        <f t="shared" si="16"/>
        <v>4929797.7799999993</v>
      </c>
      <c r="U71" s="229"/>
      <c r="V71" s="229"/>
      <c r="W71" s="229"/>
      <c r="X71" s="265">
        <f t="shared" si="4"/>
        <v>0.20928910551763369</v>
      </c>
      <c r="Y71" s="2"/>
      <c r="Z71" s="2"/>
      <c r="AA71" s="2"/>
      <c r="AB71" s="2"/>
      <c r="AC71" s="2"/>
      <c r="AD71" s="2"/>
      <c r="AE71" s="2"/>
      <c r="AF71" s="2"/>
    </row>
    <row r="72" spans="2:32">
      <c r="B72" s="2"/>
      <c r="C72" s="319" t="str">
        <f>IF(MasterSheet!$A$1=1,MasterSheet!C389,MasterSheet!B389)</f>
        <v>Prava iz oblasti penzijskog i invalidskog osiguranja</v>
      </c>
      <c r="D72" s="359">
        <v>31930605.570000011</v>
      </c>
      <c r="E72" s="231">
        <v>32322505.830000006</v>
      </c>
      <c r="F72" s="263">
        <v>32139547.500000015</v>
      </c>
      <c r="G72" s="263">
        <v>32175533.070000004</v>
      </c>
      <c r="H72" s="263"/>
      <c r="I72" s="263"/>
      <c r="J72" s="263"/>
      <c r="K72" s="263"/>
      <c r="L72" s="263"/>
      <c r="M72" s="263"/>
      <c r="N72" s="293"/>
      <c r="O72" s="299"/>
      <c r="P72" s="404">
        <f t="shared" si="14"/>
        <v>128568191.97000004</v>
      </c>
      <c r="Q72" s="264">
        <v>34592700.830000006</v>
      </c>
      <c r="R72" s="264">
        <f t="shared" si="15"/>
        <v>163160892.80000004</v>
      </c>
      <c r="S72" s="264">
        <f>+'2013 - plan'!D71+'2013 - plan'!E71+'2013 - plan'!F71</f>
        <v>100225919.28</v>
      </c>
      <c r="T72" s="438">
        <f t="shared" si="16"/>
        <v>62934973.520000041</v>
      </c>
      <c r="U72" s="229"/>
      <c r="V72" s="229"/>
      <c r="W72" s="229"/>
      <c r="X72" s="265">
        <f t="shared" si="4"/>
        <v>3.6566607500000012</v>
      </c>
      <c r="Y72" s="2"/>
      <c r="Z72" s="2"/>
      <c r="AA72" s="2"/>
      <c r="AB72" s="2"/>
      <c r="AC72" s="2"/>
      <c r="AD72" s="2"/>
      <c r="AE72" s="2"/>
      <c r="AF72" s="2"/>
    </row>
    <row r="73" spans="2:32">
      <c r="B73" s="2"/>
      <c r="C73" s="319" t="str">
        <f>IF(MasterSheet!$A$1=1,MasterSheet!C390,MasterSheet!B390)</f>
        <v>Ostala prava iz oblasti zdravstvene zaštite</v>
      </c>
      <c r="D73" s="359">
        <v>1293482.73</v>
      </c>
      <c r="E73" s="231">
        <v>1086849.98</v>
      </c>
      <c r="F73" s="263">
        <v>818430.35</v>
      </c>
      <c r="G73" s="263">
        <v>1570673.39</v>
      </c>
      <c r="H73" s="263"/>
      <c r="I73" s="263"/>
      <c r="J73" s="263"/>
      <c r="K73" s="263"/>
      <c r="L73" s="263"/>
      <c r="M73" s="263"/>
      <c r="N73" s="293"/>
      <c r="O73" s="299"/>
      <c r="P73" s="404">
        <f t="shared" si="14"/>
        <v>4769436.45</v>
      </c>
      <c r="Q73" s="264">
        <v>626460.35</v>
      </c>
      <c r="R73" s="264">
        <f t="shared" si="15"/>
        <v>5395896.7999999998</v>
      </c>
      <c r="S73" s="264">
        <f>+'2013 - plan'!D72+'2013 - plan'!E72+'2013 - plan'!F72</f>
        <v>3399999.99</v>
      </c>
      <c r="T73" s="438">
        <f t="shared" si="16"/>
        <v>1995896.8099999996</v>
      </c>
      <c r="U73" s="229"/>
      <c r="V73" s="229"/>
      <c r="W73" s="229"/>
      <c r="X73" s="265">
        <f t="shared" si="4"/>
        <v>0.13564950085324234</v>
      </c>
      <c r="Y73" s="2"/>
      <c r="Z73" s="2"/>
      <c r="AA73" s="2"/>
      <c r="AB73" s="2"/>
      <c r="AC73" s="2"/>
      <c r="AD73" s="2"/>
      <c r="AE73" s="2"/>
      <c r="AF73" s="2"/>
    </row>
    <row r="74" spans="2:32">
      <c r="B74" s="2"/>
      <c r="C74" s="319" t="str">
        <f>IF(MasterSheet!$A$1=1,MasterSheet!C391,MasterSheet!B391)</f>
        <v>Ostala prava iz oblasti zdravstvenog osiguranja</v>
      </c>
      <c r="D74" s="359">
        <v>503185.41</v>
      </c>
      <c r="E74" s="231">
        <v>426354.29000000004</v>
      </c>
      <c r="F74" s="263">
        <v>628953.86999999988</v>
      </c>
      <c r="G74" s="263">
        <v>620067.23</v>
      </c>
      <c r="H74" s="263"/>
      <c r="I74" s="263"/>
      <c r="J74" s="263"/>
      <c r="K74" s="263"/>
      <c r="L74" s="263"/>
      <c r="M74" s="263"/>
      <c r="N74" s="293"/>
      <c r="O74" s="299"/>
      <c r="P74" s="404">
        <f t="shared" si="14"/>
        <v>2178560.7999999998</v>
      </c>
      <c r="Q74" s="264">
        <v>638457.29</v>
      </c>
      <c r="R74" s="264">
        <f t="shared" si="15"/>
        <v>2817018.09</v>
      </c>
      <c r="S74" s="264">
        <f>+'2013 - plan'!D73+'2013 - plan'!E73+'2013 - plan'!F73</f>
        <v>1749999.9900000002</v>
      </c>
      <c r="T74" s="438">
        <f t="shared" si="16"/>
        <v>1067018.0999999996</v>
      </c>
      <c r="U74" s="229"/>
      <c r="V74" s="229"/>
      <c r="W74" s="229"/>
      <c r="X74" s="265">
        <f t="shared" si="4"/>
        <v>6.1961342434584753E-2</v>
      </c>
      <c r="Y74" s="2"/>
      <c r="Z74" s="2"/>
      <c r="AA74" s="2"/>
      <c r="AB74" s="2"/>
      <c r="AC74" s="2"/>
      <c r="AD74" s="2"/>
      <c r="AE74" s="2"/>
      <c r="AF74" s="2"/>
    </row>
    <row r="75" spans="2:32" ht="13.5" thickBot="1">
      <c r="B75" s="2"/>
      <c r="C75" s="341" t="str">
        <f>IF(MasterSheet!$A$1=1,MasterSheet!C392,MasterSheet!B392)</f>
        <v>Transferi institucijama pojedinicima nevladinom i javnom sektoru</v>
      </c>
      <c r="D75" s="456">
        <f>+SUM(D76:D81)</f>
        <v>4729453.0200000005</v>
      </c>
      <c r="E75" s="254">
        <f t="shared" ref="E75:O75" si="20">+SUM(E76:E81)</f>
        <v>3668588.0200000005</v>
      </c>
      <c r="F75" s="254">
        <f t="shared" si="20"/>
        <v>11943087.779999999</v>
      </c>
      <c r="G75" s="254">
        <f t="shared" si="20"/>
        <v>8801515.4700000007</v>
      </c>
      <c r="H75" s="254">
        <f t="shared" si="20"/>
        <v>0</v>
      </c>
      <c r="I75" s="254">
        <f t="shared" si="20"/>
        <v>0</v>
      </c>
      <c r="J75" s="254">
        <f t="shared" si="20"/>
        <v>0</v>
      </c>
      <c r="K75" s="254">
        <f t="shared" si="20"/>
        <v>0</v>
      </c>
      <c r="L75" s="254">
        <f t="shared" si="20"/>
        <v>0</v>
      </c>
      <c r="M75" s="254">
        <f t="shared" si="20"/>
        <v>0</v>
      </c>
      <c r="N75" s="377">
        <f t="shared" si="20"/>
        <v>0</v>
      </c>
      <c r="O75" s="340">
        <f t="shared" si="20"/>
        <v>0</v>
      </c>
      <c r="P75" s="258">
        <f t="shared" si="14"/>
        <v>29142644.289999999</v>
      </c>
      <c r="Q75" s="258">
        <v>8947545.6400000006</v>
      </c>
      <c r="R75" s="258">
        <f t="shared" si="15"/>
        <v>38090189.93</v>
      </c>
      <c r="S75" s="258">
        <f>+'2013 - plan'!D74+'2013 - plan'!E74+'2013 - plan'!F74</f>
        <v>23320174.050000001</v>
      </c>
      <c r="T75" s="438">
        <f t="shared" si="16"/>
        <v>14770015.879999999</v>
      </c>
      <c r="U75" s="229"/>
      <c r="V75" s="229"/>
      <c r="W75" s="229"/>
      <c r="X75" s="259">
        <f t="shared" si="4"/>
        <v>0.82885791496018191</v>
      </c>
      <c r="Y75" s="2"/>
      <c r="Z75" s="2"/>
      <c r="AA75" s="2"/>
      <c r="AB75" s="2"/>
      <c r="AC75" s="2"/>
      <c r="AD75" s="2"/>
      <c r="AE75" s="2"/>
      <c r="AF75" s="2"/>
    </row>
    <row r="76" spans="2:32" hidden="1">
      <c r="B76" s="2"/>
      <c r="C76" s="319" t="str">
        <f>IF(MasterSheet!$A$1=1,MasterSheet!C393,MasterSheet!B393)</f>
        <v>Transferi javnim institucijama</v>
      </c>
      <c r="D76" s="359">
        <v>4555242.32</v>
      </c>
      <c r="E76" s="231">
        <v>2710807.5400000005</v>
      </c>
      <c r="F76" s="263">
        <v>10311379.629999999</v>
      </c>
      <c r="G76" s="263">
        <v>8801515.4700000007</v>
      </c>
      <c r="H76" s="263"/>
      <c r="I76" s="263"/>
      <c r="J76" s="263"/>
      <c r="K76" s="263"/>
      <c r="L76" s="263"/>
      <c r="M76" s="263"/>
      <c r="N76" s="293"/>
      <c r="O76" s="299"/>
      <c r="P76" s="408">
        <f t="shared" si="14"/>
        <v>26378944.960000001</v>
      </c>
      <c r="Q76" s="264">
        <v>6814693.6900000004</v>
      </c>
      <c r="R76" s="264">
        <f t="shared" si="15"/>
        <v>33193638.650000002</v>
      </c>
      <c r="S76" s="264">
        <f>+'2013 - plan'!D75+'2013 - plan'!E75+'2013 - plan'!F75</f>
        <v>18019117.5</v>
      </c>
      <c r="T76" s="438">
        <f t="shared" si="16"/>
        <v>15174521.150000002</v>
      </c>
      <c r="U76" s="229"/>
      <c r="V76" s="229"/>
      <c r="W76" s="229"/>
      <c r="X76" s="265">
        <f t="shared" si="4"/>
        <v>0.75025440728100112</v>
      </c>
      <c r="Y76" s="2"/>
      <c r="Z76" s="2"/>
      <c r="AA76" s="2"/>
      <c r="AB76" s="2"/>
      <c r="AC76" s="2"/>
      <c r="AD76" s="2"/>
      <c r="AE76" s="2"/>
      <c r="AF76" s="2"/>
    </row>
    <row r="77" spans="2:32" hidden="1">
      <c r="B77" s="2"/>
      <c r="C77" s="319" t="str">
        <f>IF(MasterSheet!$A$1=1,MasterSheet!C394,MasterSheet!B394)</f>
        <v>Transferi nevladinim organizacijama</v>
      </c>
      <c r="D77" s="359">
        <v>9800</v>
      </c>
      <c r="E77" s="231">
        <v>23187.5</v>
      </c>
      <c r="F77" s="263">
        <v>22687.5</v>
      </c>
      <c r="G77" s="263"/>
      <c r="H77" s="263"/>
      <c r="I77" s="263"/>
      <c r="J77" s="263"/>
      <c r="K77" s="263"/>
      <c r="L77" s="263"/>
      <c r="M77" s="263"/>
      <c r="N77" s="293"/>
      <c r="O77" s="299"/>
      <c r="P77" s="408">
        <f t="shared" si="14"/>
        <v>55675</v>
      </c>
      <c r="Q77" s="264">
        <v>23116.67</v>
      </c>
      <c r="R77" s="264">
        <f t="shared" si="15"/>
        <v>78791.67</v>
      </c>
      <c r="S77" s="264">
        <f>+'2013 - plan'!D76+'2013 - plan'!E76+'2013 - plan'!F76</f>
        <v>633656.55000000005</v>
      </c>
      <c r="T77" s="438">
        <f t="shared" si="16"/>
        <v>-554864.88</v>
      </c>
      <c r="U77" s="229"/>
      <c r="V77" s="229"/>
      <c r="W77" s="229"/>
      <c r="X77" s="265">
        <f t="shared" si="4"/>
        <v>1.5834755403868032E-3</v>
      </c>
      <c r="Y77" s="2"/>
      <c r="Z77" s="2"/>
      <c r="AA77" s="2"/>
      <c r="AB77" s="2"/>
      <c r="AC77" s="2"/>
      <c r="AD77" s="2"/>
      <c r="AE77" s="2"/>
      <c r="AF77" s="2"/>
    </row>
    <row r="78" spans="2:32" hidden="1">
      <c r="B78" s="2"/>
      <c r="C78" s="319" t="str">
        <f>IF(MasterSheet!$A$1=1,MasterSheet!C395,MasterSheet!B395)</f>
        <v>Transferi pojedincima</v>
      </c>
      <c r="D78" s="359">
        <v>164410.70000000001</v>
      </c>
      <c r="E78" s="231">
        <v>934592.98</v>
      </c>
      <c r="F78" s="263">
        <v>1609020.6500000001</v>
      </c>
      <c r="G78" s="263"/>
      <c r="H78" s="263"/>
      <c r="I78" s="263"/>
      <c r="J78" s="263"/>
      <c r="K78" s="263"/>
      <c r="L78" s="263"/>
      <c r="M78" s="263"/>
      <c r="N78" s="293"/>
      <c r="O78" s="299"/>
      <c r="P78" s="408">
        <f t="shared" si="14"/>
        <v>2708024.33</v>
      </c>
      <c r="Q78" s="264">
        <v>2107235.2799999998</v>
      </c>
      <c r="R78" s="264">
        <f t="shared" si="15"/>
        <v>4815259.6099999994</v>
      </c>
      <c r="S78" s="264">
        <f>+'2013 - plan'!D77+'2013 - plan'!E77+'2013 - plan'!F77</f>
        <v>4604900.01</v>
      </c>
      <c r="T78" s="438">
        <f t="shared" si="16"/>
        <v>210359.59999999963</v>
      </c>
      <c r="U78" s="229"/>
      <c r="V78" s="229"/>
      <c r="W78" s="229"/>
      <c r="X78" s="265">
        <f t="shared" si="4"/>
        <v>7.7020032138794089E-2</v>
      </c>
      <c r="Y78" s="2"/>
      <c r="Z78" s="2"/>
      <c r="AA78" s="2"/>
      <c r="AB78" s="2"/>
      <c r="AC78" s="2"/>
      <c r="AD78" s="2"/>
      <c r="AE78" s="2"/>
      <c r="AF78" s="2"/>
    </row>
    <row r="79" spans="2:32" hidden="1">
      <c r="B79" s="2"/>
      <c r="C79" s="319" t="str">
        <f>IF(MasterSheet!$A$1=1,MasterSheet!C396,MasterSheet!B396)</f>
        <v>Transferi opštinama</v>
      </c>
      <c r="D79" s="359">
        <v>0</v>
      </c>
      <c r="E79" s="231">
        <v>0</v>
      </c>
      <c r="F79" s="263">
        <v>0</v>
      </c>
      <c r="G79" s="263"/>
      <c r="H79" s="263"/>
      <c r="I79" s="263"/>
      <c r="J79" s="263"/>
      <c r="K79" s="263"/>
      <c r="L79" s="263"/>
      <c r="M79" s="263"/>
      <c r="N79" s="293"/>
      <c r="O79" s="299"/>
      <c r="P79" s="408">
        <f t="shared" si="14"/>
        <v>0</v>
      </c>
      <c r="Q79" s="264">
        <v>2500</v>
      </c>
      <c r="R79" s="264">
        <f t="shared" si="15"/>
        <v>2500</v>
      </c>
      <c r="S79" s="264">
        <f>+'2013 - plan'!D78+'2013 - plan'!E78+'2013 - plan'!F78</f>
        <v>62499.990000000005</v>
      </c>
      <c r="T79" s="438">
        <f t="shared" si="16"/>
        <v>-59999.990000000005</v>
      </c>
      <c r="U79" s="229"/>
      <c r="V79" s="229"/>
      <c r="W79" s="229"/>
      <c r="X79" s="265">
        <f t="shared" si="4"/>
        <v>0</v>
      </c>
      <c r="Y79" s="2"/>
      <c r="Z79" s="2"/>
      <c r="AA79" s="2"/>
      <c r="AB79" s="2"/>
      <c r="AC79" s="2"/>
      <c r="AD79" s="2"/>
      <c r="AE79" s="2"/>
      <c r="AF79" s="2"/>
    </row>
    <row r="80" spans="2:32" hidden="1">
      <c r="B80" s="2"/>
      <c r="C80" s="319" t="s">
        <v>412</v>
      </c>
      <c r="D80" s="359">
        <v>0</v>
      </c>
      <c r="E80" s="231">
        <v>0</v>
      </c>
      <c r="F80" s="263">
        <v>0</v>
      </c>
      <c r="G80" s="263"/>
      <c r="H80" s="263"/>
      <c r="I80" s="263"/>
      <c r="J80" s="263"/>
      <c r="K80" s="263"/>
      <c r="L80" s="263"/>
      <c r="M80" s="263"/>
      <c r="N80" s="293"/>
      <c r="O80" s="299"/>
      <c r="P80" s="408">
        <f t="shared" si="14"/>
        <v>0</v>
      </c>
      <c r="Q80" s="264"/>
      <c r="R80" s="264"/>
      <c r="S80" s="264"/>
      <c r="T80" s="438"/>
      <c r="U80" s="229"/>
      <c r="V80" s="229"/>
      <c r="W80" s="229"/>
      <c r="X80" s="265"/>
      <c r="Y80" s="2"/>
      <c r="Z80" s="2"/>
      <c r="AA80" s="2"/>
      <c r="AB80" s="2"/>
      <c r="AC80" s="2"/>
      <c r="AD80" s="2"/>
      <c r="AE80" s="2"/>
      <c r="AF80" s="2"/>
    </row>
    <row r="81" spans="2:32" ht="13.5" hidden="1" thickBot="1">
      <c r="B81" s="2"/>
      <c r="C81" s="342" t="str">
        <f>IF(MasterSheet!$A$1=1,MasterSheet!C397,MasterSheet!B397)</f>
        <v>Transferi javnim preduzećima</v>
      </c>
      <c r="D81" s="361">
        <v>0</v>
      </c>
      <c r="E81" s="451">
        <v>0</v>
      </c>
      <c r="F81" s="343">
        <v>0</v>
      </c>
      <c r="G81" s="343"/>
      <c r="H81" s="343"/>
      <c r="I81" s="273"/>
      <c r="J81" s="273"/>
      <c r="K81" s="273"/>
      <c r="L81" s="273"/>
      <c r="M81" s="273"/>
      <c r="N81" s="378"/>
      <c r="O81" s="300"/>
      <c r="P81" s="409">
        <f t="shared" si="14"/>
        <v>0</v>
      </c>
      <c r="Q81" s="276">
        <v>0</v>
      </c>
      <c r="R81" s="276">
        <f t="shared" si="15"/>
        <v>0</v>
      </c>
      <c r="S81" s="276">
        <f>+'2013 - plan'!D79+'2013 - plan'!E79+'2013 - plan'!F79</f>
        <v>0</v>
      </c>
      <c r="T81" s="445">
        <f t="shared" si="16"/>
        <v>0</v>
      </c>
      <c r="U81" s="271"/>
      <c r="V81" s="271"/>
      <c r="W81" s="271"/>
      <c r="X81" s="277">
        <f t="shared" si="4"/>
        <v>0</v>
      </c>
      <c r="Y81" s="113">
        <f>D82+D68</f>
        <v>1674720.7100000002</v>
      </c>
      <c r="Z81" s="2"/>
      <c r="AA81" s="2"/>
      <c r="AB81" s="2"/>
      <c r="AC81" s="2"/>
      <c r="AD81" s="2"/>
      <c r="AE81" s="2"/>
      <c r="AF81" s="2"/>
    </row>
    <row r="82" spans="2:32" ht="14.25" thickTop="1" thickBot="1">
      <c r="B82" s="2"/>
      <c r="C82" s="313" t="str">
        <f>IF(MasterSheet!$A$1=1,MasterSheet!C398,MasterSheet!B398)</f>
        <v>Kapitalni budžet</v>
      </c>
      <c r="D82" s="278">
        <v>1660981.6800000002</v>
      </c>
      <c r="E82" s="280">
        <v>706574.48</v>
      </c>
      <c r="F82" s="279">
        <v>6200648.6299999999</v>
      </c>
      <c r="G82" s="279">
        <v>3101737.11</v>
      </c>
      <c r="H82" s="279"/>
      <c r="I82" s="279"/>
      <c r="J82" s="344"/>
      <c r="K82" s="281"/>
      <c r="L82" s="281"/>
      <c r="M82" s="281"/>
      <c r="N82" s="282"/>
      <c r="O82" s="389"/>
      <c r="P82" s="461">
        <f t="shared" si="14"/>
        <v>11669941.899999999</v>
      </c>
      <c r="Q82" s="462">
        <v>4422241.25</v>
      </c>
      <c r="R82" s="463">
        <f t="shared" si="15"/>
        <v>16092183.149999999</v>
      </c>
      <c r="S82" s="463">
        <f>+'2013 - plan'!D80+'2013 - plan'!E80+'2013 - plan'!F80</f>
        <v>16409750.01</v>
      </c>
      <c r="T82" s="332">
        <f t="shared" si="16"/>
        <v>-317566.86000000127</v>
      </c>
      <c r="U82" s="310"/>
      <c r="V82" s="310"/>
      <c r="W82" s="310"/>
      <c r="X82" s="464">
        <f t="shared" si="4"/>
        <v>0.33190961035267347</v>
      </c>
      <c r="Y82" s="113">
        <f>E82+E68</f>
        <v>1074467.1299999999</v>
      </c>
      <c r="Z82" s="2"/>
      <c r="AA82" s="2"/>
      <c r="AB82" s="2"/>
      <c r="AC82" s="2"/>
      <c r="AD82" s="2"/>
      <c r="AE82" s="2"/>
      <c r="AF82" s="2"/>
    </row>
    <row r="83" spans="2:32" ht="13.5" thickTop="1">
      <c r="B83" s="2"/>
      <c r="C83" s="319" t="str">
        <f>IF(MasterSheet!$A$1=1,MasterSheet!C399,MasterSheet!B399)</f>
        <v>Pozajmice i krediti</v>
      </c>
      <c r="D83" s="457">
        <v>46726.67</v>
      </c>
      <c r="E83" s="301">
        <v>493119.12</v>
      </c>
      <c r="F83" s="297">
        <v>0</v>
      </c>
      <c r="G83" s="297">
        <v>286420</v>
      </c>
      <c r="H83" s="297"/>
      <c r="I83" s="297"/>
      <c r="J83" s="297"/>
      <c r="K83" s="297"/>
      <c r="L83" s="297"/>
      <c r="M83" s="297"/>
      <c r="N83" s="379"/>
      <c r="O83" s="299"/>
      <c r="P83" s="410">
        <f t="shared" si="14"/>
        <v>826265.79</v>
      </c>
      <c r="Q83" s="385">
        <v>614160.66</v>
      </c>
      <c r="R83" s="286">
        <f t="shared" si="15"/>
        <v>1440426.4500000002</v>
      </c>
      <c r="S83" s="286">
        <f>+'2013 - plan'!D81+'2013 - plan'!E81+'2013 - plan'!F81</f>
        <v>430000.02</v>
      </c>
      <c r="T83" s="332">
        <f t="shared" si="16"/>
        <v>1010426.4300000002</v>
      </c>
      <c r="U83" s="310"/>
      <c r="V83" s="310"/>
      <c r="W83" s="310"/>
      <c r="X83" s="287">
        <f t="shared" si="4"/>
        <v>2.3500164675767918E-2</v>
      </c>
      <c r="Y83" s="2"/>
      <c r="Z83" s="2"/>
      <c r="AA83" s="2"/>
      <c r="AB83" s="2"/>
      <c r="AC83" s="2"/>
      <c r="AD83" s="2"/>
      <c r="AE83" s="2"/>
      <c r="AF83" s="2"/>
    </row>
    <row r="84" spans="2:32" ht="13.5" thickBot="1">
      <c r="B84" s="2"/>
      <c r="C84" s="342" t="str">
        <f>IF(MasterSheet!$A$1=1,MasterSheet!C400,MasterSheet!B400)</f>
        <v>Rezerve</v>
      </c>
      <c r="D84" s="458">
        <v>987800</v>
      </c>
      <c r="E84" s="451">
        <v>1479416.02</v>
      </c>
      <c r="F84" s="343">
        <v>1804250.62</v>
      </c>
      <c r="G84" s="343">
        <v>0</v>
      </c>
      <c r="H84" s="343"/>
      <c r="I84" s="273"/>
      <c r="J84" s="273"/>
      <c r="K84" s="273"/>
      <c r="L84" s="273"/>
      <c r="M84" s="273"/>
      <c r="N84" s="378"/>
      <c r="O84" s="300"/>
      <c r="P84" s="409">
        <f t="shared" si="14"/>
        <v>4271466.6400000006</v>
      </c>
      <c r="Q84" s="384">
        <v>381882.21</v>
      </c>
      <c r="R84" s="276">
        <f t="shared" si="15"/>
        <v>4653348.8500000006</v>
      </c>
      <c r="S84" s="276">
        <f>+'2013 - plan'!D82+'2013 - plan'!E82+'2013 - plan'!F82</f>
        <v>1839017.3699999996</v>
      </c>
      <c r="T84" s="332">
        <f t="shared" si="16"/>
        <v>2814331.4800000009</v>
      </c>
      <c r="U84" s="310"/>
      <c r="V84" s="310"/>
      <c r="W84" s="310"/>
      <c r="X84" s="277">
        <f t="shared" si="4"/>
        <v>0.12148653697383392</v>
      </c>
      <c r="Y84" s="2"/>
      <c r="Z84" s="2"/>
      <c r="AA84" s="2"/>
      <c r="AB84" s="2"/>
      <c r="AC84" s="2"/>
      <c r="AD84" s="2"/>
      <c r="AE84" s="2"/>
      <c r="AF84" s="2"/>
    </row>
    <row r="85" spans="2:32" ht="14.25" thickTop="1" thickBot="1">
      <c r="B85" s="2"/>
      <c r="C85" s="342" t="str">
        <f>IF(MasterSheet!$A$1=1,MasterSheet!C408,MasterSheet!B408)</f>
        <v>Otplata garancija</v>
      </c>
      <c r="D85" s="359">
        <v>5125021.0999999996</v>
      </c>
      <c r="E85" s="452">
        <v>28180.16</v>
      </c>
      <c r="F85" s="345">
        <v>4529565.8099999996</v>
      </c>
      <c r="G85" s="345">
        <v>0</v>
      </c>
      <c r="H85" s="345"/>
      <c r="I85" s="263"/>
      <c r="J85" s="346"/>
      <c r="K85" s="346"/>
      <c r="L85" s="231"/>
      <c r="M85" s="231"/>
      <c r="N85" s="347"/>
      <c r="O85" s="299"/>
      <c r="P85" s="408">
        <f t="shared" si="14"/>
        <v>9682767.0700000003</v>
      </c>
      <c r="Q85" s="383">
        <v>0</v>
      </c>
      <c r="R85" s="332">
        <f t="shared" si="15"/>
        <v>9682767.0700000003</v>
      </c>
      <c r="S85" s="332"/>
      <c r="T85" s="310"/>
      <c r="U85" s="310"/>
      <c r="V85" s="310"/>
      <c r="W85" s="310"/>
      <c r="X85" s="265">
        <f t="shared" si="4"/>
        <v>0.27539155489192263</v>
      </c>
      <c r="Y85" s="2"/>
      <c r="Z85" s="2"/>
      <c r="AA85" s="2"/>
      <c r="AB85" s="2"/>
      <c r="AC85" s="2"/>
      <c r="AD85" s="2"/>
      <c r="AE85" s="2"/>
      <c r="AF85" s="2"/>
    </row>
    <row r="86" spans="2:32" ht="14.25" thickTop="1" thickBot="1">
      <c r="B86" s="2"/>
      <c r="C86" s="342" t="s">
        <v>152</v>
      </c>
      <c r="D86" s="371">
        <v>0</v>
      </c>
      <c r="E86" s="453">
        <v>0</v>
      </c>
      <c r="F86" s="367">
        <v>0</v>
      </c>
      <c r="G86" s="367">
        <v>0</v>
      </c>
      <c r="H86" s="367"/>
      <c r="I86" s="368"/>
      <c r="J86" s="369"/>
      <c r="K86" s="369"/>
      <c r="L86" s="368"/>
      <c r="M86" s="368"/>
      <c r="N86" s="380"/>
      <c r="O86" s="370"/>
      <c r="P86" s="411">
        <f t="shared" si="14"/>
        <v>0</v>
      </c>
      <c r="Q86" s="383"/>
      <c r="R86" s="332"/>
      <c r="S86" s="332"/>
      <c r="T86" s="310"/>
      <c r="U86" s="310"/>
      <c r="V86" s="310"/>
      <c r="W86" s="310"/>
      <c r="X86" s="390"/>
      <c r="Y86" s="2"/>
      <c r="Z86" s="2"/>
      <c r="AA86" s="2"/>
      <c r="AB86" s="2"/>
      <c r="AC86" s="2"/>
      <c r="AD86" s="2"/>
      <c r="AE86" s="2"/>
      <c r="AF86" s="2"/>
    </row>
    <row r="87" spans="2:32" ht="14.25" thickTop="1" thickBot="1">
      <c r="B87" s="2"/>
      <c r="C87" s="313" t="str">
        <f>IF(MasterSheet!$A$1=1,MasterSheet!C402,MasterSheet!B402)</f>
        <v>Suficit/ Deficit</v>
      </c>
      <c r="D87" s="363">
        <f t="shared" ref="D87:O87" si="21">+D19-D52</f>
        <v>-23541980.710000008</v>
      </c>
      <c r="E87" s="454">
        <f t="shared" si="21"/>
        <v>-6820889.2200000286</v>
      </c>
      <c r="F87" s="252">
        <f t="shared" si="21"/>
        <v>-15183119.580000013</v>
      </c>
      <c r="G87" s="252">
        <f t="shared" si="21"/>
        <v>-13590362.610000029</v>
      </c>
      <c r="H87" s="252">
        <f t="shared" si="21"/>
        <v>0</v>
      </c>
      <c r="I87" s="252">
        <f t="shared" si="21"/>
        <v>0</v>
      </c>
      <c r="J87" s="252">
        <f t="shared" si="21"/>
        <v>0</v>
      </c>
      <c r="K87" s="252">
        <f t="shared" si="21"/>
        <v>0</v>
      </c>
      <c r="L87" s="252">
        <f t="shared" si="21"/>
        <v>0</v>
      </c>
      <c r="M87" s="252">
        <f t="shared" si="21"/>
        <v>0</v>
      </c>
      <c r="N87" s="331">
        <f t="shared" si="21"/>
        <v>0</v>
      </c>
      <c r="O87" s="388">
        <f t="shared" si="21"/>
        <v>0</v>
      </c>
      <c r="P87" s="402">
        <f t="shared" si="14"/>
        <v>-59136352.120000079</v>
      </c>
      <c r="Q87" s="382"/>
      <c r="R87" s="310"/>
      <c r="S87" s="310"/>
      <c r="T87" s="310"/>
      <c r="U87" s="310"/>
      <c r="V87" s="310"/>
      <c r="W87" s="310"/>
      <c r="X87" s="220">
        <f t="shared" ref="X87:X98" si="22">+P87/$D$14*100</f>
        <v>-1.6819212775881707</v>
      </c>
      <c r="Y87" s="6"/>
      <c r="Z87" s="2"/>
      <c r="AA87" s="2"/>
      <c r="AB87" s="2"/>
      <c r="AC87" s="2"/>
      <c r="AD87" s="2"/>
      <c r="AE87" s="2"/>
      <c r="AF87" s="2"/>
    </row>
    <row r="88" spans="2:32" ht="14.25" thickTop="1" thickBot="1">
      <c r="B88" s="2"/>
      <c r="C88" s="313" t="str">
        <f>IF(MasterSheet!$A$1=1,MasterSheet!C403,MasterSheet!B403)</f>
        <v>Primarni deficit</v>
      </c>
      <c r="D88" s="363">
        <f>+D87+D64</f>
        <v>-21230321.120000008</v>
      </c>
      <c r="E88" s="454">
        <f t="shared" ref="E88:O88" si="23">+E87+E64</f>
        <v>-5710876.330000028</v>
      </c>
      <c r="F88" s="252">
        <f t="shared" si="23"/>
        <v>-10558268.320000013</v>
      </c>
      <c r="G88" s="252">
        <f t="shared" si="23"/>
        <v>11072486.799999971</v>
      </c>
      <c r="H88" s="252">
        <f t="shared" si="23"/>
        <v>0</v>
      </c>
      <c r="I88" s="252">
        <f t="shared" si="23"/>
        <v>0</v>
      </c>
      <c r="J88" s="252">
        <f t="shared" si="23"/>
        <v>0</v>
      </c>
      <c r="K88" s="252">
        <f t="shared" si="23"/>
        <v>0</v>
      </c>
      <c r="L88" s="252">
        <f t="shared" si="23"/>
        <v>0</v>
      </c>
      <c r="M88" s="252">
        <f t="shared" si="23"/>
        <v>0</v>
      </c>
      <c r="N88" s="331">
        <f t="shared" si="23"/>
        <v>0</v>
      </c>
      <c r="O88" s="388">
        <f t="shared" si="23"/>
        <v>0</v>
      </c>
      <c r="P88" s="402">
        <f t="shared" si="14"/>
        <v>-26426978.970000077</v>
      </c>
      <c r="Q88" s="310"/>
      <c r="R88" s="310"/>
      <c r="S88" s="310"/>
      <c r="T88" s="310"/>
      <c r="U88" s="310"/>
      <c r="V88" s="310"/>
      <c r="W88" s="310"/>
      <c r="X88" s="220">
        <f t="shared" si="22"/>
        <v>-0.75162056228669161</v>
      </c>
      <c r="Y88" s="2"/>
      <c r="Z88" s="2"/>
      <c r="AA88" s="2"/>
      <c r="AB88" s="2"/>
      <c r="AC88" s="2"/>
      <c r="AD88" s="2"/>
      <c r="AE88" s="2"/>
      <c r="AF88" s="2"/>
    </row>
    <row r="89" spans="2:32" ht="14.25" thickTop="1" thickBot="1">
      <c r="B89" s="2"/>
      <c r="C89" s="313" t="str">
        <f>IF(MasterSheet!$A$1=1,MasterSheet!C404,MasterSheet!B404)</f>
        <v>Otplata duga</v>
      </c>
      <c r="D89" s="363">
        <f>+SUM(D90:D92)</f>
        <v>6532985.9199999999</v>
      </c>
      <c r="E89" s="454">
        <f t="shared" ref="E89:O89" si="24">+SUM(E90:E92)</f>
        <v>4915912.82</v>
      </c>
      <c r="F89" s="252">
        <f t="shared" si="24"/>
        <v>9833270.4100000001</v>
      </c>
      <c r="G89" s="252">
        <f t="shared" si="24"/>
        <v>38709994.939999998</v>
      </c>
      <c r="H89" s="252">
        <f t="shared" si="24"/>
        <v>0</v>
      </c>
      <c r="I89" s="252">
        <f t="shared" si="24"/>
        <v>0</v>
      </c>
      <c r="J89" s="252">
        <f t="shared" si="24"/>
        <v>0</v>
      </c>
      <c r="K89" s="252">
        <f t="shared" si="24"/>
        <v>0</v>
      </c>
      <c r="L89" s="252">
        <f t="shared" si="24"/>
        <v>0</v>
      </c>
      <c r="M89" s="252">
        <f t="shared" si="24"/>
        <v>0</v>
      </c>
      <c r="N89" s="331">
        <f t="shared" si="24"/>
        <v>0</v>
      </c>
      <c r="O89" s="388">
        <f t="shared" si="24"/>
        <v>0</v>
      </c>
      <c r="P89" s="402">
        <f t="shared" si="14"/>
        <v>59992164.089999996</v>
      </c>
      <c r="Q89" s="310"/>
      <c r="R89" s="310"/>
      <c r="S89" s="310"/>
      <c r="T89" s="310"/>
      <c r="U89" s="310"/>
      <c r="V89" s="310"/>
      <c r="W89" s="310"/>
      <c r="X89" s="220">
        <f t="shared" si="22"/>
        <v>1.7062617773037543</v>
      </c>
      <c r="Y89" s="2"/>
      <c r="Z89" s="2"/>
      <c r="AA89" s="2"/>
      <c r="AB89" s="2"/>
      <c r="AC89" s="2"/>
      <c r="AD89" s="2"/>
      <c r="AE89" s="2"/>
      <c r="AF89" s="2"/>
    </row>
    <row r="90" spans="2:32" ht="13.5" thickTop="1">
      <c r="B90" s="2"/>
      <c r="C90" s="319" t="str">
        <f>IF(MasterSheet!$A$1=1,MasterSheet!C405,MasterSheet!B405)</f>
        <v>Otplata duga rezidentima</v>
      </c>
      <c r="D90" s="362">
        <v>510977.05</v>
      </c>
      <c r="E90" s="301">
        <v>2585632.2400000002</v>
      </c>
      <c r="F90" s="297">
        <v>4238041.8499999996</v>
      </c>
      <c r="G90" s="297">
        <v>3685616.07</v>
      </c>
      <c r="H90" s="297"/>
      <c r="I90" s="297"/>
      <c r="J90" s="297"/>
      <c r="K90" s="297"/>
      <c r="L90" s="297"/>
      <c r="M90" s="297"/>
      <c r="N90" s="379"/>
      <c r="O90" s="299"/>
      <c r="P90" s="408">
        <f t="shared" si="14"/>
        <v>11020267.209999999</v>
      </c>
      <c r="Q90" s="310"/>
      <c r="R90" s="310"/>
      <c r="S90" s="310"/>
      <c r="T90" s="310"/>
      <c r="U90" s="310"/>
      <c r="V90" s="310"/>
      <c r="W90" s="310"/>
      <c r="X90" s="265">
        <f t="shared" si="22"/>
        <v>0.31343194567690552</v>
      </c>
      <c r="Y90" s="2"/>
      <c r="Z90" s="2"/>
      <c r="AA90" s="2"/>
      <c r="AB90" s="2"/>
      <c r="AC90" s="2"/>
      <c r="AD90" s="2"/>
      <c r="AE90" s="2"/>
      <c r="AF90" s="2"/>
    </row>
    <row r="91" spans="2:32">
      <c r="B91" s="2"/>
      <c r="C91" s="319" t="str">
        <f>IF(MasterSheet!$A$1=1,MasterSheet!C406,MasterSheet!B406)</f>
        <v>Otplata duga nerezidentima</v>
      </c>
      <c r="D91" s="359">
        <v>2484610.71</v>
      </c>
      <c r="E91" s="231">
        <v>750667.64</v>
      </c>
      <c r="F91" s="263">
        <v>3746284.28</v>
      </c>
      <c r="G91" s="263">
        <v>33645805.93</v>
      </c>
      <c r="H91" s="263"/>
      <c r="I91" s="263"/>
      <c r="J91" s="263"/>
      <c r="K91" s="263"/>
      <c r="L91" s="263"/>
      <c r="M91" s="263"/>
      <c r="N91" s="293"/>
      <c r="O91" s="299"/>
      <c r="P91" s="408">
        <f t="shared" si="14"/>
        <v>40627368.560000002</v>
      </c>
      <c r="Q91" s="310"/>
      <c r="R91" s="310"/>
      <c r="S91" s="310"/>
      <c r="T91" s="310"/>
      <c r="U91" s="310"/>
      <c r="V91" s="310"/>
      <c r="W91" s="310"/>
      <c r="X91" s="265">
        <f t="shared" si="22"/>
        <v>1.1554996746302617</v>
      </c>
      <c r="Y91" s="2"/>
      <c r="Z91" s="2"/>
      <c r="AA91" s="2"/>
      <c r="AB91" s="2"/>
      <c r="AC91" s="2"/>
      <c r="AD91" s="2"/>
      <c r="AE91" s="2"/>
      <c r="AF91" s="2"/>
    </row>
    <row r="92" spans="2:32" ht="13.5" thickBot="1">
      <c r="B92" s="2"/>
      <c r="C92" s="319" t="str">
        <f>IF(MasterSheet!$A$1=1,MasterSheet!C407,MasterSheet!B407)</f>
        <v>Otplata obaveza iz prethodnog perioda</v>
      </c>
      <c r="D92" s="361">
        <v>3537398.1600000006</v>
      </c>
      <c r="E92" s="274">
        <v>1579612.94</v>
      </c>
      <c r="F92" s="273">
        <v>1848944.2800000003</v>
      </c>
      <c r="G92" s="273">
        <v>1378572.9400000004</v>
      </c>
      <c r="H92" s="273"/>
      <c r="I92" s="273"/>
      <c r="J92" s="273"/>
      <c r="K92" s="273"/>
      <c r="L92" s="273"/>
      <c r="M92" s="273"/>
      <c r="N92" s="378"/>
      <c r="O92" s="299"/>
      <c r="P92" s="408">
        <f t="shared" si="14"/>
        <v>8344528.3200000012</v>
      </c>
      <c r="Q92" s="310"/>
      <c r="R92" s="310"/>
      <c r="S92" s="310"/>
      <c r="T92" s="310"/>
      <c r="U92" s="310"/>
      <c r="V92" s="310"/>
      <c r="W92" s="310"/>
      <c r="X92" s="265">
        <f t="shared" si="22"/>
        <v>0.23733015699658705</v>
      </c>
      <c r="Y92" s="2"/>
      <c r="Z92" s="2"/>
      <c r="AA92" s="2"/>
      <c r="AB92" s="2"/>
      <c r="AC92" s="2"/>
      <c r="AD92" s="2"/>
      <c r="AE92" s="2"/>
      <c r="AF92" s="2"/>
    </row>
    <row r="93" spans="2:32" ht="14.25" thickTop="1" thickBot="1">
      <c r="B93" s="2"/>
      <c r="C93" s="313" t="str">
        <f>IF(MasterSheet!$A$1=1,MasterSheet!C409,MasterSheet!B409)</f>
        <v>Nedostajuća sredstva</v>
      </c>
      <c r="D93" s="363">
        <f>+D87-D89</f>
        <v>-30074966.63000001</v>
      </c>
      <c r="E93" s="252">
        <f t="shared" ref="E93:O93" si="25">+E87-E89</f>
        <v>-11736802.040000029</v>
      </c>
      <c r="F93" s="252">
        <f t="shared" si="25"/>
        <v>-25016389.990000013</v>
      </c>
      <c r="G93" s="252">
        <f t="shared" si="25"/>
        <v>-52300357.550000027</v>
      </c>
      <c r="H93" s="252">
        <f t="shared" si="25"/>
        <v>0</v>
      </c>
      <c r="I93" s="252">
        <f t="shared" si="25"/>
        <v>0</v>
      </c>
      <c r="J93" s="252">
        <f t="shared" si="25"/>
        <v>0</v>
      </c>
      <c r="K93" s="252">
        <f t="shared" si="25"/>
        <v>0</v>
      </c>
      <c r="L93" s="252">
        <f t="shared" si="25"/>
        <v>0</v>
      </c>
      <c r="M93" s="252">
        <f t="shared" si="25"/>
        <v>0</v>
      </c>
      <c r="N93" s="331">
        <f t="shared" si="25"/>
        <v>0</v>
      </c>
      <c r="O93" s="388">
        <f t="shared" si="25"/>
        <v>0</v>
      </c>
      <c r="P93" s="402">
        <f t="shared" si="14"/>
        <v>-119128516.21000008</v>
      </c>
      <c r="Q93" s="310"/>
      <c r="R93" s="310"/>
      <c r="S93" s="310"/>
      <c r="T93" s="310"/>
      <c r="U93" s="310"/>
      <c r="V93" s="310"/>
      <c r="W93" s="310"/>
      <c r="X93" s="220">
        <f t="shared" si="22"/>
        <v>-3.3881830548919254</v>
      </c>
      <c r="Y93" s="2"/>
      <c r="Z93" s="2"/>
      <c r="AA93" s="2"/>
      <c r="AB93" s="2"/>
      <c r="AC93" s="2"/>
      <c r="AD93" s="2"/>
      <c r="AE93" s="2"/>
      <c r="AF93" s="2"/>
    </row>
    <row r="94" spans="2:32" ht="14.25" thickTop="1" thickBot="1">
      <c r="B94" s="2"/>
      <c r="C94" s="313" t="str">
        <f>IF(MasterSheet!$A$1=1,MasterSheet!C410,MasterSheet!B410)</f>
        <v>Finansiranje</v>
      </c>
      <c r="D94" s="363">
        <f>+SUM(D95:D98)</f>
        <v>30074966.63000001</v>
      </c>
      <c r="E94" s="252">
        <f t="shared" ref="E94:O94" si="26">+SUM(E95:E98)</f>
        <v>11736802.040000029</v>
      </c>
      <c r="F94" s="252">
        <f t="shared" si="26"/>
        <v>25016389.99000001</v>
      </c>
      <c r="G94" s="252">
        <f t="shared" si="26"/>
        <v>52300357.550000027</v>
      </c>
      <c r="H94" s="252">
        <f t="shared" si="26"/>
        <v>0</v>
      </c>
      <c r="I94" s="252">
        <f t="shared" si="26"/>
        <v>0</v>
      </c>
      <c r="J94" s="252">
        <f t="shared" si="26"/>
        <v>0</v>
      </c>
      <c r="K94" s="252">
        <f t="shared" si="26"/>
        <v>0</v>
      </c>
      <c r="L94" s="252">
        <f t="shared" si="26"/>
        <v>0</v>
      </c>
      <c r="M94" s="252">
        <f t="shared" si="26"/>
        <v>0</v>
      </c>
      <c r="N94" s="331">
        <f t="shared" si="26"/>
        <v>0</v>
      </c>
      <c r="O94" s="388">
        <f t="shared" si="26"/>
        <v>0</v>
      </c>
      <c r="P94" s="402">
        <f t="shared" si="14"/>
        <v>119128516.21000007</v>
      </c>
      <c r="Q94" s="310"/>
      <c r="R94" s="310"/>
      <c r="S94" s="310"/>
      <c r="T94" s="310"/>
      <c r="U94" s="310"/>
      <c r="V94" s="310"/>
      <c r="W94" s="310"/>
      <c r="X94" s="220">
        <f t="shared" si="22"/>
        <v>3.3881830548919245</v>
      </c>
      <c r="Y94" s="2"/>
      <c r="Z94" s="2"/>
      <c r="AA94" s="2"/>
      <c r="AB94" s="2"/>
      <c r="AC94" s="2"/>
      <c r="AD94" s="2"/>
      <c r="AE94" s="2"/>
      <c r="AF94" s="2"/>
    </row>
    <row r="95" spans="2:32" ht="13.5" thickTop="1">
      <c r="B95" s="2"/>
      <c r="C95" s="319" t="str">
        <f>IF(MasterSheet!$A$1=1,MasterSheet!C411,MasterSheet!B411)</f>
        <v>Pozajmice i krediti iz domaćih izvora</v>
      </c>
      <c r="D95" s="359">
        <v>8351610.0300000003</v>
      </c>
      <c r="E95" s="301">
        <v>1000000</v>
      </c>
      <c r="F95" s="297">
        <v>68600000</v>
      </c>
      <c r="G95" s="297">
        <v>20459149.640000001</v>
      </c>
      <c r="H95" s="297"/>
      <c r="I95" s="297"/>
      <c r="J95" s="297"/>
      <c r="K95" s="297"/>
      <c r="L95" s="297"/>
      <c r="M95" s="297"/>
      <c r="N95" s="379"/>
      <c r="O95" s="299"/>
      <c r="P95" s="408">
        <f t="shared" si="14"/>
        <v>98410759.670000002</v>
      </c>
      <c r="Q95" s="310"/>
      <c r="R95" s="348"/>
      <c r="S95" s="310"/>
      <c r="T95" s="310"/>
      <c r="U95" s="310"/>
      <c r="V95" s="310"/>
      <c r="W95" s="310"/>
      <c r="X95" s="265">
        <f t="shared" si="22"/>
        <v>2.7989408324800911</v>
      </c>
      <c r="Y95" s="2"/>
      <c r="Z95" s="2"/>
      <c r="AA95" s="2"/>
      <c r="AB95" s="2"/>
      <c r="AC95" s="2"/>
      <c r="AD95" s="2"/>
      <c r="AE95" s="2"/>
      <c r="AF95" s="2"/>
    </row>
    <row r="96" spans="2:32">
      <c r="B96" s="2"/>
      <c r="C96" s="319" t="str">
        <f>IF(MasterSheet!$A$1=1,MasterSheet!C412,MasterSheet!B412)</f>
        <v>Pozajmice i krediti iz inostranih izvora</v>
      </c>
      <c r="D96" s="359">
        <v>113399.21</v>
      </c>
      <c r="E96" s="231">
        <v>291764.21999999997</v>
      </c>
      <c r="F96" s="263">
        <v>307940.25</v>
      </c>
      <c r="G96" s="263">
        <v>457882.19</v>
      </c>
      <c r="H96" s="263"/>
      <c r="I96" s="263"/>
      <c r="J96" s="263"/>
      <c r="K96" s="263"/>
      <c r="L96" s="263"/>
      <c r="M96" s="263"/>
      <c r="N96" s="293"/>
      <c r="O96" s="299"/>
      <c r="P96" s="408">
        <f t="shared" si="14"/>
        <v>1170985.8699999999</v>
      </c>
      <c r="Q96" s="310"/>
      <c r="R96" s="310"/>
      <c r="S96" s="310"/>
      <c r="T96" s="310"/>
      <c r="U96" s="310"/>
      <c r="V96" s="310"/>
      <c r="W96" s="310"/>
      <c r="X96" s="265">
        <f t="shared" si="22"/>
        <v>3.3304490045506251E-2</v>
      </c>
      <c r="Y96" s="2"/>
      <c r="Z96" s="2"/>
      <c r="AA96" s="2"/>
      <c r="AB96" s="2"/>
      <c r="AC96" s="2"/>
      <c r="AD96" s="2"/>
      <c r="AE96" s="2"/>
      <c r="AF96" s="2"/>
    </row>
    <row r="97" spans="2:32">
      <c r="B97" s="2"/>
      <c r="C97" s="319" t="str">
        <f>IF(MasterSheet!$A$1=1,MasterSheet!C414,MasterSheet!B414)</f>
        <v>Prihodi od privatizacije</v>
      </c>
      <c r="D97" s="359">
        <v>238690.3</v>
      </c>
      <c r="E97" s="231">
        <v>117596.01</v>
      </c>
      <c r="F97" s="263">
        <v>238150.88</v>
      </c>
      <c r="G97" s="263">
        <v>57269.99</v>
      </c>
      <c r="H97" s="263"/>
      <c r="I97" s="263"/>
      <c r="J97" s="263"/>
      <c r="K97" s="263"/>
      <c r="L97" s="263"/>
      <c r="M97" s="263"/>
      <c r="N97" s="293"/>
      <c r="O97" s="299"/>
      <c r="P97" s="408">
        <f t="shared" si="14"/>
        <v>651707.17999999993</v>
      </c>
      <c r="Q97" s="310"/>
      <c r="R97" s="310"/>
      <c r="S97" s="310"/>
      <c r="T97" s="310"/>
      <c r="U97" s="310"/>
      <c r="V97" s="310"/>
      <c r="W97" s="310"/>
      <c r="X97" s="265">
        <f t="shared" si="22"/>
        <v>1.8535471558589305E-2</v>
      </c>
      <c r="Y97" s="2"/>
      <c r="Z97" s="2"/>
      <c r="AA97" s="2"/>
      <c r="AB97" s="2"/>
      <c r="AC97" s="2"/>
      <c r="AD97" s="2"/>
      <c r="AE97" s="2"/>
      <c r="AF97" s="2"/>
    </row>
    <row r="98" spans="2:32" ht="13.5" thickBot="1">
      <c r="B98" s="2"/>
      <c r="C98" s="302" t="str">
        <f>IF(MasterSheet!$A$1=1,MasterSheet!C415,MasterSheet!B415)</f>
        <v>Povećanje/smanjenje depozita</v>
      </c>
      <c r="D98" s="364">
        <f t="shared" ref="D98:O98" si="27">-D93-SUM(D95:D97)</f>
        <v>21371267.090000011</v>
      </c>
      <c r="E98" s="455">
        <f t="shared" si="27"/>
        <v>10327441.810000028</v>
      </c>
      <c r="F98" s="327">
        <f t="shared" si="27"/>
        <v>-44129701.139999986</v>
      </c>
      <c r="G98" s="327">
        <f t="shared" si="27"/>
        <v>31326055.730000027</v>
      </c>
      <c r="H98" s="327">
        <f t="shared" si="27"/>
        <v>0</v>
      </c>
      <c r="I98" s="304">
        <f t="shared" si="27"/>
        <v>0</v>
      </c>
      <c r="J98" s="304">
        <f t="shared" si="27"/>
        <v>0</v>
      </c>
      <c r="K98" s="304">
        <f t="shared" si="27"/>
        <v>0</v>
      </c>
      <c r="L98" s="304">
        <f t="shared" si="27"/>
        <v>0</v>
      </c>
      <c r="M98" s="304">
        <f t="shared" si="27"/>
        <v>0</v>
      </c>
      <c r="N98" s="381">
        <f t="shared" si="27"/>
        <v>0</v>
      </c>
      <c r="O98" s="349">
        <f t="shared" si="27"/>
        <v>0</v>
      </c>
      <c r="P98" s="307">
        <f t="shared" si="14"/>
        <v>18895063.49000008</v>
      </c>
      <c r="Q98" s="329"/>
      <c r="R98" s="310"/>
      <c r="S98" s="310"/>
      <c r="T98" s="310"/>
      <c r="U98" s="310"/>
      <c r="V98" s="310"/>
      <c r="W98" s="310"/>
      <c r="X98" s="308">
        <f t="shared" si="22"/>
        <v>0.53740226080773834</v>
      </c>
      <c r="Y98" s="2"/>
      <c r="Z98" s="2"/>
      <c r="AA98" s="2"/>
      <c r="AB98" s="2"/>
      <c r="AC98" s="2"/>
      <c r="AD98" s="2"/>
      <c r="AE98" s="2"/>
      <c r="AF98" s="2"/>
    </row>
    <row r="99" spans="2:32" s="2" customFormat="1" ht="13.5" thickTop="1">
      <c r="C99" s="309" t="str">
        <f>IF(MasterSheet!$A$1=1,MasterSheet!C416,MasterSheet!B416)</f>
        <v>Izvor: Ministarstvo finansija Crne Gore</v>
      </c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</row>
    <row r="100" spans="2:32" s="2" customFormat="1">
      <c r="C100" s="350" t="s">
        <v>409</v>
      </c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</row>
    <row r="101" spans="2:32" s="2" customFormat="1"/>
    <row r="102" spans="2:32" s="2" customFormat="1"/>
    <row r="103" spans="2:32" s="2" customFormat="1"/>
    <row r="104" spans="2:32" s="2" customFormat="1"/>
    <row r="105" spans="2:32" s="2" customFormat="1"/>
    <row r="106" spans="2:32" s="2" customFormat="1"/>
    <row r="107" spans="2:32" s="2" customFormat="1"/>
    <row r="108" spans="2:32" s="2" customFormat="1"/>
    <row r="109" spans="2:32" s="2" customFormat="1"/>
    <row r="110" spans="2:32" s="2" customFormat="1"/>
    <row r="111" spans="2:32" s="2" customFormat="1"/>
    <row r="112" spans="2:3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3" tint="0.79998168889431442"/>
    <pageSetUpPr fitToPage="1"/>
  </sheetPr>
  <dimension ref="A1:AF156"/>
  <sheetViews>
    <sheetView topLeftCell="A19" zoomScale="85" zoomScaleNormal="85" workbookViewId="0">
      <selection activeCell="D20" sqref="D20"/>
    </sheetView>
  </sheetViews>
  <sheetFormatPr defaultRowHeight="12.75"/>
  <cols>
    <col min="1" max="1" width="6.140625" style="488" customWidth="1"/>
    <col min="2" max="2" width="9.85546875" style="491" customWidth="1"/>
    <col min="3" max="3" width="51.140625" style="491" customWidth="1"/>
    <col min="4" max="4" width="10.7109375" style="491" customWidth="1"/>
    <col min="5" max="8" width="10.7109375" style="533" customWidth="1"/>
    <col min="9" max="9" width="10.7109375" style="491" customWidth="1"/>
    <col min="10" max="10" width="8.85546875" style="491" customWidth="1"/>
    <col min="11" max="11" width="10.7109375" style="491" customWidth="1"/>
    <col min="12" max="12" width="11.7109375" style="491" customWidth="1"/>
    <col min="13" max="13" width="10.7109375" style="491" customWidth="1"/>
    <col min="14" max="15" width="11.7109375" style="491" customWidth="1"/>
    <col min="16" max="16" width="14.7109375" style="491" customWidth="1"/>
    <col min="17" max="17" width="17.42578125" style="491" hidden="1" customWidth="1"/>
    <col min="18" max="18" width="12.5703125" style="491" hidden="1" customWidth="1"/>
    <col min="19" max="19" width="10" style="491" hidden="1" customWidth="1"/>
    <col min="20" max="23" width="9.140625" style="491" hidden="1" customWidth="1"/>
    <col min="24" max="24" width="9.140625" style="491"/>
    <col min="25" max="25" width="13.28515625" style="491" bestFit="1" customWidth="1"/>
    <col min="26" max="26" width="12.5703125" style="491" bestFit="1" customWidth="1"/>
    <col min="27" max="16384" width="9.140625" style="491"/>
  </cols>
  <sheetData>
    <row r="1" spans="1:32">
      <c r="B1" s="488"/>
      <c r="C1" s="489"/>
      <c r="D1" s="488"/>
      <c r="E1" s="490"/>
      <c r="F1" s="490"/>
      <c r="G1" s="490"/>
      <c r="H1" s="490"/>
      <c r="I1" s="490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</row>
    <row r="2" spans="1:32">
      <c r="B2" s="488"/>
      <c r="C2" s="489"/>
      <c r="D2" s="488"/>
      <c r="E2" s="490"/>
      <c r="F2" s="488"/>
      <c r="G2" s="490"/>
      <c r="H2" s="488"/>
      <c r="I2" s="490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</row>
    <row r="3" spans="1:32">
      <c r="B3" s="488"/>
      <c r="C3" s="489"/>
      <c r="D3" s="488"/>
      <c r="E3" s="490"/>
      <c r="F3" s="490"/>
      <c r="G3" s="490"/>
      <c r="H3" s="490"/>
      <c r="I3" s="490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488"/>
      <c r="AA3" s="488"/>
      <c r="AB3" s="488"/>
      <c r="AC3" s="488"/>
      <c r="AD3" s="488"/>
      <c r="AE3" s="488"/>
      <c r="AF3" s="488"/>
    </row>
    <row r="4" spans="1:32">
      <c r="B4" s="488"/>
      <c r="C4" s="489"/>
      <c r="D4" s="488"/>
      <c r="E4" s="490"/>
      <c r="F4" s="488"/>
      <c r="G4" s="490"/>
      <c r="H4" s="488"/>
      <c r="I4" s="490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</row>
    <row r="5" spans="1:32">
      <c r="B5" s="488"/>
      <c r="C5" s="489"/>
      <c r="D5" s="488"/>
      <c r="E5" s="490"/>
      <c r="F5" s="490"/>
      <c r="G5" s="490"/>
      <c r="H5" s="490"/>
      <c r="I5" s="490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88"/>
      <c r="AD5" s="488"/>
      <c r="AE5" s="488"/>
      <c r="AF5" s="488"/>
    </row>
    <row r="6" spans="1:32">
      <c r="B6" s="488"/>
      <c r="C6" s="489"/>
      <c r="D6" s="488"/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88"/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/>
      <c r="AE6" s="488"/>
      <c r="AF6" s="488"/>
    </row>
    <row r="7" spans="1:32" ht="15">
      <c r="B7" s="488"/>
      <c r="C7" s="489"/>
      <c r="D7" s="586" t="str">
        <f>IF(MasterSheet!$A$1=1, MasterSheet!C5,MasterSheet!B5)</f>
        <v>CRNA GORA</v>
      </c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88"/>
      <c r="R7" s="488"/>
      <c r="S7" s="488"/>
      <c r="T7" s="488"/>
      <c r="U7" s="488"/>
      <c r="V7" s="489"/>
      <c r="W7" s="488"/>
      <c r="X7" s="488"/>
      <c r="Y7" s="488"/>
      <c r="Z7" s="488"/>
      <c r="AA7" s="488"/>
      <c r="AB7" s="488"/>
      <c r="AC7" s="488"/>
      <c r="AD7" s="488"/>
      <c r="AE7" s="488"/>
      <c r="AF7" s="488"/>
    </row>
    <row r="8" spans="1:32" ht="15">
      <c r="B8" s="488"/>
      <c r="C8" s="488"/>
      <c r="D8" s="586" t="str">
        <f>IF(MasterSheet!$A$1=1, MasterSheet!C6,MasterSheet!B6)</f>
        <v>MINISTARSTVO FINANSIJA</v>
      </c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88"/>
      <c r="R8" s="488"/>
      <c r="S8" s="488"/>
      <c r="T8" s="488"/>
      <c r="U8" s="488"/>
      <c r="V8" s="489"/>
      <c r="W8" s="488"/>
      <c r="X8" s="488"/>
      <c r="Y8" s="488"/>
      <c r="Z8" s="488"/>
      <c r="AA8" s="488"/>
      <c r="AB8" s="488"/>
      <c r="AC8" s="488"/>
      <c r="AD8" s="488"/>
      <c r="AE8" s="488"/>
      <c r="AF8" s="488"/>
    </row>
    <row r="9" spans="1:32">
      <c r="B9" s="488"/>
      <c r="C9" s="490"/>
      <c r="D9" s="490"/>
      <c r="E9" s="488"/>
      <c r="F9" s="490"/>
      <c r="G9" s="490"/>
      <c r="H9" s="490"/>
      <c r="I9" s="490"/>
      <c r="J9" s="490"/>
      <c r="K9" s="490"/>
      <c r="L9" s="490"/>
      <c r="M9" s="490"/>
      <c r="N9" s="490"/>
      <c r="O9" s="490"/>
      <c r="P9" s="490"/>
      <c r="Q9" s="490"/>
      <c r="R9" s="488"/>
      <c r="S9" s="488"/>
      <c r="T9" s="488"/>
      <c r="U9" s="488"/>
      <c r="V9" s="489"/>
      <c r="W9" s="488"/>
      <c r="X9" s="488"/>
      <c r="Y9" s="488"/>
      <c r="Z9" s="488"/>
      <c r="AA9" s="488"/>
      <c r="AB9" s="488"/>
      <c r="AC9" s="488"/>
      <c r="AD9" s="488"/>
      <c r="AE9" s="488"/>
      <c r="AF9" s="488"/>
    </row>
    <row r="10" spans="1:32">
      <c r="B10" s="488"/>
      <c r="C10" s="490"/>
      <c r="D10" s="490"/>
      <c r="E10" s="490"/>
      <c r="F10" s="490"/>
      <c r="G10" s="490"/>
      <c r="H10" s="490"/>
      <c r="I10" s="488"/>
      <c r="J10" s="490"/>
      <c r="K10" s="490"/>
      <c r="L10" s="490"/>
      <c r="M10" s="490"/>
      <c r="N10" s="490"/>
      <c r="O10" s="490"/>
      <c r="P10" s="490"/>
      <c r="Q10" s="490"/>
      <c r="R10" s="488"/>
      <c r="S10" s="488"/>
      <c r="T10" s="488"/>
      <c r="U10" s="488"/>
      <c r="V10" s="489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</row>
    <row r="11" spans="1:32">
      <c r="B11" s="488"/>
      <c r="C11" s="492"/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88"/>
      <c r="S11" s="488"/>
      <c r="T11" s="488"/>
      <c r="U11" s="488"/>
      <c r="V11" s="488"/>
      <c r="W11" s="488"/>
      <c r="Y11" s="488"/>
      <c r="Z11" s="488"/>
      <c r="AA11" s="488"/>
      <c r="AB11" s="488"/>
      <c r="AC11" s="488"/>
      <c r="AD11" s="488"/>
      <c r="AE11" s="488"/>
      <c r="AF11" s="488"/>
    </row>
    <row r="12" spans="1:32">
      <c r="B12" s="488"/>
      <c r="C12" s="492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88"/>
      <c r="S12" s="488"/>
      <c r="T12" s="488"/>
      <c r="U12" s="488"/>
      <c r="V12" s="488"/>
      <c r="W12" s="488"/>
      <c r="Y12" s="488"/>
      <c r="Z12" s="488"/>
      <c r="AA12" s="488"/>
      <c r="AB12" s="488"/>
      <c r="AC12" s="488"/>
      <c r="AD12" s="488"/>
      <c r="AE12" s="488"/>
      <c r="AF12" s="488"/>
    </row>
    <row r="13" spans="1:32" ht="13.5" thickBot="1">
      <c r="B13" s="488"/>
      <c r="C13" s="490"/>
      <c r="D13" s="490"/>
      <c r="E13" s="488"/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0"/>
      <c r="Q13" s="492"/>
      <c r="R13" s="489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88"/>
      <c r="AD13" s="488"/>
      <c r="AE13" s="488"/>
      <c r="AF13" s="488"/>
    </row>
    <row r="14" spans="1:32" ht="17.25" thickTop="1" thickBot="1">
      <c r="B14" s="81"/>
      <c r="C14" s="82" t="str">
        <f>IF(MasterSheet!$A$1=1,MasterSheet!B67,MasterSheet!B66)</f>
        <v>BDP (u mil. €)</v>
      </c>
      <c r="D14" s="577">
        <f>+'2013 - plan'!D14</f>
        <v>3335900000</v>
      </c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8"/>
      <c r="R14" s="578"/>
      <c r="S14" s="578"/>
      <c r="T14" s="578"/>
      <c r="U14" s="578"/>
      <c r="V14" s="578"/>
      <c r="W14" s="578"/>
      <c r="X14" s="579"/>
      <c r="Y14" s="488"/>
      <c r="Z14" s="488"/>
      <c r="AA14" s="488"/>
      <c r="AB14" s="488"/>
      <c r="AC14" s="488"/>
      <c r="AD14" s="488"/>
      <c r="AE14" s="488"/>
      <c r="AF14" s="488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488"/>
      <c r="T15" s="488"/>
      <c r="U15" s="488"/>
      <c r="V15" s="488"/>
      <c r="W15" s="488"/>
      <c r="X15" s="488"/>
      <c r="Y15" s="488"/>
      <c r="Z15" s="488"/>
      <c r="AA15" s="488"/>
      <c r="AB15" s="488"/>
      <c r="AC15" s="488"/>
      <c r="AD15" s="488"/>
      <c r="AE15" s="488"/>
      <c r="AF15" s="488"/>
    </row>
    <row r="16" spans="1:32" ht="17.25" customHeight="1" thickBot="1">
      <c r="B16" s="488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8"/>
      <c r="AF16" s="488"/>
    </row>
    <row r="17" spans="2:32" ht="17.25" customHeight="1" thickTop="1">
      <c r="B17" s="488"/>
      <c r="C17" s="587" t="str">
        <f>IF(MasterSheet!$A$1=1,MasterSheet!B422,MasterSheet!B421)</f>
        <v>Izvršenje budžeta, po mjesecima</v>
      </c>
      <c r="D17" s="589">
        <v>2013</v>
      </c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1"/>
      <c r="Y17" s="488"/>
      <c r="Z17" s="488"/>
      <c r="AA17" s="488"/>
      <c r="AB17" s="488"/>
      <c r="AC17" s="488"/>
      <c r="AD17" s="488"/>
      <c r="AE17" s="488"/>
      <c r="AF17" s="488"/>
    </row>
    <row r="18" spans="2:32" ht="15" customHeight="1" thickBot="1">
      <c r="B18" s="488"/>
      <c r="C18" s="588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3" t="s">
        <v>408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488"/>
      <c r="Z18" s="488"/>
      <c r="AA18" s="488"/>
      <c r="AB18" s="488"/>
      <c r="AC18" s="488"/>
      <c r="AD18" s="488"/>
      <c r="AE18" s="488"/>
      <c r="AF18" s="488"/>
    </row>
    <row r="19" spans="2:32" ht="15" customHeight="1" thickTop="1" thickBot="1">
      <c r="B19" s="488"/>
      <c r="C19" s="493" t="str">
        <f>IF(MasterSheet!$A$1=1,MasterSheet!C337,MasterSheet!B337)</f>
        <v>Izvorni prihodi</v>
      </c>
      <c r="D19" s="278">
        <f>+D20+D28+D33+D38+D45+D50+D51</f>
        <v>54923313.239999987</v>
      </c>
      <c r="E19" s="280">
        <f t="shared" ref="E19:O19" si="0">+E20+E28+E33+E38+E45+E50+E51</f>
        <v>75831835.340000004</v>
      </c>
      <c r="F19" s="280">
        <f t="shared" si="0"/>
        <v>88914656.390000015</v>
      </c>
      <c r="G19" s="280">
        <f t="shared" si="0"/>
        <v>104092614.22999999</v>
      </c>
      <c r="H19" s="280">
        <f t="shared" si="0"/>
        <v>94328013.809999987</v>
      </c>
      <c r="I19" s="280">
        <f t="shared" si="0"/>
        <v>100021639.11</v>
      </c>
      <c r="J19" s="280">
        <f t="shared" si="0"/>
        <v>122508817.99999999</v>
      </c>
      <c r="K19" s="279">
        <f t="shared" si="0"/>
        <v>125278818.55</v>
      </c>
      <c r="L19" s="279">
        <f t="shared" si="0"/>
        <v>117104507.21000002</v>
      </c>
      <c r="M19" s="279">
        <f t="shared" si="0"/>
        <v>118730743.41000001</v>
      </c>
      <c r="N19" s="279">
        <f t="shared" si="0"/>
        <v>96489253</v>
      </c>
      <c r="O19" s="494">
        <f t="shared" si="0"/>
        <v>143537618.72999999</v>
      </c>
      <c r="P19" s="402">
        <f>SUM(D19:O19)</f>
        <v>1241761831.02</v>
      </c>
      <c r="Q19" s="495">
        <f>+P19+P95+P96+P51+P97</f>
        <v>1593698357.5799997</v>
      </c>
      <c r="R19" s="496"/>
      <c r="S19" s="496"/>
      <c r="T19" s="496"/>
      <c r="U19" s="496"/>
      <c r="V19" s="496"/>
      <c r="W19" s="496"/>
      <c r="X19" s="497">
        <f>+P19/$D$14*100</f>
        <v>37.224192302527051</v>
      </c>
      <c r="Y19" s="488"/>
      <c r="Z19" s="488"/>
      <c r="AA19" s="488"/>
      <c r="AB19" s="488"/>
      <c r="AC19" s="488"/>
      <c r="AD19" s="488"/>
      <c r="AE19" s="488"/>
      <c r="AF19" s="488"/>
    </row>
    <row r="20" spans="2:32" ht="15" customHeight="1" thickTop="1">
      <c r="B20" s="488"/>
      <c r="C20" s="498" t="str">
        <f>IF(MasterSheet!$A$1=1,MasterSheet!C338,MasterSheet!B338)</f>
        <v>Porezi</v>
      </c>
      <c r="D20" s="499">
        <f t="shared" ref="D20:N20" si="1">SUM(D21:D27)</f>
        <v>38651682.139999993</v>
      </c>
      <c r="E20" s="500">
        <f t="shared" si="1"/>
        <v>43074559.129999995</v>
      </c>
      <c r="F20" s="500">
        <f t="shared" si="1"/>
        <v>53935470.890000008</v>
      </c>
      <c r="G20" s="500">
        <f t="shared" si="1"/>
        <v>70397095.139999986</v>
      </c>
      <c r="H20" s="500">
        <f t="shared" si="1"/>
        <v>59487673.050000004</v>
      </c>
      <c r="I20" s="500">
        <f t="shared" si="1"/>
        <v>61991252.850000001</v>
      </c>
      <c r="J20" s="500">
        <f t="shared" si="1"/>
        <v>78155438.859999985</v>
      </c>
      <c r="K20" s="500">
        <f t="shared" si="1"/>
        <v>82426236.730000004</v>
      </c>
      <c r="L20" s="500">
        <f t="shared" si="1"/>
        <v>71970399.340000018</v>
      </c>
      <c r="M20" s="500">
        <f t="shared" si="1"/>
        <v>66404277.469999999</v>
      </c>
      <c r="N20" s="501">
        <f t="shared" si="1"/>
        <v>57024205.149999991</v>
      </c>
      <c r="O20" s="502">
        <f t="shared" ref="O20" si="2">+SUM(O21:O27)</f>
        <v>72178168.75999999</v>
      </c>
      <c r="P20" s="503">
        <f t="shared" ref="P20:P84" si="3">SUM(D20:O20)</f>
        <v>755696459.50999999</v>
      </c>
      <c r="Q20" s="504"/>
      <c r="R20" s="504"/>
      <c r="S20" s="504"/>
      <c r="T20" s="504"/>
      <c r="U20" s="504"/>
      <c r="V20" s="504"/>
      <c r="W20" s="504"/>
      <c r="X20" s="505">
        <f t="shared" ref="X20:X85" si="4">+P20/$D$14*100</f>
        <v>22.653450628316197</v>
      </c>
      <c r="Y20" s="488"/>
      <c r="Z20" s="488"/>
      <c r="AA20" s="488"/>
      <c r="AB20" s="488"/>
      <c r="AC20" s="488"/>
      <c r="AD20" s="488"/>
      <c r="AE20" s="488"/>
      <c r="AF20" s="488"/>
    </row>
    <row r="21" spans="2:32" ht="15" customHeight="1">
      <c r="B21" s="488"/>
      <c r="C21" s="506" t="str">
        <f>IF(MasterSheet!$A$1=1,MasterSheet!C339,MasterSheet!B339)</f>
        <v>Porez na dohodak fizičkih lica</v>
      </c>
      <c r="D21" s="507">
        <v>2526434.27</v>
      </c>
      <c r="E21" s="508">
        <v>6576693.6500000004</v>
      </c>
      <c r="F21" s="508">
        <v>6649607.6900000004</v>
      </c>
      <c r="G21" s="508">
        <v>6878624.96</v>
      </c>
      <c r="H21" s="508">
        <v>7715762.9900000002</v>
      </c>
      <c r="I21" s="508">
        <v>6905575.8099999996</v>
      </c>
      <c r="J21" s="508">
        <v>7544499.1699999999</v>
      </c>
      <c r="K21" s="508">
        <v>8683203.9299999997</v>
      </c>
      <c r="L21" s="508">
        <v>9021711.1099999994</v>
      </c>
      <c r="M21" s="508">
        <v>10279942.17</v>
      </c>
      <c r="N21" s="509">
        <v>7302700.2599999998</v>
      </c>
      <c r="O21" s="510">
        <v>15533677.9</v>
      </c>
      <c r="P21" s="511">
        <f t="shared" si="3"/>
        <v>95618433.910000011</v>
      </c>
      <c r="Q21" s="504"/>
      <c r="R21" s="512"/>
      <c r="S21" s="504"/>
      <c r="T21" s="504"/>
      <c r="U21" s="504"/>
      <c r="V21" s="504"/>
      <c r="W21" s="504"/>
      <c r="X21" s="513">
        <f t="shared" si="4"/>
        <v>2.866345930933182</v>
      </c>
      <c r="Y21" s="488"/>
      <c r="Z21" s="488"/>
      <c r="AA21" s="488"/>
      <c r="AB21" s="488"/>
      <c r="AC21" s="488"/>
      <c r="AD21" s="488"/>
      <c r="AE21" s="488"/>
      <c r="AF21" s="488"/>
    </row>
    <row r="22" spans="2:32" ht="15" customHeight="1">
      <c r="B22" s="488"/>
      <c r="C22" s="506" t="str">
        <f>IF(MasterSheet!$A$1=1,MasterSheet!C340,MasterSheet!B340)</f>
        <v>Porez na dobit pravnih lica</v>
      </c>
      <c r="D22" s="507">
        <v>496276.24</v>
      </c>
      <c r="E22" s="508">
        <v>1055200.6000000001</v>
      </c>
      <c r="F22" s="508">
        <v>5089275.75</v>
      </c>
      <c r="G22" s="508">
        <v>14799003.470000001</v>
      </c>
      <c r="H22" s="508">
        <v>3059202.23</v>
      </c>
      <c r="I22" s="508">
        <v>3636920.85</v>
      </c>
      <c r="J22" s="508">
        <v>3866755.9</v>
      </c>
      <c r="K22" s="508">
        <v>2838435.42</v>
      </c>
      <c r="L22" s="508">
        <v>2334594.66</v>
      </c>
      <c r="M22" s="508">
        <v>1290368.17</v>
      </c>
      <c r="N22" s="509">
        <v>1131477.26</v>
      </c>
      <c r="O22" s="510">
        <v>1041215.84</v>
      </c>
      <c r="P22" s="511">
        <f t="shared" si="3"/>
        <v>40638726.390000008</v>
      </c>
      <c r="Q22" s="504"/>
      <c r="R22" s="504"/>
      <c r="S22" s="504"/>
      <c r="T22" s="504"/>
      <c r="U22" s="504"/>
      <c r="V22" s="504"/>
      <c r="W22" s="504"/>
      <c r="X22" s="513">
        <f t="shared" si="4"/>
        <v>1.2182237594052581</v>
      </c>
      <c r="Y22" s="488"/>
      <c r="Z22" s="488"/>
      <c r="AA22" s="488"/>
      <c r="AB22" s="488"/>
      <c r="AC22" s="488"/>
      <c r="AD22" s="488"/>
      <c r="AE22" s="488"/>
      <c r="AF22" s="488"/>
    </row>
    <row r="23" spans="2:32" ht="15" customHeight="1">
      <c r="B23" s="488"/>
      <c r="C23" s="506" t="str">
        <f>IF(MasterSheet!$A$1=1,MasterSheet!C341,MasterSheet!B341)</f>
        <v>Porez na imovinu</v>
      </c>
      <c r="D23" s="507">
        <v>115652.5</v>
      </c>
      <c r="E23" s="508">
        <v>124226.81</v>
      </c>
      <c r="F23" s="508">
        <v>132357.70000000001</v>
      </c>
      <c r="G23" s="508">
        <v>115457.95</v>
      </c>
      <c r="H23" s="508">
        <v>67705.259999999995</v>
      </c>
      <c r="I23" s="508">
        <v>72081.91</v>
      </c>
      <c r="J23" s="508">
        <v>126831.7</v>
      </c>
      <c r="K23" s="508">
        <v>162557.79</v>
      </c>
      <c r="L23" s="508">
        <v>100652.07</v>
      </c>
      <c r="M23" s="508">
        <v>168549.68</v>
      </c>
      <c r="N23" s="509">
        <v>113492.53</v>
      </c>
      <c r="O23" s="510">
        <v>140999.42000000001</v>
      </c>
      <c r="P23" s="511">
        <f t="shared" si="3"/>
        <v>1440565.3199999998</v>
      </c>
      <c r="Q23" s="504"/>
      <c r="R23" s="504"/>
      <c r="S23" s="504"/>
      <c r="T23" s="504"/>
      <c r="U23" s="504"/>
      <c r="V23" s="504"/>
      <c r="W23" s="504"/>
      <c r="X23" s="513">
        <f t="shared" si="4"/>
        <v>4.318370814472855E-2</v>
      </c>
      <c r="Y23" s="488"/>
      <c r="Z23" s="488"/>
      <c r="AA23" s="488"/>
      <c r="AB23" s="488"/>
      <c r="AC23" s="488"/>
      <c r="AD23" s="488"/>
      <c r="AE23" s="488"/>
      <c r="AF23" s="488"/>
    </row>
    <row r="24" spans="2:32" ht="15" customHeight="1">
      <c r="B24" s="488"/>
      <c r="C24" s="506" t="str">
        <f>IF(MasterSheet!$A$1=1,MasterSheet!C342,MasterSheet!B342)</f>
        <v>Porez na dodatu vrijednost</v>
      </c>
      <c r="D24" s="507">
        <v>24859352.079999998</v>
      </c>
      <c r="E24" s="508">
        <v>24747849.059999999</v>
      </c>
      <c r="F24" s="508">
        <v>29494568</v>
      </c>
      <c r="G24" s="508">
        <v>33764031.280000001</v>
      </c>
      <c r="H24" s="508">
        <v>34164912.100000001</v>
      </c>
      <c r="I24" s="508">
        <v>35865076.689999998</v>
      </c>
      <c r="J24" s="508">
        <v>47181978.859999999</v>
      </c>
      <c r="K24" s="508">
        <v>47065903.329999998</v>
      </c>
      <c r="L24" s="508">
        <v>40694228.75</v>
      </c>
      <c r="M24" s="508">
        <v>37652216.649999999</v>
      </c>
      <c r="N24" s="509">
        <v>33512039.469999999</v>
      </c>
      <c r="O24" s="510">
        <v>40192913.060000002</v>
      </c>
      <c r="P24" s="511">
        <f t="shared" si="3"/>
        <v>429195069.32999998</v>
      </c>
      <c r="Q24" s="504"/>
      <c r="R24" s="504"/>
      <c r="S24" s="504"/>
      <c r="T24" s="504"/>
      <c r="U24" s="504"/>
      <c r="V24" s="504"/>
      <c r="W24" s="504"/>
      <c r="X24" s="513">
        <f t="shared" si="4"/>
        <v>12.865945302017446</v>
      </c>
      <c r="Y24" s="488"/>
      <c r="Z24" s="488"/>
      <c r="AA24" s="488"/>
      <c r="AB24" s="488"/>
      <c r="AC24" s="488"/>
      <c r="AD24" s="488"/>
      <c r="AE24" s="488"/>
      <c r="AF24" s="488"/>
    </row>
    <row r="25" spans="2:32" ht="15" customHeight="1">
      <c r="B25" s="488"/>
      <c r="C25" s="506" t="str">
        <f>IF(MasterSheet!$A$1=1,MasterSheet!C343,MasterSheet!B343)</f>
        <v xml:space="preserve">Akcize </v>
      </c>
      <c r="D25" s="507">
        <v>9255849.1899999995</v>
      </c>
      <c r="E25" s="508">
        <v>8985711.9700000007</v>
      </c>
      <c r="F25" s="508">
        <v>10357645.699999999</v>
      </c>
      <c r="G25" s="508">
        <v>12315837.07</v>
      </c>
      <c r="H25" s="508">
        <v>12029998.560000001</v>
      </c>
      <c r="I25" s="508">
        <v>13029212.49</v>
      </c>
      <c r="J25" s="508">
        <v>16425719.380000001</v>
      </c>
      <c r="K25" s="508">
        <v>20976976.140000001</v>
      </c>
      <c r="L25" s="508">
        <v>17250832.809999999</v>
      </c>
      <c r="M25" s="508">
        <v>14547164.49</v>
      </c>
      <c r="N25" s="509">
        <v>13082725.300000001</v>
      </c>
      <c r="O25" s="510">
        <v>13187797.07</v>
      </c>
      <c r="P25" s="511">
        <f t="shared" si="3"/>
        <v>161445470.17000002</v>
      </c>
      <c r="Q25" s="504"/>
      <c r="R25" s="504"/>
      <c r="S25" s="504"/>
      <c r="T25" s="504"/>
      <c r="U25" s="504"/>
      <c r="V25" s="504"/>
      <c r="W25" s="504"/>
      <c r="X25" s="513">
        <f t="shared" si="4"/>
        <v>4.8396375841601973</v>
      </c>
      <c r="Y25" s="488"/>
      <c r="Z25" s="488"/>
      <c r="AA25" s="488"/>
      <c r="AB25" s="488"/>
      <c r="AC25" s="488"/>
      <c r="AD25" s="488"/>
      <c r="AE25" s="488"/>
      <c r="AF25" s="488"/>
    </row>
    <row r="26" spans="2:32" ht="15" customHeight="1">
      <c r="B26" s="488"/>
      <c r="C26" s="506" t="str">
        <f>IF(MasterSheet!$A$1=1,MasterSheet!C344,MasterSheet!B344)</f>
        <v>Porez na međ. trgov. i transakcije</v>
      </c>
      <c r="D26" s="507">
        <v>1102894.92</v>
      </c>
      <c r="E26" s="508">
        <v>1314712.1299999999</v>
      </c>
      <c r="F26" s="508">
        <v>1860387.34</v>
      </c>
      <c r="G26" s="508">
        <v>2089824.5</v>
      </c>
      <c r="H26" s="508">
        <v>1988387.88</v>
      </c>
      <c r="I26" s="508">
        <v>1996988.03</v>
      </c>
      <c r="J26" s="508">
        <v>2464457.46</v>
      </c>
      <c r="K26" s="508">
        <v>2205770.9</v>
      </c>
      <c r="L26" s="508">
        <v>2039547.65</v>
      </c>
      <c r="M26" s="508">
        <v>2036206.12</v>
      </c>
      <c r="N26" s="509">
        <v>1479074.48</v>
      </c>
      <c r="O26" s="510">
        <v>1691131.23</v>
      </c>
      <c r="P26" s="511">
        <f t="shared" si="3"/>
        <v>22269382.640000001</v>
      </c>
      <c r="Q26" s="504"/>
      <c r="R26" s="504"/>
      <c r="S26" s="504"/>
      <c r="T26" s="504"/>
      <c r="U26" s="504"/>
      <c r="V26" s="504"/>
      <c r="W26" s="504"/>
      <c r="X26" s="513">
        <f t="shared" si="4"/>
        <v>0.66756745226175851</v>
      </c>
      <c r="Y26" s="488"/>
      <c r="Z26" s="488"/>
      <c r="AA26" s="488"/>
      <c r="AB26" s="488"/>
      <c r="AC26" s="488"/>
      <c r="AD26" s="488"/>
      <c r="AE26" s="488"/>
      <c r="AF26" s="488"/>
    </row>
    <row r="27" spans="2:32" ht="15" customHeight="1">
      <c r="B27" s="488"/>
      <c r="C27" s="506" t="str">
        <f>IF(MasterSheet!$A$1=1,MasterSheet!C345,MasterSheet!B345)</f>
        <v>Ostali republički porezi</v>
      </c>
      <c r="D27" s="507">
        <v>295222.94</v>
      </c>
      <c r="E27" s="508">
        <v>270164.90999999997</v>
      </c>
      <c r="F27" s="508">
        <v>351628.71</v>
      </c>
      <c r="G27" s="508">
        <v>434315.91</v>
      </c>
      <c r="H27" s="508">
        <v>461704.03</v>
      </c>
      <c r="I27" s="508">
        <v>485397.07</v>
      </c>
      <c r="J27" s="508">
        <v>545196.39</v>
      </c>
      <c r="K27" s="508">
        <v>493389.22</v>
      </c>
      <c r="L27" s="508">
        <v>528832.29</v>
      </c>
      <c r="M27" s="508">
        <v>429830.19</v>
      </c>
      <c r="N27" s="509">
        <v>402695.85</v>
      </c>
      <c r="O27" s="510">
        <v>390434.24</v>
      </c>
      <c r="P27" s="511">
        <f t="shared" si="3"/>
        <v>5088811.75</v>
      </c>
      <c r="Q27" s="504"/>
      <c r="R27" s="504"/>
      <c r="S27" s="504"/>
      <c r="T27" s="504"/>
      <c r="U27" s="504"/>
      <c r="V27" s="504"/>
      <c r="W27" s="504"/>
      <c r="X27" s="513">
        <f t="shared" si="4"/>
        <v>0.1525468913936269</v>
      </c>
      <c r="Y27" s="488"/>
      <c r="Z27" s="488"/>
      <c r="AA27" s="488"/>
      <c r="AB27" s="488"/>
      <c r="AC27" s="488"/>
      <c r="AD27" s="488"/>
      <c r="AE27" s="488"/>
      <c r="AF27" s="488"/>
    </row>
    <row r="28" spans="2:32" ht="15" customHeight="1">
      <c r="B28" s="488"/>
      <c r="C28" s="514" t="str">
        <f>IF(MasterSheet!$A$1=1,MasterSheet!C346,MasterSheet!B346)</f>
        <v>Doprinosi</v>
      </c>
      <c r="D28" s="515">
        <f>SUM(D29:D32)</f>
        <v>11682979.650000002</v>
      </c>
      <c r="E28" s="516">
        <f t="shared" ref="E28:N28" si="5">SUM(E29:E32)</f>
        <v>27994298.860000003</v>
      </c>
      <c r="F28" s="516">
        <f t="shared" si="5"/>
        <v>28945916.93</v>
      </c>
      <c r="G28" s="516">
        <f t="shared" si="5"/>
        <v>27280628.250000004</v>
      </c>
      <c r="H28" s="516">
        <f t="shared" si="5"/>
        <v>28636828.640000001</v>
      </c>
      <c r="I28" s="516">
        <f t="shared" si="5"/>
        <v>32181705.779999997</v>
      </c>
      <c r="J28" s="516">
        <f t="shared" si="5"/>
        <v>33084499.869999997</v>
      </c>
      <c r="K28" s="516">
        <f t="shared" si="5"/>
        <v>36125435.899999999</v>
      </c>
      <c r="L28" s="516">
        <f t="shared" si="5"/>
        <v>38355351.649999999</v>
      </c>
      <c r="M28" s="516">
        <f t="shared" si="5"/>
        <v>43749236.140000001</v>
      </c>
      <c r="N28" s="517">
        <f t="shared" si="5"/>
        <v>30216321.529999997</v>
      </c>
      <c r="O28" s="518">
        <f t="shared" ref="O28" si="6">+SUM(O29:O32)</f>
        <v>60241080.990000002</v>
      </c>
      <c r="P28" s="339">
        <f t="shared" si="3"/>
        <v>398494284.19</v>
      </c>
      <c r="Q28" s="504"/>
      <c r="R28" s="504"/>
      <c r="S28" s="504"/>
      <c r="T28" s="504"/>
      <c r="U28" s="504"/>
      <c r="V28" s="504"/>
      <c r="W28" s="504"/>
      <c r="X28" s="262">
        <f t="shared" si="4"/>
        <v>11.945630390299469</v>
      </c>
      <c r="Y28" s="488"/>
      <c r="Z28" s="488"/>
      <c r="AA28" s="488"/>
      <c r="AB28" s="488"/>
      <c r="AC28" s="488"/>
      <c r="AD28" s="488"/>
      <c r="AE28" s="488"/>
      <c r="AF28" s="488"/>
    </row>
    <row r="29" spans="2:32" ht="15" customHeight="1">
      <c r="B29" s="488"/>
      <c r="C29" s="506" t="str">
        <f>IF(MasterSheet!$A$1=1,MasterSheet!C347,MasterSheet!B347)</f>
        <v>Doprinosi za PIO</v>
      </c>
      <c r="D29" s="507">
        <v>6569958.79</v>
      </c>
      <c r="E29" s="508">
        <v>16611196.84</v>
      </c>
      <c r="F29" s="508">
        <v>17067697.949999999</v>
      </c>
      <c r="G29" s="508">
        <v>16395294.609999999</v>
      </c>
      <c r="H29" s="508">
        <v>17202945.739999998</v>
      </c>
      <c r="I29" s="508">
        <v>19884670.050000001</v>
      </c>
      <c r="J29" s="508">
        <v>20554627.07</v>
      </c>
      <c r="K29" s="508">
        <v>21794241.239999998</v>
      </c>
      <c r="L29" s="508">
        <v>24404439.25</v>
      </c>
      <c r="M29" s="508">
        <v>26554882.899999999</v>
      </c>
      <c r="N29" s="509">
        <v>18167916.66</v>
      </c>
      <c r="O29" s="510">
        <v>36741484.630000003</v>
      </c>
      <c r="P29" s="511">
        <f>SUM(D29:O29)</f>
        <v>241949355.72999999</v>
      </c>
      <c r="Q29" s="504"/>
      <c r="R29" s="504"/>
      <c r="S29" s="504"/>
      <c r="T29" s="504"/>
      <c r="U29" s="504"/>
      <c r="V29" s="504"/>
      <c r="W29" s="504"/>
      <c r="X29" s="513">
        <f t="shared" si="4"/>
        <v>7.2528959420246411</v>
      </c>
      <c r="Y29" s="519"/>
      <c r="Z29" s="488"/>
      <c r="AA29" s="488"/>
      <c r="AB29" s="488"/>
      <c r="AC29" s="488"/>
      <c r="AD29" s="488"/>
      <c r="AE29" s="488"/>
      <c r="AF29" s="488"/>
    </row>
    <row r="30" spans="2:32" ht="15" customHeight="1">
      <c r="B30" s="488"/>
      <c r="C30" s="506" t="str">
        <f>IF(MasterSheet!$A$1=1,MasterSheet!C348,MasterSheet!B348)</f>
        <v>Doprinosi za zdravstvo</v>
      </c>
      <c r="D30" s="507">
        <v>4448210.58</v>
      </c>
      <c r="E30" s="508">
        <v>9815385.6500000004</v>
      </c>
      <c r="F30" s="508">
        <v>10258473.91</v>
      </c>
      <c r="G30" s="508">
        <v>9269268.3100000005</v>
      </c>
      <c r="H30" s="508">
        <v>9910929.3900000006</v>
      </c>
      <c r="I30" s="508">
        <v>10350588.92</v>
      </c>
      <c r="J30" s="508">
        <v>10616032.939999999</v>
      </c>
      <c r="K30" s="508">
        <v>12357023.08</v>
      </c>
      <c r="L30" s="508">
        <v>12078523.4</v>
      </c>
      <c r="M30" s="508">
        <v>14819585.57</v>
      </c>
      <c r="N30" s="509">
        <v>10483154.24</v>
      </c>
      <c r="O30" s="510">
        <v>20296721.100000001</v>
      </c>
      <c r="P30" s="511">
        <f t="shared" si="3"/>
        <v>134703897.09</v>
      </c>
      <c r="Q30" s="504"/>
      <c r="R30" s="504"/>
      <c r="S30" s="504"/>
      <c r="T30" s="504"/>
      <c r="U30" s="504"/>
      <c r="V30" s="504"/>
      <c r="W30" s="504"/>
      <c r="X30" s="513">
        <f t="shared" si="4"/>
        <v>4.0380076468119555</v>
      </c>
      <c r="Y30" s="519"/>
      <c r="Z30" s="488"/>
      <c r="AA30" s="488"/>
      <c r="AB30" s="488"/>
      <c r="AC30" s="488"/>
      <c r="AD30" s="488"/>
      <c r="AE30" s="488"/>
      <c r="AF30" s="488"/>
    </row>
    <row r="31" spans="2:32" ht="15" customHeight="1">
      <c r="B31" s="488"/>
      <c r="C31" s="506" t="str">
        <f>IF(MasterSheet!$A$1=1,MasterSheet!C349,MasterSheet!B349)</f>
        <v>Doprinosi za nezaposlene</v>
      </c>
      <c r="D31" s="507">
        <v>320175.14</v>
      </c>
      <c r="E31" s="508">
        <v>855409.48</v>
      </c>
      <c r="F31" s="508">
        <v>794755.32</v>
      </c>
      <c r="G31" s="508">
        <v>736973.07</v>
      </c>
      <c r="H31" s="508">
        <v>797748.44</v>
      </c>
      <c r="I31" s="508">
        <v>812695.59</v>
      </c>
      <c r="J31" s="508">
        <v>832467.98</v>
      </c>
      <c r="K31" s="508">
        <v>972876.83</v>
      </c>
      <c r="L31" s="508">
        <v>974818.93</v>
      </c>
      <c r="M31" s="508">
        <v>1188966.42</v>
      </c>
      <c r="N31" s="509">
        <v>830457.98</v>
      </c>
      <c r="O31" s="510">
        <v>1652845.01</v>
      </c>
      <c r="P31" s="511">
        <f>SUM(D31:O31)</f>
        <v>10770190.189999999</v>
      </c>
      <c r="Q31" s="504"/>
      <c r="R31" s="504"/>
      <c r="S31" s="504"/>
      <c r="T31" s="504"/>
      <c r="U31" s="504"/>
      <c r="V31" s="504"/>
      <c r="W31" s="504"/>
      <c r="X31" s="513">
        <f t="shared" si="4"/>
        <v>0.32285710572858894</v>
      </c>
      <c r="Y31" s="519"/>
      <c r="Z31" s="488"/>
      <c r="AA31" s="488"/>
      <c r="AB31" s="488"/>
      <c r="AC31" s="488"/>
      <c r="AD31" s="488"/>
      <c r="AE31" s="488"/>
      <c r="AF31" s="488"/>
    </row>
    <row r="32" spans="2:32" ht="15" customHeight="1">
      <c r="B32" s="488"/>
      <c r="C32" s="506" t="str">
        <f>IF(MasterSheet!$A$1=1,MasterSheet!C350,MasterSheet!B350)</f>
        <v>Ostali doprinosi</v>
      </c>
      <c r="D32" s="507">
        <v>344635.14</v>
      </c>
      <c r="E32" s="508">
        <v>712306.89</v>
      </c>
      <c r="F32" s="508">
        <v>824989.75</v>
      </c>
      <c r="G32" s="508">
        <v>879092.26</v>
      </c>
      <c r="H32" s="508">
        <v>725205.07</v>
      </c>
      <c r="I32" s="508">
        <v>1133751.22</v>
      </c>
      <c r="J32" s="508">
        <v>1081371.8799999999</v>
      </c>
      <c r="K32" s="508">
        <v>1001294.75</v>
      </c>
      <c r="L32" s="508">
        <v>897570.07</v>
      </c>
      <c r="M32" s="508">
        <v>1185801.25</v>
      </c>
      <c r="N32" s="509">
        <v>734792.65</v>
      </c>
      <c r="O32" s="510">
        <v>1550030.25</v>
      </c>
      <c r="P32" s="511">
        <f t="shared" si="3"/>
        <v>11070841.180000002</v>
      </c>
      <c r="Q32" s="504"/>
      <c r="R32" s="504"/>
      <c r="S32" s="504"/>
      <c r="T32" s="504"/>
      <c r="U32" s="504"/>
      <c r="V32" s="504"/>
      <c r="W32" s="504"/>
      <c r="X32" s="513">
        <f t="shared" si="4"/>
        <v>0.33186969573428465</v>
      </c>
      <c r="Y32" s="519"/>
      <c r="Z32" s="488"/>
      <c r="AA32" s="488"/>
      <c r="AB32" s="488"/>
      <c r="AC32" s="488"/>
      <c r="AD32" s="488"/>
      <c r="AE32" s="488"/>
      <c r="AF32" s="488"/>
    </row>
    <row r="33" spans="2:32" ht="15" customHeight="1">
      <c r="B33" s="488"/>
      <c r="C33" s="514" t="str">
        <f>IF(MasterSheet!$A$1=1,MasterSheet!C351,MasterSheet!B351)</f>
        <v>Takse</v>
      </c>
      <c r="D33" s="515">
        <f>SUM(D34:D37)</f>
        <v>1080928.04</v>
      </c>
      <c r="E33" s="516">
        <f t="shared" ref="E33:N33" si="7">SUM(E34:E37)</f>
        <v>1829225.49</v>
      </c>
      <c r="F33" s="516">
        <f t="shared" si="7"/>
        <v>2131564.3200000003</v>
      </c>
      <c r="G33" s="516">
        <f t="shared" si="7"/>
        <v>2230267.9299999997</v>
      </c>
      <c r="H33" s="516">
        <f t="shared" si="7"/>
        <v>2071940.67</v>
      </c>
      <c r="I33" s="516">
        <f t="shared" si="7"/>
        <v>2056189.4</v>
      </c>
      <c r="J33" s="516">
        <f t="shared" si="7"/>
        <v>2845514.48</v>
      </c>
      <c r="K33" s="516">
        <f t="shared" si="7"/>
        <v>2292067.08</v>
      </c>
      <c r="L33" s="516">
        <f t="shared" si="7"/>
        <v>1703660.69</v>
      </c>
      <c r="M33" s="516">
        <f t="shared" si="7"/>
        <v>2865108.45</v>
      </c>
      <c r="N33" s="517">
        <f t="shared" si="7"/>
        <v>2702027.5</v>
      </c>
      <c r="O33" s="518">
        <f t="shared" ref="O33" si="8">+SUM(O34:O37)</f>
        <v>3260963.95</v>
      </c>
      <c r="P33" s="339">
        <f t="shared" si="3"/>
        <v>27069458</v>
      </c>
      <c r="Q33" s="504"/>
      <c r="R33" s="504"/>
      <c r="S33" s="504"/>
      <c r="T33" s="504"/>
      <c r="U33" s="504"/>
      <c r="V33" s="504"/>
      <c r="W33" s="504"/>
      <c r="X33" s="262">
        <f t="shared" si="4"/>
        <v>0.81145891663419156</v>
      </c>
      <c r="Y33" s="488"/>
      <c r="Z33" s="488"/>
      <c r="AA33" s="488"/>
      <c r="AB33" s="488"/>
      <c r="AC33" s="488"/>
      <c r="AD33" s="488"/>
      <c r="AE33" s="488"/>
      <c r="AF33" s="488"/>
    </row>
    <row r="34" spans="2:32" ht="15" customHeight="1">
      <c r="B34" s="488"/>
      <c r="C34" s="506" t="str">
        <f>IF(MasterSheet!$A$1=1,MasterSheet!C352,MasterSheet!B352)</f>
        <v>Administrativne takse</v>
      </c>
      <c r="D34" s="507">
        <v>459792.77</v>
      </c>
      <c r="E34" s="508">
        <v>500772.32</v>
      </c>
      <c r="F34" s="508">
        <v>416213.56</v>
      </c>
      <c r="G34" s="508">
        <v>800629.84</v>
      </c>
      <c r="H34" s="508">
        <v>741038.8</v>
      </c>
      <c r="I34" s="508">
        <v>867200.61</v>
      </c>
      <c r="J34" s="508">
        <v>871700.12</v>
      </c>
      <c r="K34" s="508">
        <v>683870.65</v>
      </c>
      <c r="L34" s="508">
        <v>649765.01</v>
      </c>
      <c r="M34" s="508">
        <v>674279.4</v>
      </c>
      <c r="N34" s="509">
        <v>590303.17000000004</v>
      </c>
      <c r="O34" s="510">
        <v>625896.68999999994</v>
      </c>
      <c r="P34" s="511">
        <f t="shared" si="3"/>
        <v>7881462.9399999995</v>
      </c>
      <c r="Q34" s="520"/>
      <c r="R34" s="504"/>
      <c r="S34" s="504"/>
      <c r="T34" s="504"/>
      <c r="U34" s="504"/>
      <c r="V34" s="504"/>
      <c r="W34" s="504"/>
      <c r="X34" s="513">
        <f t="shared" si="4"/>
        <v>0.23626196648580591</v>
      </c>
      <c r="Y34" s="488"/>
      <c r="Z34" s="488"/>
      <c r="AA34" s="488"/>
      <c r="AB34" s="488"/>
      <c r="AC34" s="488"/>
      <c r="AD34" s="488"/>
      <c r="AE34" s="488"/>
      <c r="AF34" s="488"/>
    </row>
    <row r="35" spans="2:32" ht="15" customHeight="1">
      <c r="B35" s="488"/>
      <c r="C35" s="506" t="str">
        <f>IF(MasterSheet!$A$1=1,MasterSheet!C353,MasterSheet!B353)</f>
        <v>Sudske takse</v>
      </c>
      <c r="D35" s="507">
        <v>249117.52</v>
      </c>
      <c r="E35" s="508">
        <v>274019.34999999998</v>
      </c>
      <c r="F35" s="508">
        <v>324113.08</v>
      </c>
      <c r="G35" s="508">
        <v>340962.4</v>
      </c>
      <c r="H35" s="508">
        <v>236053.6</v>
      </c>
      <c r="I35" s="508">
        <v>329926.8</v>
      </c>
      <c r="J35" s="508">
        <v>394971.79</v>
      </c>
      <c r="K35" s="508">
        <v>193627.12</v>
      </c>
      <c r="L35" s="508">
        <v>283408.96999999997</v>
      </c>
      <c r="M35" s="508">
        <v>354059.72</v>
      </c>
      <c r="N35" s="509">
        <v>925664.5</v>
      </c>
      <c r="O35" s="510">
        <v>651866.41</v>
      </c>
      <c r="P35" s="511">
        <f t="shared" si="3"/>
        <v>4557791.26</v>
      </c>
      <c r="Q35" s="504"/>
      <c r="R35" s="504"/>
      <c r="S35" s="504"/>
      <c r="T35" s="504"/>
      <c r="U35" s="504"/>
      <c r="V35" s="504"/>
      <c r="W35" s="504"/>
      <c r="X35" s="513">
        <f t="shared" si="4"/>
        <v>0.13662853382895168</v>
      </c>
      <c r="Y35" s="488"/>
      <c r="Z35" s="521"/>
      <c r="AA35" s="488"/>
      <c r="AB35" s="488"/>
      <c r="AC35" s="488"/>
      <c r="AD35" s="488"/>
      <c r="AE35" s="488"/>
      <c r="AF35" s="488"/>
    </row>
    <row r="36" spans="2:32" ht="15" customHeight="1">
      <c r="B36" s="488"/>
      <c r="C36" s="506" t="str">
        <f>IF(MasterSheet!$A$1=1,MasterSheet!C354,MasterSheet!B354)</f>
        <v>Boravišne takse</v>
      </c>
      <c r="D36" s="507">
        <v>7635.04</v>
      </c>
      <c r="E36" s="508">
        <v>9839.27</v>
      </c>
      <c r="F36" s="508">
        <v>13749.62</v>
      </c>
      <c r="G36" s="508">
        <v>30237.24</v>
      </c>
      <c r="H36" s="508">
        <v>51941.32</v>
      </c>
      <c r="I36" s="508">
        <v>88623.71</v>
      </c>
      <c r="J36" s="508">
        <v>163284.24</v>
      </c>
      <c r="K36" s="508">
        <v>197232.93</v>
      </c>
      <c r="L36" s="508">
        <v>111463.85</v>
      </c>
      <c r="M36" s="508">
        <v>50426.22</v>
      </c>
      <c r="N36" s="509">
        <v>31073.22</v>
      </c>
      <c r="O36" s="510">
        <v>12430.33</v>
      </c>
      <c r="P36" s="511">
        <f t="shared" si="3"/>
        <v>767936.98999999987</v>
      </c>
      <c r="Q36" s="504"/>
      <c r="R36" s="504"/>
      <c r="S36" s="504"/>
      <c r="T36" s="504"/>
      <c r="U36" s="504"/>
      <c r="V36" s="504"/>
      <c r="W36" s="504"/>
      <c r="X36" s="513">
        <f t="shared" si="4"/>
        <v>2.3020384004316673E-2</v>
      </c>
      <c r="Y36" s="488"/>
      <c r="Z36" s="488"/>
      <c r="AA36" s="488"/>
      <c r="AB36" s="488"/>
      <c r="AC36" s="488"/>
      <c r="AD36" s="488"/>
      <c r="AE36" s="488"/>
      <c r="AF36" s="488"/>
    </row>
    <row r="37" spans="2:32" ht="15" customHeight="1">
      <c r="B37" s="488"/>
      <c r="C37" s="506" t="str">
        <f>IF(MasterSheet!$A$1=1,MasterSheet!C355,MasterSheet!B355)</f>
        <v>Ostale takse</v>
      </c>
      <c r="D37" s="507">
        <v>364382.71</v>
      </c>
      <c r="E37" s="508">
        <v>1044594.55</v>
      </c>
      <c r="F37" s="508">
        <v>1377488.06</v>
      </c>
      <c r="G37" s="508">
        <v>1058438.45</v>
      </c>
      <c r="H37" s="508">
        <v>1042906.95</v>
      </c>
      <c r="I37" s="508">
        <v>770438.28</v>
      </c>
      <c r="J37" s="508">
        <v>1415558.33</v>
      </c>
      <c r="K37" s="508">
        <v>1217336.3799999999</v>
      </c>
      <c r="L37" s="508">
        <v>659022.86</v>
      </c>
      <c r="M37" s="508">
        <v>1786343.11</v>
      </c>
      <c r="N37" s="509">
        <v>1154986.6100000001</v>
      </c>
      <c r="O37" s="510">
        <v>1970770.52</v>
      </c>
      <c r="P37" s="511">
        <f t="shared" si="3"/>
        <v>13862266.809999999</v>
      </c>
      <c r="Q37" s="504"/>
      <c r="R37" s="504"/>
      <c r="S37" s="504"/>
      <c r="T37" s="504"/>
      <c r="U37" s="504"/>
      <c r="V37" s="504"/>
      <c r="W37" s="504"/>
      <c r="X37" s="513">
        <f t="shared" si="4"/>
        <v>0.41554803231511728</v>
      </c>
      <c r="Y37" s="488"/>
      <c r="Z37" s="488"/>
      <c r="AA37" s="488"/>
      <c r="AB37" s="488"/>
      <c r="AC37" s="488"/>
      <c r="AD37" s="488"/>
      <c r="AE37" s="488"/>
      <c r="AF37" s="488"/>
    </row>
    <row r="38" spans="2:32" ht="15" customHeight="1">
      <c r="B38" s="488"/>
      <c r="C38" s="514" t="str">
        <f>IF(MasterSheet!$A$1=1,MasterSheet!C356,MasterSheet!B356)</f>
        <v>Naknade</v>
      </c>
      <c r="D38" s="515">
        <f>SUM(D39:D44)</f>
        <v>893749.17</v>
      </c>
      <c r="E38" s="516">
        <f t="shared" ref="E38:N38" si="9">SUM(E39:E44)</f>
        <v>1163449.29</v>
      </c>
      <c r="F38" s="516">
        <f t="shared" si="9"/>
        <v>1397810.9500000002</v>
      </c>
      <c r="G38" s="516">
        <f t="shared" si="9"/>
        <v>988260.99</v>
      </c>
      <c r="H38" s="516">
        <f t="shared" si="9"/>
        <v>663493.42000000004</v>
      </c>
      <c r="I38" s="516">
        <f t="shared" si="9"/>
        <v>985589.28</v>
      </c>
      <c r="J38" s="516">
        <f t="shared" si="9"/>
        <v>1220629.7999999998</v>
      </c>
      <c r="K38" s="516">
        <f t="shared" si="9"/>
        <v>1071856.1399999999</v>
      </c>
      <c r="L38" s="516">
        <f t="shared" si="9"/>
        <v>1326309.73</v>
      </c>
      <c r="M38" s="516">
        <f t="shared" si="9"/>
        <v>1344708.95</v>
      </c>
      <c r="N38" s="517">
        <f t="shared" si="9"/>
        <v>1250084.53</v>
      </c>
      <c r="O38" s="518">
        <f t="shared" ref="O38" si="10">+SUM(O39:O44)</f>
        <v>927547.93</v>
      </c>
      <c r="P38" s="339">
        <f t="shared" si="3"/>
        <v>13233490.179999998</v>
      </c>
      <c r="Q38" s="504"/>
      <c r="R38" s="504"/>
      <c r="S38" s="504"/>
      <c r="T38" s="504"/>
      <c r="U38" s="504"/>
      <c r="V38" s="504"/>
      <c r="W38" s="504"/>
      <c r="X38" s="262">
        <f t="shared" si="4"/>
        <v>0.3966992469798255</v>
      </c>
      <c r="Y38" s="488"/>
      <c r="Z38" s="488"/>
      <c r="AA38" s="488"/>
      <c r="AB38" s="488"/>
      <c r="AC38" s="488"/>
      <c r="AD38" s="488"/>
      <c r="AE38" s="488"/>
      <c r="AF38" s="488"/>
    </row>
    <row r="39" spans="2:32" ht="15" customHeight="1">
      <c r="B39" s="488"/>
      <c r="C39" s="506" t="str">
        <f>IF(MasterSheet!$A$1=1,MasterSheet!C357,MasterSheet!B357)</f>
        <v>Nakn. za koriš. dob. od opš. int.</v>
      </c>
      <c r="D39" s="507">
        <v>12391.26</v>
      </c>
      <c r="E39" s="508">
        <v>9264.06</v>
      </c>
      <c r="F39" s="508">
        <v>19332.669999999998</v>
      </c>
      <c r="G39" s="508">
        <v>48395.81</v>
      </c>
      <c r="H39" s="508">
        <v>27750.959999999999</v>
      </c>
      <c r="I39" s="508">
        <v>70400.89</v>
      </c>
      <c r="J39" s="508">
        <v>64040.69</v>
      </c>
      <c r="K39" s="508">
        <v>63273.440000000002</v>
      </c>
      <c r="L39" s="508">
        <v>75343.27</v>
      </c>
      <c r="M39" s="508">
        <v>96159.1</v>
      </c>
      <c r="N39" s="509">
        <v>77271.91</v>
      </c>
      <c r="O39" s="510">
        <v>83642.8</v>
      </c>
      <c r="P39" s="511">
        <f t="shared" si="3"/>
        <v>647266.8600000001</v>
      </c>
      <c r="Q39" s="504"/>
      <c r="R39" s="504"/>
      <c r="S39" s="504"/>
      <c r="T39" s="504"/>
      <c r="U39" s="504"/>
      <c r="V39" s="504"/>
      <c r="W39" s="504"/>
      <c r="X39" s="513">
        <f t="shared" si="4"/>
        <v>1.9403065439611504E-2</v>
      </c>
      <c r="Y39" s="488"/>
      <c r="Z39" s="488"/>
      <c r="AA39" s="488"/>
      <c r="AB39" s="488"/>
      <c r="AC39" s="488"/>
      <c r="AD39" s="488"/>
      <c r="AE39" s="488"/>
      <c r="AF39" s="488"/>
    </row>
    <row r="40" spans="2:32" ht="15" customHeight="1">
      <c r="B40" s="488"/>
      <c r="C40" s="506" t="str">
        <f>IF(MasterSheet!$A$1=1,MasterSheet!C358,MasterSheet!B358)</f>
        <v>Naknada za kor. prirodnih dobara</v>
      </c>
      <c r="D40" s="507">
        <v>68464.97</v>
      </c>
      <c r="E40" s="508">
        <v>158539.48000000001</v>
      </c>
      <c r="F40" s="508">
        <v>86875.06</v>
      </c>
      <c r="G40" s="508">
        <v>139023.51</v>
      </c>
      <c r="H40" s="508">
        <v>88167.33</v>
      </c>
      <c r="I40" s="508">
        <v>150765.28</v>
      </c>
      <c r="J40" s="508">
        <v>282162.89</v>
      </c>
      <c r="K40" s="508">
        <v>250555.05</v>
      </c>
      <c r="L40" s="508">
        <v>339587.75</v>
      </c>
      <c r="M40" s="508">
        <v>157373.04</v>
      </c>
      <c r="N40" s="509">
        <v>139158.56</v>
      </c>
      <c r="O40" s="510">
        <v>134510.71</v>
      </c>
      <c r="P40" s="511">
        <f t="shared" si="3"/>
        <v>1995183.6300000001</v>
      </c>
      <c r="Q40" s="504"/>
      <c r="R40" s="504"/>
      <c r="S40" s="504"/>
      <c r="T40" s="504"/>
      <c r="U40" s="504"/>
      <c r="V40" s="504"/>
      <c r="W40" s="504"/>
      <c r="X40" s="513">
        <f t="shared" si="4"/>
        <v>5.9809455619173238E-2</v>
      </c>
      <c r="Y40" s="488"/>
      <c r="Z40" s="488"/>
      <c r="AA40" s="488"/>
      <c r="AB40" s="488"/>
      <c r="AC40" s="488"/>
      <c r="AD40" s="488"/>
      <c r="AE40" s="488"/>
      <c r="AF40" s="488"/>
    </row>
    <row r="41" spans="2:32" ht="15" customHeight="1">
      <c r="B41" s="488"/>
      <c r="C41" s="506" t="str">
        <f>IF(MasterSheet!$A$1=1,MasterSheet!C359,MasterSheet!B359)</f>
        <v>Ekološke naknade</v>
      </c>
      <c r="D41" s="507">
        <v>6048</v>
      </c>
      <c r="E41" s="508">
        <v>320.11</v>
      </c>
      <c r="F41" s="508">
        <v>56177.94</v>
      </c>
      <c r="G41" s="508">
        <v>130839.86</v>
      </c>
      <c r="H41" s="508">
        <v>16753.849999999999</v>
      </c>
      <c r="I41" s="508">
        <v>764.61</v>
      </c>
      <c r="J41" s="508">
        <v>914.61</v>
      </c>
      <c r="K41" s="508">
        <v>42276.51</v>
      </c>
      <c r="L41" s="508">
        <v>13918.49</v>
      </c>
      <c r="M41" s="508">
        <v>13185.38</v>
      </c>
      <c r="N41" s="509">
        <v>13874</v>
      </c>
      <c r="O41" s="510">
        <v>14777.89</v>
      </c>
      <c r="P41" s="511">
        <f t="shared" si="3"/>
        <v>309851.25</v>
      </c>
      <c r="Q41" s="504"/>
      <c r="R41" s="504"/>
      <c r="S41" s="504"/>
      <c r="T41" s="504"/>
      <c r="U41" s="504"/>
      <c r="V41" s="504"/>
      <c r="W41" s="504"/>
      <c r="X41" s="513">
        <f t="shared" si="4"/>
        <v>9.2883854432087298E-3</v>
      </c>
      <c r="Y41" s="488"/>
      <c r="Z41" s="488"/>
      <c r="AA41" s="488"/>
      <c r="AB41" s="488"/>
      <c r="AC41" s="488"/>
      <c r="AD41" s="488"/>
      <c r="AE41" s="488"/>
      <c r="AF41" s="488"/>
    </row>
    <row r="42" spans="2:32" ht="15" customHeight="1">
      <c r="B42" s="488"/>
      <c r="C42" s="506" t="str">
        <f>IF(MasterSheet!$A$1=1,MasterSheet!C360,MasterSheet!B360)</f>
        <v>Naknade za priređ.  igara na sreću</v>
      </c>
      <c r="D42" s="507">
        <v>222019.59</v>
      </c>
      <c r="E42" s="508">
        <v>260412.76</v>
      </c>
      <c r="F42" s="508">
        <v>313915.52000000002</v>
      </c>
      <c r="G42" s="508">
        <v>296413.03999999998</v>
      </c>
      <c r="H42" s="508">
        <v>213025.27</v>
      </c>
      <c r="I42" s="508">
        <v>239906.22</v>
      </c>
      <c r="J42" s="508">
        <v>270961.98</v>
      </c>
      <c r="K42" s="508">
        <v>229984.6</v>
      </c>
      <c r="L42" s="508">
        <v>298987.89</v>
      </c>
      <c r="M42" s="508">
        <v>282520.88</v>
      </c>
      <c r="N42" s="509">
        <v>371527.13</v>
      </c>
      <c r="O42" s="510">
        <v>324502.28000000003</v>
      </c>
      <c r="P42" s="511">
        <f t="shared" si="3"/>
        <v>3324177.16</v>
      </c>
      <c r="Q42" s="504"/>
      <c r="R42" s="504"/>
      <c r="S42" s="504"/>
      <c r="T42" s="504"/>
      <c r="U42" s="504"/>
      <c r="V42" s="504"/>
      <c r="W42" s="504"/>
      <c r="X42" s="513">
        <f t="shared" si="4"/>
        <v>9.9648585389250283E-2</v>
      </c>
      <c r="Y42" s="488"/>
      <c r="Z42" s="488"/>
      <c r="AA42" s="488"/>
      <c r="AB42" s="488"/>
      <c r="AC42" s="488"/>
      <c r="AD42" s="488"/>
      <c r="AE42" s="488"/>
      <c r="AF42" s="488"/>
    </row>
    <row r="43" spans="2:32" ht="15" customHeight="1">
      <c r="B43" s="488"/>
      <c r="C43" s="506" t="str">
        <f>IF(MasterSheet!$A$1=1,MasterSheet!C361,MasterSheet!B361)</f>
        <v>Naknade za puteve</v>
      </c>
      <c r="D43" s="522">
        <v>200170.6</v>
      </c>
      <c r="E43" s="523">
        <v>185750</v>
      </c>
      <c r="F43" s="523">
        <v>228989.35</v>
      </c>
      <c r="G43" s="523">
        <v>274371.25</v>
      </c>
      <c r="H43" s="523">
        <v>243469.35</v>
      </c>
      <c r="I43" s="523">
        <v>383575.83</v>
      </c>
      <c r="J43" s="523">
        <v>441154.74</v>
      </c>
      <c r="K43" s="523">
        <v>390342.59</v>
      </c>
      <c r="L43" s="523">
        <v>273601.76</v>
      </c>
      <c r="M43" s="523">
        <v>630488.81999999995</v>
      </c>
      <c r="N43" s="524">
        <v>193495.36</v>
      </c>
      <c r="O43" s="510">
        <v>213614.54</v>
      </c>
      <c r="P43" s="511">
        <f t="shared" si="3"/>
        <v>3659024.1899999995</v>
      </c>
      <c r="Q43" s="504"/>
      <c r="R43" s="504"/>
      <c r="S43" s="504"/>
      <c r="T43" s="504"/>
      <c r="U43" s="504"/>
      <c r="V43" s="504"/>
      <c r="W43" s="504"/>
      <c r="X43" s="513">
        <f t="shared" si="4"/>
        <v>0.10968626727419885</v>
      </c>
      <c r="Y43" s="488"/>
      <c r="Z43" s="488"/>
      <c r="AA43" s="488"/>
      <c r="AB43" s="488"/>
      <c r="AC43" s="488"/>
      <c r="AD43" s="488"/>
      <c r="AE43" s="488"/>
      <c r="AF43" s="488"/>
    </row>
    <row r="44" spans="2:32" ht="15" customHeight="1">
      <c r="B44" s="488"/>
      <c r="C44" s="506" t="str">
        <f>IF(MasterSheet!$A$1=1,MasterSheet!C362,MasterSheet!B362)</f>
        <v>Ostale naknade</v>
      </c>
      <c r="D44" s="507">
        <v>384654.75</v>
      </c>
      <c r="E44" s="508">
        <v>549162.88</v>
      </c>
      <c r="F44" s="508">
        <v>692520.41</v>
      </c>
      <c r="G44" s="508">
        <v>99217.52</v>
      </c>
      <c r="H44" s="508">
        <v>74326.66</v>
      </c>
      <c r="I44" s="508">
        <v>140176.45000000001</v>
      </c>
      <c r="J44" s="508">
        <v>161394.89000000001</v>
      </c>
      <c r="K44" s="508">
        <v>95423.95</v>
      </c>
      <c r="L44" s="508">
        <v>324870.57</v>
      </c>
      <c r="M44" s="508">
        <v>164981.73000000001</v>
      </c>
      <c r="N44" s="509">
        <v>454757.57</v>
      </c>
      <c r="O44" s="510">
        <v>156499.71</v>
      </c>
      <c r="P44" s="511">
        <f t="shared" si="3"/>
        <v>3297987.09</v>
      </c>
      <c r="Q44" s="504"/>
      <c r="R44" s="504"/>
      <c r="S44" s="504"/>
      <c r="T44" s="504"/>
      <c r="U44" s="504"/>
      <c r="V44" s="504"/>
      <c r="W44" s="504"/>
      <c r="X44" s="513">
        <f t="shared" si="4"/>
        <v>9.8863487814382936E-2</v>
      </c>
      <c r="Y44" s="488"/>
      <c r="Z44" s="488"/>
      <c r="AA44" s="488"/>
      <c r="AB44" s="488"/>
      <c r="AC44" s="488"/>
      <c r="AD44" s="488"/>
      <c r="AE44" s="488"/>
      <c r="AF44" s="488"/>
    </row>
    <row r="45" spans="2:32" ht="15" customHeight="1">
      <c r="B45" s="488"/>
      <c r="C45" s="514" t="str">
        <f>IF(MasterSheet!$A$1=1,MasterSheet!C363,MasterSheet!B363)</f>
        <v>Ostali prihodi</v>
      </c>
      <c r="D45" s="515">
        <f>SUM(D46:D49)</f>
        <v>2241173.08</v>
      </c>
      <c r="E45" s="516">
        <f t="shared" ref="E45:N45" si="11">SUM(E46:E49)</f>
        <v>1376803.35</v>
      </c>
      <c r="F45" s="516">
        <f t="shared" si="11"/>
        <v>1585734.3</v>
      </c>
      <c r="G45" s="516">
        <f t="shared" si="11"/>
        <v>2753021.1100000003</v>
      </c>
      <c r="H45" s="516">
        <f t="shared" si="11"/>
        <v>2929020.08</v>
      </c>
      <c r="I45" s="516">
        <f t="shared" si="11"/>
        <v>2018414.1600000001</v>
      </c>
      <c r="J45" s="516">
        <f t="shared" si="11"/>
        <v>3244584.8200000003</v>
      </c>
      <c r="K45" s="516">
        <f t="shared" si="11"/>
        <v>2551646.1</v>
      </c>
      <c r="L45" s="516">
        <f t="shared" si="11"/>
        <v>2584813.8600000003</v>
      </c>
      <c r="M45" s="516">
        <f t="shared" si="11"/>
        <v>2305666.64</v>
      </c>
      <c r="N45" s="517">
        <f t="shared" si="11"/>
        <v>4417533.9799999995</v>
      </c>
      <c r="O45" s="518">
        <f t="shared" ref="O45" si="12">+SUM(O46:O49)</f>
        <v>5079783.0600000005</v>
      </c>
      <c r="P45" s="339">
        <f t="shared" si="3"/>
        <v>33088194.540000007</v>
      </c>
      <c r="Q45" s="504"/>
      <c r="R45" s="504"/>
      <c r="S45" s="504"/>
      <c r="T45" s="504"/>
      <c r="U45" s="504"/>
      <c r="V45" s="504"/>
      <c r="W45" s="504"/>
      <c r="X45" s="262">
        <f t="shared" si="4"/>
        <v>0.99188208699301561</v>
      </c>
      <c r="Y45" s="488"/>
      <c r="Z45" s="488"/>
      <c r="AA45" s="488"/>
      <c r="AB45" s="488"/>
      <c r="AC45" s="488"/>
      <c r="AD45" s="488"/>
      <c r="AE45" s="488"/>
      <c r="AF45" s="488"/>
    </row>
    <row r="46" spans="2:32" ht="15" customHeight="1">
      <c r="B46" s="488"/>
      <c r="C46" s="506" t="str">
        <f>IF(MasterSheet!$A$1=1,MasterSheet!C364,MasterSheet!B364)</f>
        <v>Prihodi od kapitala</v>
      </c>
      <c r="D46" s="507">
        <v>10460.83</v>
      </c>
      <c r="E46" s="508">
        <v>15478.17</v>
      </c>
      <c r="F46" s="508">
        <v>46552.31</v>
      </c>
      <c r="G46" s="508">
        <v>990030.31</v>
      </c>
      <c r="H46" s="508">
        <v>254972.36</v>
      </c>
      <c r="I46" s="508">
        <v>113427.79</v>
      </c>
      <c r="J46" s="508">
        <v>79102.33</v>
      </c>
      <c r="K46" s="508">
        <v>7776.58</v>
      </c>
      <c r="L46" s="508">
        <v>31884.59</v>
      </c>
      <c r="M46" s="508">
        <v>74968.41</v>
      </c>
      <c r="N46" s="509">
        <v>2100781.7799999998</v>
      </c>
      <c r="O46" s="510">
        <v>2309437.86</v>
      </c>
      <c r="P46" s="511">
        <f t="shared" si="3"/>
        <v>6034873.3200000003</v>
      </c>
      <c r="Q46" s="504"/>
      <c r="R46" s="504"/>
      <c r="S46" s="504"/>
      <c r="T46" s="504"/>
      <c r="U46" s="504"/>
      <c r="V46" s="504"/>
      <c r="W46" s="504"/>
      <c r="X46" s="513">
        <f t="shared" si="4"/>
        <v>0.18090690128600978</v>
      </c>
      <c r="Y46" s="488"/>
      <c r="Z46" s="488"/>
      <c r="AA46" s="488"/>
      <c r="AB46" s="488"/>
      <c r="AC46" s="488"/>
      <c r="AD46" s="488"/>
      <c r="AE46" s="488"/>
      <c r="AF46" s="488"/>
    </row>
    <row r="47" spans="2:32" ht="15" customHeight="1">
      <c r="B47" s="488"/>
      <c r="C47" s="506" t="str">
        <f>IF(MasterSheet!$A$1=1,MasterSheet!C365,MasterSheet!B365)</f>
        <v>Novčane kazne i oduzete imovinske koristi</v>
      </c>
      <c r="D47" s="507">
        <v>557860.02</v>
      </c>
      <c r="E47" s="508">
        <v>771358.48</v>
      </c>
      <c r="F47" s="508">
        <v>756900.55</v>
      </c>
      <c r="G47" s="508">
        <v>784739.93</v>
      </c>
      <c r="H47" s="508">
        <v>1021420.24</v>
      </c>
      <c r="I47" s="508">
        <v>1082837.3999999999</v>
      </c>
      <c r="J47" s="508">
        <v>1623054.55</v>
      </c>
      <c r="K47" s="508">
        <v>1626229.21</v>
      </c>
      <c r="L47" s="508">
        <v>1195519.1200000001</v>
      </c>
      <c r="M47" s="508">
        <v>922428.98</v>
      </c>
      <c r="N47" s="509">
        <v>869707.83</v>
      </c>
      <c r="O47" s="510">
        <v>1104644.1200000001</v>
      </c>
      <c r="P47" s="511">
        <f t="shared" si="3"/>
        <v>12316700.43</v>
      </c>
      <c r="Q47" s="504"/>
      <c r="R47" s="504"/>
      <c r="S47" s="504"/>
      <c r="T47" s="504"/>
      <c r="U47" s="504"/>
      <c r="V47" s="504"/>
      <c r="W47" s="504"/>
      <c r="X47" s="513">
        <f t="shared" si="4"/>
        <v>0.36921671602865791</v>
      </c>
      <c r="Y47" s="488"/>
      <c r="Z47" s="488"/>
      <c r="AA47" s="488"/>
      <c r="AB47" s="488"/>
      <c r="AC47" s="488"/>
      <c r="AD47" s="488"/>
      <c r="AE47" s="488"/>
      <c r="AF47" s="488"/>
    </row>
    <row r="48" spans="2:32" ht="15" customHeight="1">
      <c r="B48" s="488"/>
      <c r="C48" s="506" t="str">
        <f>IF(MasterSheet!$A$1=1,MasterSheet!C366,MasterSheet!B366)</f>
        <v>Prihodi koje organi ostvaruju vršenjem svoje djel.</v>
      </c>
      <c r="D48" s="507">
        <v>90759.26</v>
      </c>
      <c r="E48" s="508">
        <v>122800.12</v>
      </c>
      <c r="F48" s="508">
        <v>196877.73</v>
      </c>
      <c r="G48" s="508">
        <v>166320.09</v>
      </c>
      <c r="H48" s="508">
        <v>148764.79</v>
      </c>
      <c r="I48" s="508">
        <v>212250.31</v>
      </c>
      <c r="J48" s="508">
        <v>254772.72</v>
      </c>
      <c r="K48" s="508">
        <v>246804.62</v>
      </c>
      <c r="L48" s="508">
        <v>170264.2</v>
      </c>
      <c r="M48" s="508">
        <v>179854.41</v>
      </c>
      <c r="N48" s="509">
        <v>146602.04999999999</v>
      </c>
      <c r="O48" s="510">
        <v>243339.96</v>
      </c>
      <c r="P48" s="511">
        <f t="shared" si="3"/>
        <v>2179410.2600000002</v>
      </c>
      <c r="Q48" s="504"/>
      <c r="R48" s="504"/>
      <c r="S48" s="504"/>
      <c r="T48" s="504"/>
      <c r="U48" s="504"/>
      <c r="V48" s="504"/>
      <c r="W48" s="504"/>
      <c r="X48" s="513">
        <f t="shared" si="4"/>
        <v>6.5332002158338093E-2</v>
      </c>
      <c r="Y48" s="488"/>
      <c r="Z48" s="488"/>
      <c r="AA48" s="488"/>
      <c r="AB48" s="488"/>
      <c r="AC48" s="488"/>
      <c r="AD48" s="488"/>
      <c r="AE48" s="488"/>
      <c r="AF48" s="488"/>
    </row>
    <row r="49" spans="1:32">
      <c r="B49" s="488"/>
      <c r="C49" s="506" t="str">
        <f>IF(MasterSheet!$A$1=1,MasterSheet!C367,MasterSheet!B367)</f>
        <v>Ostali prihodi</v>
      </c>
      <c r="D49" s="507">
        <v>1582092.97</v>
      </c>
      <c r="E49" s="508">
        <v>467166.58</v>
      </c>
      <c r="F49" s="508">
        <v>585403.71</v>
      </c>
      <c r="G49" s="508">
        <v>811930.78</v>
      </c>
      <c r="H49" s="508">
        <v>1503862.69</v>
      </c>
      <c r="I49" s="508">
        <v>609898.66</v>
      </c>
      <c r="J49" s="508">
        <v>1287655.22</v>
      </c>
      <c r="K49" s="508">
        <v>670835.68999999994</v>
      </c>
      <c r="L49" s="508">
        <v>1187145.95</v>
      </c>
      <c r="M49" s="508">
        <v>1128414.8400000001</v>
      </c>
      <c r="N49" s="509">
        <v>1300442.32</v>
      </c>
      <c r="O49" s="510">
        <v>1422361.12</v>
      </c>
      <c r="P49" s="511">
        <f t="shared" si="3"/>
        <v>12557210.530000001</v>
      </c>
      <c r="Q49" s="504"/>
      <c r="R49" s="504"/>
      <c r="S49" s="504"/>
      <c r="T49" s="504"/>
      <c r="U49" s="504"/>
      <c r="V49" s="504"/>
      <c r="W49" s="504"/>
      <c r="X49" s="513">
        <f t="shared" si="4"/>
        <v>0.37642646752000963</v>
      </c>
      <c r="Y49" s="488"/>
      <c r="Z49" s="488"/>
      <c r="AA49" s="488"/>
      <c r="AB49" s="488"/>
      <c r="AC49" s="488"/>
      <c r="AD49" s="488"/>
      <c r="AE49" s="488"/>
      <c r="AF49" s="488"/>
    </row>
    <row r="50" spans="1:32" ht="26.25" thickBot="1">
      <c r="B50" s="488"/>
      <c r="C50" s="525" t="str">
        <f>IF(MasterSheet!$A$1=1,MasterSheet!C368,MasterSheet!B368)</f>
        <v>Primici od otplate kredita i sredstva prenijeta iz prethodne godine</v>
      </c>
      <c r="D50" s="245">
        <v>206949.9</v>
      </c>
      <c r="E50" s="246">
        <v>235107.79</v>
      </c>
      <c r="F50" s="246">
        <v>299748.19</v>
      </c>
      <c r="G50" s="246">
        <v>298965.78000000003</v>
      </c>
      <c r="H50" s="246">
        <v>208873.82</v>
      </c>
      <c r="I50" s="246">
        <v>328481.19</v>
      </c>
      <c r="J50" s="246">
        <v>3470663.22</v>
      </c>
      <c r="K50" s="246">
        <v>586185.69999999995</v>
      </c>
      <c r="L50" s="246">
        <v>401482.51</v>
      </c>
      <c r="M50" s="327">
        <v>614629.94999999995</v>
      </c>
      <c r="N50" s="249">
        <v>171580.47</v>
      </c>
      <c r="O50" s="487">
        <v>741824.54</v>
      </c>
      <c r="P50" s="250">
        <f>SUM(D50:O50)</f>
        <v>7564493.0600000005</v>
      </c>
      <c r="Q50" s="504"/>
      <c r="R50" s="526"/>
      <c r="S50" s="526"/>
      <c r="T50" s="526"/>
      <c r="U50" s="504"/>
      <c r="V50" s="504"/>
      <c r="W50" s="504"/>
      <c r="X50" s="251">
        <f t="shared" si="4"/>
        <v>0.22676018645642859</v>
      </c>
      <c r="Y50" s="488"/>
      <c r="Z50" s="488"/>
      <c r="AA50" s="488"/>
      <c r="AB50" s="488"/>
      <c r="AC50" s="488"/>
      <c r="AD50" s="488"/>
      <c r="AE50" s="488"/>
      <c r="AF50" s="488"/>
    </row>
    <row r="51" spans="1:32" ht="14.25" thickTop="1" thickBot="1">
      <c r="B51" s="488"/>
      <c r="C51" s="514" t="str">
        <f>IF(MasterSheet!$A$1=1,MasterSheet!C413,MasterSheet!B413)</f>
        <v>Donacije</v>
      </c>
      <c r="D51" s="253">
        <v>165851.26</v>
      </c>
      <c r="E51" s="254">
        <v>158391.43</v>
      </c>
      <c r="F51" s="254">
        <v>618410.81000000006</v>
      </c>
      <c r="G51" s="254">
        <v>144375.03</v>
      </c>
      <c r="H51" s="254">
        <v>330184.13</v>
      </c>
      <c r="I51" s="254">
        <v>460006.45</v>
      </c>
      <c r="J51" s="254">
        <v>487486.95</v>
      </c>
      <c r="K51" s="254">
        <v>225390.9</v>
      </c>
      <c r="L51" s="254">
        <v>762489.43</v>
      </c>
      <c r="M51" s="254">
        <v>1447115.81</v>
      </c>
      <c r="N51" s="340">
        <v>707499.84</v>
      </c>
      <c r="O51" s="398">
        <v>1108249.5</v>
      </c>
      <c r="P51" s="258">
        <f>SUM(D51:O51)</f>
        <v>6615451.54</v>
      </c>
      <c r="Q51" s="527"/>
      <c r="R51" s="527"/>
      <c r="S51" s="527"/>
      <c r="T51" s="527"/>
      <c r="U51" s="527"/>
      <c r="V51" s="527"/>
      <c r="W51" s="527"/>
      <c r="X51" s="259">
        <f>+P51/$D$14*100</f>
        <v>0.1983108468479271</v>
      </c>
      <c r="Y51" s="488"/>
      <c r="Z51" s="488"/>
      <c r="AA51" s="488"/>
      <c r="AB51" s="488"/>
      <c r="AC51" s="488"/>
      <c r="AD51" s="488"/>
      <c r="AE51" s="488"/>
      <c r="AF51" s="488"/>
    </row>
    <row r="52" spans="1:32" ht="14.25" thickTop="1" thickBot="1">
      <c r="B52" s="488"/>
      <c r="C52" s="493" t="str">
        <f>IF(MasterSheet!$A$1=1,MasterSheet!C369,MasterSheet!B369)</f>
        <v>Izdaci</v>
      </c>
      <c r="D52" s="528">
        <f>+D54+D69+D75+SUM(D82:D86)</f>
        <v>80787092.580000043</v>
      </c>
      <c r="E52" s="528">
        <f t="shared" ref="E52:O52" si="13">+E54+E69+E75+SUM(E82:E86)</f>
        <v>94636968.895214215</v>
      </c>
      <c r="F52" s="528">
        <f t="shared" si="13"/>
        <v>103836205.75428365</v>
      </c>
      <c r="G52" s="528">
        <f t="shared" si="13"/>
        <v>119840650.6732593</v>
      </c>
      <c r="H52" s="528">
        <f t="shared" si="13"/>
        <v>95542228.430167079</v>
      </c>
      <c r="I52" s="528">
        <f t="shared" si="13"/>
        <v>100169319.59338963</v>
      </c>
      <c r="J52" s="528">
        <f t="shared" si="13"/>
        <v>160333676.54571453</v>
      </c>
      <c r="K52" s="528">
        <f t="shared" si="13"/>
        <v>141275399.6509023</v>
      </c>
      <c r="L52" s="528">
        <f t="shared" si="13"/>
        <v>118999622.08905505</v>
      </c>
      <c r="M52" s="528">
        <f t="shared" si="13"/>
        <v>99421131.212478533</v>
      </c>
      <c r="N52" s="529">
        <f t="shared" si="13"/>
        <v>98492109.327183157</v>
      </c>
      <c r="O52" s="530">
        <f t="shared" si="13"/>
        <v>150132599.31127015</v>
      </c>
      <c r="P52" s="402">
        <f>SUM(D52:O52)</f>
        <v>1363467004.0629177</v>
      </c>
      <c r="Q52" s="402">
        <v>113729902.45999995</v>
      </c>
      <c r="R52" s="402">
        <f>+P52+Q52</f>
        <v>1477196906.5229177</v>
      </c>
      <c r="S52" s="402">
        <f>+'2013 - plan'!D51+'2013 - plan'!E51+'2013 - plan'!F51</f>
        <v>314350240.43000001</v>
      </c>
      <c r="T52" s="531">
        <f>+R52-S52</f>
        <v>1162846666.0929177</v>
      </c>
      <c r="U52" s="504"/>
      <c r="V52" s="504"/>
      <c r="W52" s="504">
        <f>286.98-30.35</f>
        <v>256.63</v>
      </c>
      <c r="X52" s="497">
        <f t="shared" si="4"/>
        <v>40.872538267421618</v>
      </c>
      <c r="Y52" s="488"/>
      <c r="Z52" s="488"/>
      <c r="AA52" s="488"/>
      <c r="AB52" s="488"/>
      <c r="AC52" s="488"/>
      <c r="AD52" s="488"/>
      <c r="AE52" s="488"/>
      <c r="AF52" s="488"/>
    </row>
    <row r="53" spans="1:32" ht="14.25" thickTop="1" thickBot="1">
      <c r="B53" s="488"/>
      <c r="C53" s="493" t="str">
        <f>IF(MasterSheet!$A$1=1,MasterSheet!C370,MasterSheet!B370)</f>
        <v>Tekuća budžetska potrošnja</v>
      </c>
      <c r="D53" s="528">
        <f>+D52-D82</f>
        <v>80649014.770000041</v>
      </c>
      <c r="E53" s="528">
        <f t="shared" ref="E53:O53" si="14">+E52-E82</f>
        <v>92628903.875214219</v>
      </c>
      <c r="F53" s="528">
        <f t="shared" si="14"/>
        <v>99413964.504283652</v>
      </c>
      <c r="G53" s="528">
        <f t="shared" si="14"/>
        <v>115642978.0032593</v>
      </c>
      <c r="H53" s="528">
        <f t="shared" si="14"/>
        <v>91305310.990167081</v>
      </c>
      <c r="I53" s="528">
        <f t="shared" si="14"/>
        <v>95463164.173389629</v>
      </c>
      <c r="J53" s="528">
        <f t="shared" si="14"/>
        <v>155809152.97571453</v>
      </c>
      <c r="K53" s="528">
        <f t="shared" si="14"/>
        <v>137059082.16090229</v>
      </c>
      <c r="L53" s="528">
        <f t="shared" si="14"/>
        <v>115058265.51905505</v>
      </c>
      <c r="M53" s="528">
        <f t="shared" si="14"/>
        <v>93445810.542478532</v>
      </c>
      <c r="N53" s="529">
        <f t="shared" si="14"/>
        <v>92446263.057183161</v>
      </c>
      <c r="O53" s="530">
        <f t="shared" si="14"/>
        <v>132759590.63127014</v>
      </c>
      <c r="P53" s="402">
        <f>SUM(D53:O53)</f>
        <v>1301681501.2029178</v>
      </c>
      <c r="Q53" s="402">
        <v>109307661.20999995</v>
      </c>
      <c r="R53" s="402">
        <f t="shared" ref="R53:R85" si="15">+P53+Q53</f>
        <v>1410989162.4129179</v>
      </c>
      <c r="S53" s="402">
        <f>+'2013 - plan'!D52+'2013 - plan'!E52+'2013 - plan'!F52</f>
        <v>297940490.42000002</v>
      </c>
      <c r="T53" s="531">
        <f t="shared" ref="T53:T84" si="16">+R53-S53</f>
        <v>1113048671.9929178</v>
      </c>
      <c r="U53" s="504"/>
      <c r="V53" s="504"/>
      <c r="W53" s="504"/>
      <c r="X53" s="497">
        <f t="shared" si="4"/>
        <v>39.020399328604512</v>
      </c>
      <c r="Y53" s="488"/>
      <c r="Z53" s="488"/>
      <c r="AA53" s="488"/>
      <c r="AB53" s="488"/>
      <c r="AC53" s="488"/>
      <c r="AD53" s="488"/>
      <c r="AE53" s="488"/>
      <c r="AF53" s="488"/>
    </row>
    <row r="54" spans="1:32" ht="13.5" thickTop="1">
      <c r="B54" s="488"/>
      <c r="C54" s="514" t="str">
        <f>IF(MasterSheet!$A$1=1,MasterSheet!C371,MasterSheet!B371)</f>
        <v>Tekući izdaci</v>
      </c>
      <c r="D54" s="459">
        <f>+D55+SUM(D61:D68)</f>
        <v>37573938.270000026</v>
      </c>
      <c r="E54" s="256">
        <f t="shared" ref="E54:O54" si="17">+E55+SUM(E61:E68)</f>
        <v>43014426.985214241</v>
      </c>
      <c r="F54" s="256">
        <f t="shared" si="17"/>
        <v>48974523.46428369</v>
      </c>
      <c r="G54" s="256">
        <f t="shared" si="17"/>
        <v>68150209.093259305</v>
      </c>
      <c r="H54" s="256">
        <f t="shared" si="17"/>
        <v>42630869.490167111</v>
      </c>
      <c r="I54" s="256">
        <f t="shared" si="17"/>
        <v>45218002.023389645</v>
      </c>
      <c r="J54" s="256">
        <f t="shared" si="17"/>
        <v>47862393.715714544</v>
      </c>
      <c r="K54" s="256">
        <f t="shared" si="17"/>
        <v>44676377.480902314</v>
      </c>
      <c r="L54" s="256">
        <f t="shared" si="17"/>
        <v>64133040.449055046</v>
      </c>
      <c r="M54" s="256">
        <f t="shared" si="17"/>
        <v>45540223.212478548</v>
      </c>
      <c r="N54" s="532">
        <f t="shared" si="17"/>
        <v>43367886.817183137</v>
      </c>
      <c r="O54" s="398">
        <f t="shared" si="17"/>
        <v>69145757.011270151</v>
      </c>
      <c r="P54" s="407">
        <f t="shared" si="3"/>
        <v>600287648.01291776</v>
      </c>
      <c r="Q54" s="258">
        <v>56546402.069999963</v>
      </c>
      <c r="R54" s="258">
        <f t="shared" si="15"/>
        <v>656834050.08291769</v>
      </c>
      <c r="S54" s="258">
        <f>+'2013 - plan'!D53+'2013 - plan'!E53+'2013 - plan'!F53</f>
        <v>147883117.22</v>
      </c>
      <c r="T54" s="531">
        <f t="shared" si="16"/>
        <v>508950932.86291766</v>
      </c>
      <c r="U54" s="504"/>
      <c r="V54" s="504"/>
      <c r="W54" s="504"/>
      <c r="X54" s="259">
        <f t="shared" si="4"/>
        <v>17.994773464819623</v>
      </c>
      <c r="Y54" s="488"/>
      <c r="Z54" s="488"/>
      <c r="AA54" s="488"/>
      <c r="AB54" s="488"/>
      <c r="AC54" s="488"/>
      <c r="AD54" s="488"/>
      <c r="AE54" s="488"/>
      <c r="AF54" s="488"/>
    </row>
    <row r="55" spans="1:32" s="533" customFormat="1">
      <c r="A55" s="488"/>
      <c r="C55" s="534" t="str">
        <f>IF(MasterSheet!$A$1=1,MasterSheet!C372,MasterSheet!B372)</f>
        <v>Bruto zarade i doprinosi na teret poslodavca</v>
      </c>
      <c r="D55" s="253">
        <f>+SUM(D56:D60)</f>
        <v>30971376.560000025</v>
      </c>
      <c r="E55" s="254">
        <f t="shared" ref="E55:O55" si="18">+SUM(E56:E60)</f>
        <v>31353989.735214241</v>
      </c>
      <c r="F55" s="254">
        <f t="shared" si="18"/>
        <v>30531562.024283696</v>
      </c>
      <c r="G55" s="254">
        <f t="shared" si="18"/>
        <v>30639324.873259313</v>
      </c>
      <c r="H55" s="254">
        <f t="shared" si="18"/>
        <v>31057891.640167106</v>
      </c>
      <c r="I55" s="254">
        <f t="shared" si="18"/>
        <v>31115366.173389643</v>
      </c>
      <c r="J55" s="254">
        <f t="shared" si="18"/>
        <v>30263010.735714547</v>
      </c>
      <c r="K55" s="254">
        <f t="shared" si="18"/>
        <v>29273565.850902315</v>
      </c>
      <c r="L55" s="254">
        <f t="shared" si="18"/>
        <v>30768568.179055046</v>
      </c>
      <c r="M55" s="254">
        <f t="shared" si="18"/>
        <v>30657915.362478547</v>
      </c>
      <c r="N55" s="340">
        <f t="shared" si="18"/>
        <v>30671493.937183138</v>
      </c>
      <c r="O55" s="398">
        <f t="shared" si="18"/>
        <v>28824443.10127015</v>
      </c>
      <c r="P55" s="407">
        <f t="shared" si="3"/>
        <v>366128508.17291778</v>
      </c>
      <c r="Q55" s="339">
        <v>38511985.289999969</v>
      </c>
      <c r="R55" s="339">
        <f t="shared" si="15"/>
        <v>404640493.46291775</v>
      </c>
      <c r="S55" s="339">
        <f>+'2013 - plan'!D54+'2013 - plan'!E54+'2013 - plan'!F54</f>
        <v>93032152.929999992</v>
      </c>
      <c r="T55" s="535">
        <f t="shared" si="16"/>
        <v>311608340.53291774</v>
      </c>
      <c r="U55" s="536"/>
      <c r="V55" s="536"/>
      <c r="W55" s="536"/>
      <c r="X55" s="262">
        <f t="shared" si="4"/>
        <v>10.97540418396588</v>
      </c>
      <c r="Z55" s="488"/>
      <c r="AA55" s="488"/>
      <c r="AB55" s="488"/>
      <c r="AC55" s="488"/>
      <c r="AD55" s="488"/>
      <c r="AE55" s="488"/>
      <c r="AF55" s="488"/>
    </row>
    <row r="56" spans="1:32">
      <c r="B56" s="488"/>
      <c r="C56" s="506" t="str">
        <f>IF(MasterSheet!$A$1=1,MasterSheet!C373,MasterSheet!B373)</f>
        <v>Neto zarade</v>
      </c>
      <c r="D56" s="507">
        <v>18758147.750000022</v>
      </c>
      <c r="E56" s="508">
        <v>18989881.539999992</v>
      </c>
      <c r="F56" s="508">
        <v>18491769.340000011</v>
      </c>
      <c r="G56" s="508">
        <v>18557037.069999985</v>
      </c>
      <c r="H56" s="508">
        <v>18810546.539999988</v>
      </c>
      <c r="I56" s="508">
        <v>18845356.610000011</v>
      </c>
      <c r="J56" s="508">
        <v>18329118.360000011</v>
      </c>
      <c r="K56" s="508">
        <v>17729850.41</v>
      </c>
      <c r="L56" s="508">
        <v>18635314.670000039</v>
      </c>
      <c r="M56" s="508">
        <v>18568296.600000001</v>
      </c>
      <c r="N56" s="509">
        <v>18576520.609999999</v>
      </c>
      <c r="O56" s="537">
        <v>17457834.379999995</v>
      </c>
      <c r="P56" s="404">
        <f t="shared" si="3"/>
        <v>221749673.88000005</v>
      </c>
      <c r="Q56" s="408">
        <v>22436323.329999987</v>
      </c>
      <c r="R56" s="408">
        <f t="shared" si="15"/>
        <v>244185997.21000004</v>
      </c>
      <c r="S56" s="408">
        <f>+'2013 - plan'!D55+'2013 - plan'!E55+'2013 - plan'!F55</f>
        <v>55374640.199999996</v>
      </c>
      <c r="T56" s="531">
        <f t="shared" si="16"/>
        <v>188811357.01000005</v>
      </c>
      <c r="U56" s="504"/>
      <c r="V56" s="504"/>
      <c r="W56" s="504"/>
      <c r="X56" s="538">
        <f t="shared" si="4"/>
        <v>6.6473717401600778</v>
      </c>
      <c r="Y56" s="488"/>
      <c r="Z56" s="488"/>
      <c r="AA56" s="488"/>
      <c r="AB56" s="488"/>
      <c r="AC56" s="488"/>
      <c r="AD56" s="488"/>
      <c r="AE56" s="488"/>
      <c r="AF56" s="488"/>
    </row>
    <row r="57" spans="1:32">
      <c r="B57" s="488"/>
      <c r="C57" s="506" t="str">
        <f>IF(MasterSheet!$A$1=1,MasterSheet!C374,MasterSheet!B374)</f>
        <v>Porez na zarade</v>
      </c>
      <c r="D57" s="507">
        <v>2431094.8300000005</v>
      </c>
      <c r="E57" s="508">
        <v>2461128.0095182303</v>
      </c>
      <c r="F57" s="508">
        <v>2396571.6359189297</v>
      </c>
      <c r="G57" s="508">
        <v>2405030.4690128728</v>
      </c>
      <c r="H57" s="508">
        <v>2437885.8217954016</v>
      </c>
      <c r="I57" s="508">
        <v>2442397.2790211816</v>
      </c>
      <c r="J57" s="508">
        <v>2375491.7317704814</v>
      </c>
      <c r="K57" s="508">
        <v>2297825.3632970951</v>
      </c>
      <c r="L57" s="508">
        <v>2415175.4082254847</v>
      </c>
      <c r="M57" s="508">
        <v>2406489.7274394557</v>
      </c>
      <c r="N57" s="509">
        <v>2407555.5761820567</v>
      </c>
      <c r="O57" s="537">
        <v>2262571.5219784533</v>
      </c>
      <c r="P57" s="404">
        <f t="shared" si="3"/>
        <v>28739217.374159642</v>
      </c>
      <c r="Q57" s="408">
        <v>3349675.4600000009</v>
      </c>
      <c r="R57" s="408">
        <f t="shared" si="15"/>
        <v>32088892.834159642</v>
      </c>
      <c r="S57" s="408">
        <f>+'2013 - plan'!D56+'2013 - plan'!E56+'2013 - plan'!F56</f>
        <v>7481364.75</v>
      </c>
      <c r="T57" s="531">
        <f t="shared" si="16"/>
        <v>24607528.084159642</v>
      </c>
      <c r="U57" s="504"/>
      <c r="V57" s="504"/>
      <c r="W57" s="504"/>
      <c r="X57" s="538">
        <f t="shared" si="4"/>
        <v>0.86151315609459644</v>
      </c>
      <c r="Y57" s="488"/>
      <c r="Z57" s="488"/>
      <c r="AA57" s="488"/>
      <c r="AB57" s="488"/>
      <c r="AC57" s="488"/>
      <c r="AD57" s="488"/>
      <c r="AE57" s="488"/>
      <c r="AF57" s="488"/>
    </row>
    <row r="58" spans="1:32">
      <c r="B58" s="488"/>
      <c r="C58" s="506" t="str">
        <f>IF(MasterSheet!$A$1=1,MasterSheet!C375,MasterSheet!B375)</f>
        <v>Doprinosi na teret zaposlenog</v>
      </c>
      <c r="D58" s="507">
        <v>6343908.759999997</v>
      </c>
      <c r="E58" s="508">
        <v>6422279.9318215214</v>
      </c>
      <c r="F58" s="508">
        <v>6253820.9564921083</v>
      </c>
      <c r="G58" s="508">
        <v>6275894.1659374358</v>
      </c>
      <c r="H58" s="508">
        <v>6361629.7603527196</v>
      </c>
      <c r="I58" s="508">
        <v>6373402.3463752046</v>
      </c>
      <c r="J58" s="508">
        <v>6198813.2344826367</v>
      </c>
      <c r="K58" s="508">
        <v>5996143.9065585993</v>
      </c>
      <c r="L58" s="508">
        <v>6302367.2462740652</v>
      </c>
      <c r="M58" s="508">
        <v>6279702.0808740575</v>
      </c>
      <c r="N58" s="509">
        <v>6282483.3986127088</v>
      </c>
      <c r="O58" s="537">
        <v>5904149.4890619433</v>
      </c>
      <c r="P58" s="404">
        <f t="shared" si="3"/>
        <v>74994595.276842996</v>
      </c>
      <c r="Q58" s="408">
        <v>8045126.2099999925</v>
      </c>
      <c r="R58" s="408">
        <f t="shared" si="15"/>
        <v>83039721.48684299</v>
      </c>
      <c r="S58" s="408">
        <f>+'2013 - plan'!D57+'2013 - plan'!E57+'2013 - plan'!F57</f>
        <v>19000048.140000001</v>
      </c>
      <c r="T58" s="531">
        <f t="shared" si="16"/>
        <v>64039673.346842989</v>
      </c>
      <c r="U58" s="504"/>
      <c r="V58" s="504"/>
      <c r="W58" s="504"/>
      <c r="X58" s="538">
        <f t="shared" si="4"/>
        <v>2.248106816056926</v>
      </c>
      <c r="Y58" s="488"/>
      <c r="Z58" s="488"/>
      <c r="AA58" s="488"/>
      <c r="AB58" s="488"/>
      <c r="AC58" s="488"/>
      <c r="AD58" s="488"/>
      <c r="AE58" s="488"/>
      <c r="AF58" s="488"/>
    </row>
    <row r="59" spans="1:32">
      <c r="B59" s="488"/>
      <c r="C59" s="506" t="str">
        <f>IF(MasterSheet!$A$1=1,MasterSheet!C376,MasterSheet!B376)</f>
        <v>Doprinosi na teret poslodavca</v>
      </c>
      <c r="D59" s="507">
        <v>3322321.01</v>
      </c>
      <c r="E59" s="508">
        <v>3363364.1902491706</v>
      </c>
      <c r="F59" s="508">
        <v>3275141.8002001713</v>
      </c>
      <c r="G59" s="508">
        <v>3286701.5956311421</v>
      </c>
      <c r="H59" s="508">
        <v>3331601.5425576703</v>
      </c>
      <c r="I59" s="508">
        <v>3337766.8755352101</v>
      </c>
      <c r="J59" s="508">
        <v>3246334.1175145986</v>
      </c>
      <c r="K59" s="508">
        <v>3140195.6795707638</v>
      </c>
      <c r="L59" s="508">
        <v>3300565.6145395418</v>
      </c>
      <c r="M59" s="508">
        <v>3288695.8102828409</v>
      </c>
      <c r="N59" s="509">
        <v>3290152.3933940087</v>
      </c>
      <c r="O59" s="537">
        <v>3092017.971218626</v>
      </c>
      <c r="P59" s="404">
        <f t="shared" si="3"/>
        <v>39274858.600693747</v>
      </c>
      <c r="Q59" s="408">
        <v>4309106.8499999968</v>
      </c>
      <c r="R59" s="408">
        <f t="shared" si="15"/>
        <v>43583965.450693741</v>
      </c>
      <c r="S59" s="408">
        <f>+'2013 - plan'!D58+'2013 - plan'!E58+'2013 - plan'!F58</f>
        <v>10099422.940000001</v>
      </c>
      <c r="T59" s="531">
        <f t="shared" si="16"/>
        <v>33484542.51069374</v>
      </c>
      <c r="U59" s="504"/>
      <c r="V59" s="504"/>
      <c r="W59" s="504"/>
      <c r="X59" s="538">
        <f t="shared" si="4"/>
        <v>1.177339206831552</v>
      </c>
      <c r="Y59" s="488"/>
      <c r="Z59" s="488"/>
      <c r="AA59" s="488"/>
      <c r="AB59" s="488"/>
      <c r="AC59" s="488"/>
      <c r="AD59" s="488"/>
      <c r="AE59" s="488"/>
      <c r="AF59" s="488"/>
    </row>
    <row r="60" spans="1:32">
      <c r="B60" s="488"/>
      <c r="C60" s="506" t="str">
        <f>IF(MasterSheet!$A$1=1,MasterSheet!C377,MasterSheet!B377)</f>
        <v>Prirez na porez na dohodak</v>
      </c>
      <c r="D60" s="507">
        <v>115904.21000000004</v>
      </c>
      <c r="E60" s="508">
        <v>117336.06362532679</v>
      </c>
      <c r="F60" s="508">
        <v>114258.29167247713</v>
      </c>
      <c r="G60" s="508">
        <v>114661.57267788133</v>
      </c>
      <c r="H60" s="508">
        <v>116227.97546132613</v>
      </c>
      <c r="I60" s="508">
        <v>116443.06245803653</v>
      </c>
      <c r="J60" s="508">
        <v>113253.29194681787</v>
      </c>
      <c r="K60" s="508">
        <v>109550.49147585611</v>
      </c>
      <c r="L60" s="508">
        <v>115145.24001591593</v>
      </c>
      <c r="M60" s="508">
        <v>114731.14388219296</v>
      </c>
      <c r="N60" s="509">
        <v>114781.95899436639</v>
      </c>
      <c r="O60" s="537">
        <v>107869.73901113117</v>
      </c>
      <c r="P60" s="404">
        <f t="shared" si="3"/>
        <v>1370163.0412213285</v>
      </c>
      <c r="Q60" s="408">
        <v>371753.44000000012</v>
      </c>
      <c r="R60" s="408">
        <f t="shared" si="15"/>
        <v>1741916.4812213287</v>
      </c>
      <c r="S60" s="408">
        <f>+'2013 - plan'!D59+'2013 - plan'!E59+'2013 - plan'!F59</f>
        <v>1076676.8999999999</v>
      </c>
      <c r="T60" s="531">
        <f t="shared" si="16"/>
        <v>665239.58122132882</v>
      </c>
      <c r="U60" s="504"/>
      <c r="V60" s="504"/>
      <c r="W60" s="504"/>
      <c r="X60" s="538">
        <f t="shared" si="4"/>
        <v>4.1073264822726357E-2</v>
      </c>
      <c r="Y60" s="488"/>
      <c r="Z60" s="488"/>
      <c r="AA60" s="488"/>
      <c r="AB60" s="488"/>
      <c r="AC60" s="488"/>
      <c r="AD60" s="488"/>
      <c r="AE60" s="488"/>
      <c r="AF60" s="488"/>
    </row>
    <row r="61" spans="1:32">
      <c r="B61" s="488"/>
      <c r="C61" s="514" t="str">
        <f>IF(MasterSheet!$A$1=1,MasterSheet!C378,MasterSheet!B378)</f>
        <v>Ostala lična primanja</v>
      </c>
      <c r="D61" s="253">
        <v>1584140</v>
      </c>
      <c r="E61" s="254">
        <v>494224.27999999997</v>
      </c>
      <c r="F61" s="254">
        <v>1196100.06</v>
      </c>
      <c r="G61" s="254">
        <v>1826112.77</v>
      </c>
      <c r="H61" s="254">
        <v>404313.79000000004</v>
      </c>
      <c r="I61" s="254">
        <v>460176.88999999996</v>
      </c>
      <c r="J61" s="254">
        <v>807342.56</v>
      </c>
      <c r="K61" s="254">
        <v>1160483.8899999999</v>
      </c>
      <c r="L61" s="254">
        <v>545300.31000000006</v>
      </c>
      <c r="M61" s="254">
        <v>1094017.3799999999</v>
      </c>
      <c r="N61" s="340">
        <v>577957.55999999982</v>
      </c>
      <c r="O61" s="398">
        <v>1871989.5500000003</v>
      </c>
      <c r="P61" s="404">
        <f t="shared" si="3"/>
        <v>12022159.040000001</v>
      </c>
      <c r="Q61" s="258">
        <v>1196100.06</v>
      </c>
      <c r="R61" s="258">
        <f t="shared" si="15"/>
        <v>13218259.100000001</v>
      </c>
      <c r="S61" s="258">
        <f>+'2013 - plan'!D60+'2013 - plan'!E60+'2013 - plan'!F60</f>
        <v>2618575.59</v>
      </c>
      <c r="T61" s="531">
        <f t="shared" si="16"/>
        <v>10599683.510000002</v>
      </c>
      <c r="U61" s="504"/>
      <c r="V61" s="504"/>
      <c r="W61" s="504"/>
      <c r="X61" s="259">
        <f t="shared" si="4"/>
        <v>0.36038727299979023</v>
      </c>
      <c r="Y61" s="488"/>
      <c r="Z61" s="488"/>
      <c r="AA61" s="488"/>
      <c r="AB61" s="488"/>
      <c r="AC61" s="488"/>
      <c r="AD61" s="488"/>
      <c r="AE61" s="488"/>
      <c r="AF61" s="488"/>
    </row>
    <row r="62" spans="1:32" s="533" customFormat="1">
      <c r="A62" s="488"/>
      <c r="C62" s="534" t="str">
        <f>IF(MasterSheet!$A$1=1,MasterSheet!C379,MasterSheet!B379)</f>
        <v>Rashodi za materijal i usluge</v>
      </c>
      <c r="D62" s="253">
        <v>3531081.3900000006</v>
      </c>
      <c r="E62" s="254">
        <v>6333793.1499999994</v>
      </c>
      <c r="F62" s="254">
        <v>8056211.3999999994</v>
      </c>
      <c r="G62" s="254">
        <v>7472942.379999999</v>
      </c>
      <c r="H62" s="254">
        <v>5576331.6899999995</v>
      </c>
      <c r="I62" s="254">
        <v>6088193.9900000002</v>
      </c>
      <c r="J62" s="254">
        <v>7142342.3100000024</v>
      </c>
      <c r="K62" s="254">
        <v>6438108.8899999987</v>
      </c>
      <c r="L62" s="254">
        <v>6990346.7500000009</v>
      </c>
      <c r="M62" s="254">
        <v>8388040.5299999993</v>
      </c>
      <c r="N62" s="340">
        <v>6479338.3399999999</v>
      </c>
      <c r="O62" s="398">
        <v>17945610.02</v>
      </c>
      <c r="P62" s="404">
        <f t="shared" si="3"/>
        <v>90442340.840000004</v>
      </c>
      <c r="Q62" s="339">
        <v>7976181.8499999987</v>
      </c>
      <c r="R62" s="339">
        <f t="shared" si="15"/>
        <v>98418522.689999998</v>
      </c>
      <c r="S62" s="339">
        <f>+'2013 - plan'!D61+'2013 - plan'!E61+'2013 - plan'!F61</f>
        <v>20551690.990000002</v>
      </c>
      <c r="T62" s="535">
        <f t="shared" si="16"/>
        <v>77866831.699999988</v>
      </c>
      <c r="U62" s="536"/>
      <c r="V62" s="536"/>
      <c r="W62" s="536"/>
      <c r="X62" s="262">
        <f t="shared" si="4"/>
        <v>2.7111826145867686</v>
      </c>
      <c r="Z62" s="488"/>
      <c r="AA62" s="488"/>
      <c r="AB62" s="488"/>
      <c r="AC62" s="488"/>
      <c r="AD62" s="488"/>
      <c r="AE62" s="488"/>
      <c r="AF62" s="488"/>
    </row>
    <row r="63" spans="1:32">
      <c r="B63" s="488"/>
      <c r="C63" s="514" t="str">
        <f>IF(MasterSheet!$A$1=1,MasterSheet!C380,MasterSheet!B380)</f>
        <v>Tekuće održavanje</v>
      </c>
      <c r="D63" s="253">
        <v>39615.520000000011</v>
      </c>
      <c r="E63" s="254">
        <v>746518.12000000011</v>
      </c>
      <c r="F63" s="254">
        <v>2188111.64</v>
      </c>
      <c r="G63" s="254">
        <v>860683.32</v>
      </c>
      <c r="H63" s="254">
        <v>1045961.9599999998</v>
      </c>
      <c r="I63" s="254">
        <v>1586588.07</v>
      </c>
      <c r="J63" s="254">
        <v>1708745.73</v>
      </c>
      <c r="K63" s="254">
        <v>2046173.92</v>
      </c>
      <c r="L63" s="254">
        <v>2633936.0100000002</v>
      </c>
      <c r="M63" s="254">
        <v>1316241.6299999999</v>
      </c>
      <c r="N63" s="340">
        <v>1381658.6899999997</v>
      </c>
      <c r="O63" s="398">
        <v>4862251.0299999993</v>
      </c>
      <c r="P63" s="404">
        <f t="shared" si="3"/>
        <v>20416485.639999997</v>
      </c>
      <c r="Q63" s="258">
        <v>2188111.64</v>
      </c>
      <c r="R63" s="258">
        <f t="shared" si="15"/>
        <v>22604597.279999997</v>
      </c>
      <c r="S63" s="258">
        <f>+'2013 - plan'!D62+'2013 - plan'!E62+'2013 - plan'!F62</f>
        <v>5115547.49</v>
      </c>
      <c r="T63" s="531">
        <f t="shared" si="16"/>
        <v>17489049.789999999</v>
      </c>
      <c r="U63" s="504"/>
      <c r="V63" s="504"/>
      <c r="W63" s="504"/>
      <c r="X63" s="259">
        <f t="shared" si="4"/>
        <v>0.61202331125033715</v>
      </c>
      <c r="Y63" s="488"/>
      <c r="Z63" s="488"/>
      <c r="AA63" s="488"/>
      <c r="AB63" s="488"/>
      <c r="AC63" s="488"/>
      <c r="AD63" s="488"/>
      <c r="AE63" s="488"/>
      <c r="AF63" s="488"/>
    </row>
    <row r="64" spans="1:32" s="533" customFormat="1">
      <c r="A64" s="488"/>
      <c r="C64" s="534" t="str">
        <f>IF(MasterSheet!$A$1=1,MasterSheet!C381,MasterSheet!B381)</f>
        <v>Kamate</v>
      </c>
      <c r="D64" s="253">
        <v>553790.51</v>
      </c>
      <c r="E64" s="254">
        <v>1761351.35</v>
      </c>
      <c r="F64" s="254">
        <v>2136902.62</v>
      </c>
      <c r="G64" s="254">
        <v>24827472.130000003</v>
      </c>
      <c r="H64" s="254">
        <v>1125415.9300000002</v>
      </c>
      <c r="I64" s="254">
        <v>3793946.45</v>
      </c>
      <c r="J64" s="254">
        <v>5739215.1899999995</v>
      </c>
      <c r="K64" s="254">
        <v>2103580.09</v>
      </c>
      <c r="L64" s="254">
        <v>18714576.950000003</v>
      </c>
      <c r="M64" s="254">
        <v>797388.29</v>
      </c>
      <c r="N64" s="340">
        <v>749118.78</v>
      </c>
      <c r="O64" s="398">
        <v>5124972.5</v>
      </c>
      <c r="P64" s="404">
        <f t="shared" si="3"/>
        <v>67427730.789999992</v>
      </c>
      <c r="Q64" s="339">
        <v>1881095.87</v>
      </c>
      <c r="R64" s="339">
        <f t="shared" si="15"/>
        <v>69308826.659999996</v>
      </c>
      <c r="S64" s="339">
        <f>+'2013 - plan'!D63+'2013 - plan'!E63+'2013 - plan'!F63</f>
        <v>17600901.84</v>
      </c>
      <c r="T64" s="535">
        <f t="shared" si="16"/>
        <v>51707924.819999993</v>
      </c>
      <c r="U64" s="536"/>
      <c r="V64" s="536"/>
      <c r="W64" s="536"/>
      <c r="X64" s="262">
        <f t="shared" si="4"/>
        <v>2.0212755415330195</v>
      </c>
      <c r="Z64" s="488"/>
      <c r="AA64" s="488"/>
      <c r="AB64" s="488"/>
      <c r="AC64" s="488"/>
      <c r="AD64" s="488"/>
      <c r="AE64" s="488"/>
      <c r="AF64" s="488"/>
    </row>
    <row r="65" spans="2:32">
      <c r="B65" s="488"/>
      <c r="C65" s="514" t="str">
        <f>IF(MasterSheet!$A$1=1,MasterSheet!C382,MasterSheet!B382)</f>
        <v>Renta</v>
      </c>
      <c r="D65" s="253">
        <v>514851.77999999991</v>
      </c>
      <c r="E65" s="254">
        <v>585306.03000000014</v>
      </c>
      <c r="F65" s="254">
        <v>717206.67999999993</v>
      </c>
      <c r="G65" s="254">
        <v>605035.82999999984</v>
      </c>
      <c r="H65" s="254">
        <v>812757.71000000008</v>
      </c>
      <c r="I65" s="254">
        <v>562444.48</v>
      </c>
      <c r="J65" s="254">
        <v>546494.51</v>
      </c>
      <c r="K65" s="254">
        <v>583035.29</v>
      </c>
      <c r="L65" s="254">
        <v>872287.29000000015</v>
      </c>
      <c r="M65" s="254">
        <v>927461.39000000013</v>
      </c>
      <c r="N65" s="340">
        <v>532803.81000000006</v>
      </c>
      <c r="O65" s="398">
        <v>668357.01000000013</v>
      </c>
      <c r="P65" s="404">
        <f t="shared" si="3"/>
        <v>7928041.8100000005</v>
      </c>
      <c r="Q65" s="258">
        <v>717206.67999999993</v>
      </c>
      <c r="R65" s="258">
        <f t="shared" si="15"/>
        <v>8645248.4900000002</v>
      </c>
      <c r="S65" s="258">
        <f>+'2013 - plan'!D64+'2013 - plan'!E64+'2013 - plan'!F64</f>
        <v>1955684.8499999999</v>
      </c>
      <c r="T65" s="531">
        <f t="shared" si="16"/>
        <v>6689563.6400000006</v>
      </c>
      <c r="U65" s="504"/>
      <c r="V65" s="504"/>
      <c r="W65" s="504"/>
      <c r="X65" s="259">
        <f t="shared" si="4"/>
        <v>0.23765825744176985</v>
      </c>
      <c r="Y65" s="488"/>
      <c r="Z65" s="488"/>
      <c r="AA65" s="488"/>
      <c r="AB65" s="488"/>
      <c r="AC65" s="488"/>
      <c r="AD65" s="488"/>
      <c r="AE65" s="488"/>
      <c r="AF65" s="488"/>
    </row>
    <row r="66" spans="2:32">
      <c r="B66" s="488"/>
      <c r="C66" s="514" t="str">
        <f>IF(MasterSheet!$A$1=1,MasterSheet!C383,MasterSheet!B383)</f>
        <v>Subvencije</v>
      </c>
      <c r="D66" s="253">
        <v>77660</v>
      </c>
      <c r="E66" s="254">
        <v>1074577.6400000001</v>
      </c>
      <c r="F66" s="254">
        <v>3164428.4699999997</v>
      </c>
      <c r="G66" s="254">
        <v>667057.27</v>
      </c>
      <c r="H66" s="254">
        <v>1249861.72</v>
      </c>
      <c r="I66" s="254">
        <v>697386.65</v>
      </c>
      <c r="J66" s="254">
        <v>891788.01</v>
      </c>
      <c r="K66" s="254">
        <v>1091929.3799999999</v>
      </c>
      <c r="L66" s="254">
        <v>1191416.1400000001</v>
      </c>
      <c r="M66" s="254">
        <v>1143142.1899999997</v>
      </c>
      <c r="N66" s="340">
        <v>2200265.2000000002</v>
      </c>
      <c r="O66" s="398">
        <v>3977237.29</v>
      </c>
      <c r="P66" s="404">
        <f t="shared" si="3"/>
        <v>17426749.959999997</v>
      </c>
      <c r="Q66" s="258">
        <v>3164428.4699999997</v>
      </c>
      <c r="R66" s="258">
        <f t="shared" si="15"/>
        <v>20591178.429999996</v>
      </c>
      <c r="S66" s="258">
        <f>+'2013 - plan'!D65+'2013 - plan'!E65+'2013 - plan'!F65</f>
        <v>3630000.0300000003</v>
      </c>
      <c r="T66" s="531">
        <f t="shared" si="16"/>
        <v>16961178.399999995</v>
      </c>
      <c r="U66" s="504"/>
      <c r="V66" s="504"/>
      <c r="W66" s="504"/>
      <c r="X66" s="259">
        <f t="shared" si="4"/>
        <v>0.52240025060703243</v>
      </c>
      <c r="Y66" s="488"/>
      <c r="Z66" s="488"/>
      <c r="AA66" s="488"/>
      <c r="AB66" s="488"/>
      <c r="AC66" s="488"/>
      <c r="AD66" s="488"/>
      <c r="AE66" s="488"/>
      <c r="AF66" s="488"/>
    </row>
    <row r="67" spans="2:32" ht="12.75" customHeight="1">
      <c r="B67" s="488"/>
      <c r="C67" s="514" t="str">
        <f>IF(MasterSheet!$A$1=1,MasterSheet!C384,MasterSheet!B384)</f>
        <v>Ostali izdaci</v>
      </c>
      <c r="D67" s="253">
        <v>142118.22999999998</v>
      </c>
      <c r="E67" s="254">
        <v>551221.35000000033</v>
      </c>
      <c r="F67" s="254">
        <v>465083.12000000011</v>
      </c>
      <c r="G67" s="254">
        <v>549708.51</v>
      </c>
      <c r="H67" s="254">
        <v>661108.90000000049</v>
      </c>
      <c r="I67" s="254">
        <v>409954.32000000024</v>
      </c>
      <c r="J67" s="254">
        <v>359462.27000000043</v>
      </c>
      <c r="K67" s="254">
        <v>696491.85000000021</v>
      </c>
      <c r="L67" s="254">
        <v>446082.26999999996</v>
      </c>
      <c r="M67" s="254">
        <v>557683.12</v>
      </c>
      <c r="N67" s="340">
        <v>335191.58999999979</v>
      </c>
      <c r="O67" s="398">
        <v>1104987.4799999995</v>
      </c>
      <c r="P67" s="404">
        <f t="shared" si="3"/>
        <v>6279093.0100000007</v>
      </c>
      <c r="Q67" s="258">
        <v>464637.15000000037</v>
      </c>
      <c r="R67" s="258">
        <f t="shared" si="15"/>
        <v>6743730.1600000011</v>
      </c>
      <c r="S67" s="258">
        <f>+'2013 - plan'!D66+'2013 - plan'!E66+'2013 - plan'!F66</f>
        <v>1440476.4600000007</v>
      </c>
      <c r="T67" s="531">
        <f t="shared" si="16"/>
        <v>5303253.7</v>
      </c>
      <c r="U67" s="504"/>
      <c r="V67" s="504"/>
      <c r="W67" s="504"/>
      <c r="X67" s="259">
        <f t="shared" si="4"/>
        <v>0.18822785485176416</v>
      </c>
      <c r="Y67" s="488"/>
      <c r="Z67" s="488"/>
      <c r="AA67" s="488"/>
      <c r="AB67" s="488"/>
      <c r="AC67" s="488"/>
      <c r="AD67" s="488"/>
      <c r="AE67" s="488"/>
      <c r="AF67" s="488"/>
    </row>
    <row r="68" spans="2:32" ht="12.75" customHeight="1">
      <c r="B68" s="488"/>
      <c r="C68" s="514" t="str">
        <f>IF(MasterSheet!$A$1=1,MasterSheet!C385,MasterSheet!B385)</f>
        <v>Kapitalni izdaci u tekućem budžetu</v>
      </c>
      <c r="D68" s="253">
        <v>159304.27999999997</v>
      </c>
      <c r="E68" s="254">
        <v>113445.33000000002</v>
      </c>
      <c r="F68" s="254">
        <v>518917.45</v>
      </c>
      <c r="G68" s="254">
        <v>701872.01</v>
      </c>
      <c r="H68" s="254">
        <v>697226.14999999991</v>
      </c>
      <c r="I68" s="254">
        <v>503945</v>
      </c>
      <c r="J68" s="254">
        <v>403992.39999999997</v>
      </c>
      <c r="K68" s="254">
        <v>1283008.3199999998</v>
      </c>
      <c r="L68" s="254">
        <v>1970526.5499999998</v>
      </c>
      <c r="M68" s="254">
        <v>658333.31999999983</v>
      </c>
      <c r="N68" s="340">
        <v>440058.91000000003</v>
      </c>
      <c r="O68" s="398">
        <v>4765909.0300000012</v>
      </c>
      <c r="P68" s="404">
        <f>SUM(D68:O68)</f>
        <v>12216538.75</v>
      </c>
      <c r="Q68" s="258">
        <v>446655.06</v>
      </c>
      <c r="R68" s="258">
        <f t="shared" si="15"/>
        <v>12663193.810000001</v>
      </c>
      <c r="S68" s="258">
        <f>+'2013 - plan'!D67+'2013 - plan'!E67+'2013 - plan'!F67</f>
        <v>1938087.0399999996</v>
      </c>
      <c r="T68" s="531">
        <f t="shared" si="16"/>
        <v>10725106.770000001</v>
      </c>
      <c r="U68" s="504"/>
      <c r="V68" s="504"/>
      <c r="W68" s="504"/>
      <c r="X68" s="259">
        <f t="shared" si="4"/>
        <v>0.36621417758326091</v>
      </c>
      <c r="Y68" s="488"/>
      <c r="Z68" s="488"/>
      <c r="AA68" s="488"/>
      <c r="AB68" s="488"/>
      <c r="AC68" s="488"/>
      <c r="AD68" s="488"/>
      <c r="AE68" s="488"/>
      <c r="AF68" s="488"/>
    </row>
    <row r="69" spans="2:32">
      <c r="B69" s="488"/>
      <c r="C69" s="514" t="str">
        <f>IF(MasterSheet!$A$1=1,MasterSheet!C386,MasterSheet!B386)</f>
        <v>Transferi za socijalnu zaštitu</v>
      </c>
      <c r="D69" s="253">
        <f>+SUM(D70:D74)</f>
        <v>38151243.680000007</v>
      </c>
      <c r="E69" s="254">
        <f t="shared" ref="E69:O69" si="19">+SUM(E70:E74)</f>
        <v>42304307.499999978</v>
      </c>
      <c r="F69" s="254">
        <f t="shared" si="19"/>
        <v>40495852.529999964</v>
      </c>
      <c r="G69" s="254">
        <f t="shared" si="19"/>
        <v>40445889.590000004</v>
      </c>
      <c r="H69" s="254">
        <f t="shared" si="19"/>
        <v>39916624.779999971</v>
      </c>
      <c r="I69" s="254">
        <f t="shared" si="19"/>
        <v>39873840.349999979</v>
      </c>
      <c r="J69" s="254">
        <f t="shared" si="19"/>
        <v>39783817.739999995</v>
      </c>
      <c r="K69" s="254">
        <f t="shared" si="19"/>
        <v>39183217.879999995</v>
      </c>
      <c r="L69" s="254">
        <f t="shared" si="19"/>
        <v>40139584.429999992</v>
      </c>
      <c r="M69" s="254">
        <f t="shared" si="19"/>
        <v>39790180.209999979</v>
      </c>
      <c r="N69" s="340">
        <f t="shared" si="19"/>
        <v>39831617.24000001</v>
      </c>
      <c r="O69" s="398">
        <f t="shared" si="19"/>
        <v>43051593.349999994</v>
      </c>
      <c r="P69" s="258">
        <f t="shared" si="3"/>
        <v>482967769.27999985</v>
      </c>
      <c r="Q69" s="258">
        <v>42817670.630000003</v>
      </c>
      <c r="R69" s="258">
        <f t="shared" si="15"/>
        <v>525785439.90999985</v>
      </c>
      <c r="S69" s="258">
        <f>+'2013 - plan'!D68+'2013 - plan'!E68+'2013 - plan'!F68</f>
        <v>124468181.75999999</v>
      </c>
      <c r="T69" s="531">
        <f t="shared" si="16"/>
        <v>401317258.14999986</v>
      </c>
      <c r="U69" s="504"/>
      <c r="V69" s="504"/>
      <c r="W69" s="504"/>
      <c r="X69" s="259">
        <f t="shared" si="4"/>
        <v>14.477885106867708</v>
      </c>
      <c r="Y69" s="488"/>
      <c r="Z69" s="488"/>
      <c r="AA69" s="488"/>
      <c r="AB69" s="488"/>
      <c r="AC69" s="488"/>
      <c r="AD69" s="488"/>
      <c r="AE69" s="488"/>
      <c r="AF69" s="488"/>
    </row>
    <row r="70" spans="2:32">
      <c r="B70" s="488"/>
      <c r="C70" s="506" t="str">
        <f>IF(MasterSheet!$A$1=1,MasterSheet!C387,MasterSheet!B387)</f>
        <v>Prava iz oblasti socijalne zaštite</v>
      </c>
      <c r="D70" s="507">
        <v>5249177.49</v>
      </c>
      <c r="E70" s="508">
        <v>6265311.1100000003</v>
      </c>
      <c r="F70" s="508">
        <v>5548846.8199999994</v>
      </c>
      <c r="G70" s="508">
        <v>5564842.5499999998</v>
      </c>
      <c r="H70" s="508">
        <v>5426012.3199999994</v>
      </c>
      <c r="I70" s="508">
        <v>5414506.1199999992</v>
      </c>
      <c r="J70" s="508">
        <v>5377364.7999999998</v>
      </c>
      <c r="K70" s="508">
        <v>4628282.3600000003</v>
      </c>
      <c r="L70" s="508">
        <v>4825112.1500000004</v>
      </c>
      <c r="M70" s="508">
        <v>4994196.57</v>
      </c>
      <c r="N70" s="509">
        <v>5164469.1300000008</v>
      </c>
      <c r="O70" s="537">
        <v>5578422.5700000012</v>
      </c>
      <c r="P70" s="404">
        <f t="shared" si="3"/>
        <v>64036543.990000002</v>
      </c>
      <c r="Q70" s="408">
        <v>5548846.8199999994</v>
      </c>
      <c r="R70" s="408">
        <f t="shared" si="15"/>
        <v>69585390.810000002</v>
      </c>
      <c r="S70" s="408">
        <f>+'2013 - plan'!D69+'2013 - plan'!E69+'2013 - plan'!F69</f>
        <v>15252249.99</v>
      </c>
      <c r="T70" s="531">
        <f t="shared" si="16"/>
        <v>54333140.82</v>
      </c>
      <c r="U70" s="504"/>
      <c r="V70" s="504"/>
      <c r="W70" s="504"/>
      <c r="X70" s="538">
        <f t="shared" si="4"/>
        <v>1.91961821367547</v>
      </c>
      <c r="Y70" s="488"/>
      <c r="Z70" s="488"/>
      <c r="AA70" s="519"/>
      <c r="AB70" s="519"/>
      <c r="AC70" s="519"/>
      <c r="AD70" s="488"/>
      <c r="AE70" s="488"/>
      <c r="AF70" s="488"/>
    </row>
    <row r="71" spans="2:32">
      <c r="B71" s="488"/>
      <c r="C71" s="506" t="str">
        <f>IF(MasterSheet!$A$1=1,MasterSheet!C388,MasterSheet!B388)</f>
        <v>Sredstva za tehnološke viškove</v>
      </c>
      <c r="D71" s="507">
        <v>217499.03</v>
      </c>
      <c r="E71" s="508">
        <v>1858188.85</v>
      </c>
      <c r="F71" s="508">
        <v>1411205.3399999999</v>
      </c>
      <c r="G71" s="508">
        <v>929016.34000000008</v>
      </c>
      <c r="H71" s="508">
        <v>880474.57000000007</v>
      </c>
      <c r="I71" s="508">
        <v>934224.6</v>
      </c>
      <c r="J71" s="508">
        <v>746595.69000000006</v>
      </c>
      <c r="K71" s="508">
        <v>1119949.56</v>
      </c>
      <c r="L71" s="508">
        <v>976049.14999999991</v>
      </c>
      <c r="M71" s="508">
        <v>1095627.26</v>
      </c>
      <c r="N71" s="509">
        <v>977725.46000000008</v>
      </c>
      <c r="O71" s="537">
        <v>1939799.67</v>
      </c>
      <c r="P71" s="404">
        <f t="shared" si="3"/>
        <v>13086355.520000001</v>
      </c>
      <c r="Q71" s="408">
        <v>1411205.3399999999</v>
      </c>
      <c r="R71" s="408">
        <f t="shared" si="15"/>
        <v>14497560.860000001</v>
      </c>
      <c r="S71" s="408">
        <f>+'2013 - plan'!D70+'2013 - plan'!E70+'2013 - plan'!F70</f>
        <v>3840012.51</v>
      </c>
      <c r="T71" s="531">
        <f t="shared" si="16"/>
        <v>10657548.350000001</v>
      </c>
      <c r="U71" s="504"/>
      <c r="V71" s="504"/>
      <c r="W71" s="504"/>
      <c r="X71" s="538">
        <f t="shared" si="4"/>
        <v>0.39228860337540095</v>
      </c>
      <c r="Y71" s="488"/>
      <c r="Z71" s="488"/>
      <c r="AA71" s="488"/>
      <c r="AB71" s="488"/>
      <c r="AC71" s="488"/>
      <c r="AD71" s="488"/>
      <c r="AE71" s="488"/>
      <c r="AF71" s="488"/>
    </row>
    <row r="72" spans="2:32">
      <c r="B72" s="488"/>
      <c r="C72" s="506" t="str">
        <f>IF(MasterSheet!$A$1=1,MasterSheet!C389,MasterSheet!B389)</f>
        <v>Prava iz oblasti penzijskog i invalidskog osiguranja</v>
      </c>
      <c r="D72" s="507">
        <v>31674733.13000001</v>
      </c>
      <c r="E72" s="508">
        <v>31981161.769999977</v>
      </c>
      <c r="F72" s="508">
        <v>32270882.729999967</v>
      </c>
      <c r="G72" s="508">
        <v>31901739.649999999</v>
      </c>
      <c r="H72" s="508">
        <v>31873820.949999977</v>
      </c>
      <c r="I72" s="508">
        <v>31986440.05999998</v>
      </c>
      <c r="J72" s="508">
        <v>31784804.799999997</v>
      </c>
      <c r="K72" s="508">
        <v>31691801.059999995</v>
      </c>
      <c r="L72" s="508">
        <v>31830341.049999997</v>
      </c>
      <c r="M72" s="508">
        <v>31877312.889999986</v>
      </c>
      <c r="N72" s="509">
        <v>32169180.280000001</v>
      </c>
      <c r="O72" s="537">
        <v>32148029.949999992</v>
      </c>
      <c r="P72" s="404">
        <f t="shared" si="3"/>
        <v>383190248.31999987</v>
      </c>
      <c r="Q72" s="408">
        <v>34592700.830000006</v>
      </c>
      <c r="R72" s="408">
        <f t="shared" si="15"/>
        <v>417782949.14999986</v>
      </c>
      <c r="S72" s="408">
        <f>+'2013 - plan'!D71+'2013 - plan'!E71+'2013 - plan'!F71</f>
        <v>100225919.28</v>
      </c>
      <c r="T72" s="531">
        <f t="shared" si="16"/>
        <v>317557029.86999989</v>
      </c>
      <c r="U72" s="504"/>
      <c r="V72" s="504"/>
      <c r="W72" s="504"/>
      <c r="X72" s="538">
        <f t="shared" si="4"/>
        <v>11.486862565424619</v>
      </c>
      <c r="Y72" s="488"/>
      <c r="Z72" s="488"/>
      <c r="AA72" s="488"/>
      <c r="AB72" s="488"/>
      <c r="AC72" s="488"/>
      <c r="AD72" s="488"/>
      <c r="AE72" s="488"/>
      <c r="AF72" s="488"/>
    </row>
    <row r="73" spans="2:32">
      <c r="B73" s="488"/>
      <c r="C73" s="506" t="str">
        <f>IF(MasterSheet!$A$1=1,MasterSheet!C390,MasterSheet!B390)</f>
        <v>Ostala prava iz oblasti zdravstvene zaštite</v>
      </c>
      <c r="D73" s="507">
        <v>639432.91</v>
      </c>
      <c r="E73" s="508">
        <v>1579093.25</v>
      </c>
      <c r="F73" s="508">
        <v>626460.35</v>
      </c>
      <c r="G73" s="508">
        <v>1544704.71</v>
      </c>
      <c r="H73" s="508">
        <v>1166317.46</v>
      </c>
      <c r="I73" s="508">
        <v>678250.89</v>
      </c>
      <c r="J73" s="508">
        <v>1306714.3700000001</v>
      </c>
      <c r="K73" s="508">
        <v>1105331.22</v>
      </c>
      <c r="L73" s="508">
        <v>1786629.01</v>
      </c>
      <c r="M73" s="508">
        <v>1261101.8700000001</v>
      </c>
      <c r="N73" s="509">
        <v>1076426.2</v>
      </c>
      <c r="O73" s="537">
        <v>2021633.85</v>
      </c>
      <c r="P73" s="404">
        <f t="shared" si="3"/>
        <v>14792096.089999998</v>
      </c>
      <c r="Q73" s="408">
        <v>626460.35</v>
      </c>
      <c r="R73" s="408">
        <f t="shared" si="15"/>
        <v>15418556.439999998</v>
      </c>
      <c r="S73" s="408">
        <f>+'2013 - plan'!D72+'2013 - plan'!E72+'2013 - plan'!F72</f>
        <v>3399999.99</v>
      </c>
      <c r="T73" s="531">
        <f t="shared" si="16"/>
        <v>12018556.449999997</v>
      </c>
      <c r="U73" s="504"/>
      <c r="V73" s="504"/>
      <c r="W73" s="504"/>
      <c r="X73" s="538">
        <f t="shared" si="4"/>
        <v>0.44342144818489754</v>
      </c>
      <c r="Y73" s="488"/>
      <c r="Z73" s="488"/>
      <c r="AA73" s="488"/>
      <c r="AB73" s="488"/>
      <c r="AC73" s="488"/>
      <c r="AD73" s="488"/>
      <c r="AE73" s="488"/>
      <c r="AF73" s="488"/>
    </row>
    <row r="74" spans="2:32">
      <c r="B74" s="488"/>
      <c r="C74" s="506" t="str">
        <f>IF(MasterSheet!$A$1=1,MasterSheet!C391,MasterSheet!B391)</f>
        <v>Ostala prava iz oblasti zdravstvenog osiguranja</v>
      </c>
      <c r="D74" s="507">
        <v>370401.12</v>
      </c>
      <c r="E74" s="508">
        <v>620552.52</v>
      </c>
      <c r="F74" s="508">
        <v>638457.29</v>
      </c>
      <c r="G74" s="508">
        <v>505586.33999999997</v>
      </c>
      <c r="H74" s="508">
        <v>569999.48</v>
      </c>
      <c r="I74" s="508">
        <v>860418.68</v>
      </c>
      <c r="J74" s="508">
        <v>568338.07999999996</v>
      </c>
      <c r="K74" s="508">
        <v>637853.67999999993</v>
      </c>
      <c r="L74" s="508">
        <v>721453.07</v>
      </c>
      <c r="M74" s="508">
        <v>561941.62</v>
      </c>
      <c r="N74" s="509">
        <v>443816.17000000004</v>
      </c>
      <c r="O74" s="537">
        <v>1363707.31</v>
      </c>
      <c r="P74" s="404">
        <f t="shared" si="3"/>
        <v>7862525.3600000013</v>
      </c>
      <c r="Q74" s="408">
        <v>638457.29</v>
      </c>
      <c r="R74" s="408">
        <f t="shared" si="15"/>
        <v>8500982.6500000022</v>
      </c>
      <c r="S74" s="408">
        <f>+'2013 - plan'!D73+'2013 - plan'!E73+'2013 - plan'!F73</f>
        <v>1749999.9900000002</v>
      </c>
      <c r="T74" s="531">
        <f t="shared" si="16"/>
        <v>6750982.660000002</v>
      </c>
      <c r="U74" s="504"/>
      <c r="V74" s="504"/>
      <c r="W74" s="504"/>
      <c r="X74" s="538">
        <f t="shared" si="4"/>
        <v>0.23569427620732039</v>
      </c>
      <c r="Y74" s="488"/>
      <c r="Z74" s="488"/>
      <c r="AA74" s="488"/>
      <c r="AB74" s="488"/>
      <c r="AC74" s="488"/>
      <c r="AD74" s="488"/>
      <c r="AE74" s="488"/>
      <c r="AF74" s="488"/>
    </row>
    <row r="75" spans="2:32" ht="27.75" customHeight="1">
      <c r="B75" s="488"/>
      <c r="C75" s="539" t="str">
        <f>IF(MasterSheet!$A$1=1,MasterSheet!C392,MasterSheet!B392)</f>
        <v>Transferi institucijama pojedinicima nevladinom i javnom sektoru</v>
      </c>
      <c r="D75" s="253">
        <f>+SUM(D76:D81)</f>
        <v>4766352.82</v>
      </c>
      <c r="E75" s="254">
        <f t="shared" ref="E75:O75" si="20">+SUM(E76:E81)</f>
        <v>7183318.2799999993</v>
      </c>
      <c r="F75" s="254">
        <f t="shared" si="20"/>
        <v>8947545.6400000006</v>
      </c>
      <c r="G75" s="254">
        <f t="shared" si="20"/>
        <v>5884665.6100000003</v>
      </c>
      <c r="H75" s="254">
        <f t="shared" si="20"/>
        <v>7415737.6300000008</v>
      </c>
      <c r="I75" s="254">
        <f t="shared" si="20"/>
        <v>7060820.2999999998</v>
      </c>
      <c r="J75" s="254">
        <f t="shared" si="20"/>
        <v>5861351.5199999996</v>
      </c>
      <c r="K75" s="254">
        <f t="shared" si="20"/>
        <v>9038041.9700000007</v>
      </c>
      <c r="L75" s="254">
        <f t="shared" si="20"/>
        <v>8245712.2599999998</v>
      </c>
      <c r="M75" s="254">
        <f t="shared" si="20"/>
        <v>7298462.0700000012</v>
      </c>
      <c r="N75" s="340">
        <f t="shared" si="20"/>
        <v>4753269.4800000004</v>
      </c>
      <c r="O75" s="398">
        <f t="shared" si="20"/>
        <v>17851828.629999999</v>
      </c>
      <c r="P75" s="258">
        <f t="shared" si="3"/>
        <v>94307106.209999993</v>
      </c>
      <c r="Q75" s="258">
        <v>8947545.6400000006</v>
      </c>
      <c r="R75" s="258">
        <f t="shared" si="15"/>
        <v>103254651.84999999</v>
      </c>
      <c r="S75" s="258">
        <f>+'2013 - plan'!D74+'2013 - plan'!E74+'2013 - plan'!F74</f>
        <v>23320174.050000001</v>
      </c>
      <c r="T75" s="531">
        <f t="shared" si="16"/>
        <v>79934477.799999997</v>
      </c>
      <c r="U75" s="504"/>
      <c r="V75" s="504"/>
      <c r="W75" s="504"/>
      <c r="X75" s="259">
        <f t="shared" si="4"/>
        <v>2.8270363682964117</v>
      </c>
      <c r="Y75" s="488"/>
      <c r="Z75" s="488"/>
      <c r="AA75" s="488"/>
      <c r="AB75" s="488"/>
      <c r="AC75" s="488"/>
      <c r="AD75" s="488"/>
      <c r="AE75" s="488"/>
      <c r="AF75" s="488"/>
    </row>
    <row r="76" spans="2:32">
      <c r="B76" s="488"/>
      <c r="C76" s="506" t="str">
        <f>IF(MasterSheet!$A$1=1,MasterSheet!C393,MasterSheet!B393)</f>
        <v>Transferi javnim institucijama</v>
      </c>
      <c r="D76" s="507">
        <v>4359419.74</v>
      </c>
      <c r="E76" s="508">
        <v>5926531.1499999994</v>
      </c>
      <c r="F76" s="508">
        <v>6814693.6900000004</v>
      </c>
      <c r="G76" s="508">
        <v>4020786.17</v>
      </c>
      <c r="H76" s="508">
        <v>5924405.5600000005</v>
      </c>
      <c r="I76" s="508">
        <v>5511337.29</v>
      </c>
      <c r="J76" s="508">
        <v>3622572.18</v>
      </c>
      <c r="K76" s="508">
        <v>7062054.1800000006</v>
      </c>
      <c r="L76" s="508">
        <v>6729541.9399999995</v>
      </c>
      <c r="M76" s="508">
        <v>5331028.5200000005</v>
      </c>
      <c r="N76" s="509">
        <v>3551707.24</v>
      </c>
      <c r="O76" s="537">
        <v>11762437.76</v>
      </c>
      <c r="P76" s="408">
        <f t="shared" si="3"/>
        <v>70616515.420000002</v>
      </c>
      <c r="Q76" s="408">
        <v>6814693.6900000004</v>
      </c>
      <c r="R76" s="408">
        <f t="shared" si="15"/>
        <v>77431209.109999999</v>
      </c>
      <c r="S76" s="408">
        <f>+'2013 - plan'!D75+'2013 - plan'!E75+'2013 - plan'!F75</f>
        <v>18019117.5</v>
      </c>
      <c r="T76" s="531">
        <f t="shared" si="16"/>
        <v>59412091.609999999</v>
      </c>
      <c r="U76" s="504"/>
      <c r="V76" s="504"/>
      <c r="W76" s="504"/>
      <c r="X76" s="538">
        <f t="shared" si="4"/>
        <v>2.1168654761833392</v>
      </c>
      <c r="Y76" s="488"/>
      <c r="Z76" s="488"/>
      <c r="AA76" s="488"/>
      <c r="AB76" s="488"/>
      <c r="AC76" s="488"/>
      <c r="AD76" s="488"/>
      <c r="AE76" s="488"/>
      <c r="AF76" s="488"/>
    </row>
    <row r="77" spans="2:32">
      <c r="B77" s="488"/>
      <c r="C77" s="506" t="str">
        <f>IF(MasterSheet!$A$1=1,MasterSheet!C394,MasterSheet!B394)</f>
        <v>Transferi nevladinim organizacijama</v>
      </c>
      <c r="D77" s="507">
        <v>0</v>
      </c>
      <c r="E77" s="508">
        <v>45833.34</v>
      </c>
      <c r="F77" s="508">
        <v>23116.67</v>
      </c>
      <c r="G77" s="508">
        <v>0</v>
      </c>
      <c r="H77" s="508">
        <v>22916.67</v>
      </c>
      <c r="I77" s="508">
        <v>22916.67</v>
      </c>
      <c r="J77" s="508">
        <v>69816.67</v>
      </c>
      <c r="K77" s="508">
        <v>129466.67</v>
      </c>
      <c r="L77" s="508">
        <v>136466.66999999998</v>
      </c>
      <c r="M77" s="508">
        <v>67316.67</v>
      </c>
      <c r="N77" s="509">
        <v>64700</v>
      </c>
      <c r="O77" s="537">
        <v>1798665.99</v>
      </c>
      <c r="P77" s="408">
        <f t="shared" si="3"/>
        <v>2381216.02</v>
      </c>
      <c r="Q77" s="408">
        <v>23116.67</v>
      </c>
      <c r="R77" s="408">
        <f t="shared" si="15"/>
        <v>2404332.69</v>
      </c>
      <c r="S77" s="408">
        <f>+'2013 - plan'!D76+'2013 - plan'!E76+'2013 - plan'!F76</f>
        <v>633656.55000000005</v>
      </c>
      <c r="T77" s="531">
        <f t="shared" si="16"/>
        <v>1770676.14</v>
      </c>
      <c r="U77" s="504"/>
      <c r="V77" s="504"/>
      <c r="W77" s="504"/>
      <c r="X77" s="538">
        <f t="shared" si="4"/>
        <v>7.1381516832039332E-2</v>
      </c>
      <c r="Y77" s="488"/>
      <c r="Z77" s="488"/>
      <c r="AA77" s="488"/>
      <c r="AB77" s="488"/>
      <c r="AC77" s="488"/>
      <c r="AD77" s="488"/>
      <c r="AE77" s="488"/>
      <c r="AF77" s="488"/>
    </row>
    <row r="78" spans="2:32">
      <c r="B78" s="488"/>
      <c r="C78" s="506" t="str">
        <f>IF(MasterSheet!$A$1=1,MasterSheet!C395,MasterSheet!B395)</f>
        <v>Transferi pojedincima</v>
      </c>
      <c r="D78" s="507">
        <v>406933.08</v>
      </c>
      <c r="E78" s="508">
        <v>1210953.79</v>
      </c>
      <c r="F78" s="508">
        <v>2107235.2799999998</v>
      </c>
      <c r="G78" s="508">
        <v>1859879.4400000002</v>
      </c>
      <c r="H78" s="508">
        <v>1468415.4</v>
      </c>
      <c r="I78" s="508">
        <v>1526566.34</v>
      </c>
      <c r="J78" s="508">
        <v>2167962.67</v>
      </c>
      <c r="K78" s="508">
        <v>1826221.12</v>
      </c>
      <c r="L78" s="508">
        <v>1376703.6500000001</v>
      </c>
      <c r="M78" s="508">
        <v>1884144.69</v>
      </c>
      <c r="N78" s="509">
        <v>930245.99999999988</v>
      </c>
      <c r="O78" s="537">
        <v>3058468.0799999996</v>
      </c>
      <c r="P78" s="408">
        <f t="shared" si="3"/>
        <v>19823729.539999999</v>
      </c>
      <c r="Q78" s="408">
        <v>2107235.2799999998</v>
      </c>
      <c r="R78" s="408">
        <f t="shared" si="15"/>
        <v>21930964.82</v>
      </c>
      <c r="S78" s="408">
        <f>+'2013 - plan'!D77+'2013 - plan'!E77+'2013 - plan'!F77</f>
        <v>4604900.01</v>
      </c>
      <c r="T78" s="531">
        <f t="shared" si="16"/>
        <v>17326064.810000002</v>
      </c>
      <c r="U78" s="504"/>
      <c r="V78" s="504"/>
      <c r="W78" s="504"/>
      <c r="X78" s="538">
        <f t="shared" si="4"/>
        <v>0.59425431038100662</v>
      </c>
      <c r="Y78" s="488"/>
      <c r="Z78" s="488"/>
      <c r="AA78" s="488"/>
      <c r="AB78" s="488"/>
      <c r="AC78" s="488"/>
      <c r="AD78" s="488"/>
      <c r="AE78" s="488"/>
      <c r="AF78" s="488"/>
    </row>
    <row r="79" spans="2:32">
      <c r="B79" s="488"/>
      <c r="C79" s="506" t="str">
        <f>IF(MasterSheet!$A$1=1,MasterSheet!C396,MasterSheet!B396)</f>
        <v>Transferi opštinama</v>
      </c>
      <c r="D79" s="507">
        <v>0</v>
      </c>
      <c r="E79" s="508">
        <v>0</v>
      </c>
      <c r="F79" s="508">
        <v>2500</v>
      </c>
      <c r="G79" s="508">
        <v>4000</v>
      </c>
      <c r="H79" s="508">
        <v>0</v>
      </c>
      <c r="I79" s="508">
        <v>0</v>
      </c>
      <c r="J79" s="508">
        <v>1000</v>
      </c>
      <c r="K79" s="508">
        <v>20300</v>
      </c>
      <c r="L79" s="508">
        <v>3000</v>
      </c>
      <c r="M79" s="508">
        <v>15972.19</v>
      </c>
      <c r="N79" s="509">
        <v>206616.24</v>
      </c>
      <c r="O79" s="537">
        <v>1232256.8</v>
      </c>
      <c r="P79" s="408">
        <f t="shared" si="3"/>
        <v>1485645.23</v>
      </c>
      <c r="Q79" s="408">
        <v>2500</v>
      </c>
      <c r="R79" s="408">
        <f t="shared" si="15"/>
        <v>1488145.23</v>
      </c>
      <c r="S79" s="408">
        <f>+'2013 - plan'!D78+'2013 - plan'!E78+'2013 - plan'!F78</f>
        <v>62499.990000000005</v>
      </c>
      <c r="T79" s="531">
        <f t="shared" si="16"/>
        <v>1425645.24</v>
      </c>
      <c r="U79" s="504"/>
      <c r="V79" s="504"/>
      <c r="W79" s="504"/>
      <c r="X79" s="538">
        <f t="shared" si="4"/>
        <v>4.4535064900026976E-2</v>
      </c>
      <c r="Y79" s="488"/>
      <c r="Z79" s="488"/>
      <c r="AA79" s="488"/>
      <c r="AB79" s="488"/>
      <c r="AC79" s="488"/>
      <c r="AD79" s="488"/>
      <c r="AE79" s="488"/>
      <c r="AF79" s="488"/>
    </row>
    <row r="80" spans="2:32">
      <c r="B80" s="488"/>
      <c r="C80" s="506" t="s">
        <v>412</v>
      </c>
      <c r="D80" s="507"/>
      <c r="E80" s="508"/>
      <c r="F80" s="508"/>
      <c r="G80" s="508"/>
      <c r="H80" s="508"/>
      <c r="I80" s="508"/>
      <c r="J80" s="508"/>
      <c r="K80" s="508"/>
      <c r="L80" s="508"/>
      <c r="M80" s="508"/>
      <c r="N80" s="509"/>
      <c r="O80" s="537"/>
      <c r="P80" s="408"/>
      <c r="Q80" s="408"/>
      <c r="R80" s="408"/>
      <c r="S80" s="408"/>
      <c r="T80" s="531"/>
      <c r="U80" s="504"/>
      <c r="V80" s="504"/>
      <c r="W80" s="504"/>
      <c r="X80" s="538"/>
      <c r="Y80" s="488"/>
      <c r="Z80" s="488"/>
      <c r="AA80" s="488"/>
      <c r="AB80" s="488"/>
      <c r="AC80" s="488"/>
      <c r="AD80" s="488"/>
      <c r="AE80" s="488"/>
      <c r="AF80" s="488"/>
    </row>
    <row r="81" spans="2:32" ht="13.5" thickBot="1">
      <c r="B81" s="488"/>
      <c r="C81" s="540" t="str">
        <f>IF(MasterSheet!$A$1=1,MasterSheet!C397,MasterSheet!B397)</f>
        <v>Transferi javnim preduzećima</v>
      </c>
      <c r="D81" s="541">
        <v>0</v>
      </c>
      <c r="E81" s="542">
        <v>0</v>
      </c>
      <c r="F81" s="542">
        <v>0</v>
      </c>
      <c r="G81" s="542">
        <v>0</v>
      </c>
      <c r="H81" s="542">
        <v>0</v>
      </c>
      <c r="I81" s="543">
        <v>0</v>
      </c>
      <c r="J81" s="543">
        <v>0</v>
      </c>
      <c r="K81" s="543">
        <v>0</v>
      </c>
      <c r="L81" s="543">
        <v>0</v>
      </c>
      <c r="M81" s="543">
        <v>0</v>
      </c>
      <c r="N81" s="544">
        <v>0</v>
      </c>
      <c r="O81" s="545">
        <v>0</v>
      </c>
      <c r="P81" s="409">
        <f t="shared" si="3"/>
        <v>0</v>
      </c>
      <c r="Q81" s="409">
        <v>0</v>
      </c>
      <c r="R81" s="409">
        <f t="shared" si="15"/>
        <v>0</v>
      </c>
      <c r="S81" s="409">
        <f>+'2013 - plan'!D79+'2013 - plan'!E79+'2013 - plan'!F79</f>
        <v>0</v>
      </c>
      <c r="T81" s="531">
        <f t="shared" si="16"/>
        <v>0</v>
      </c>
      <c r="U81" s="504"/>
      <c r="V81" s="504"/>
      <c r="W81" s="504"/>
      <c r="X81" s="546">
        <f t="shared" si="4"/>
        <v>0</v>
      </c>
      <c r="Y81" s="488"/>
      <c r="Z81" s="488"/>
      <c r="AA81" s="488"/>
      <c r="AB81" s="488"/>
      <c r="AC81" s="488"/>
      <c r="AD81" s="488"/>
      <c r="AE81" s="488"/>
      <c r="AF81" s="488"/>
    </row>
    <row r="82" spans="2:32" ht="14.25" thickTop="1" thickBot="1">
      <c r="B82" s="488"/>
      <c r="C82" s="493" t="str">
        <f>IF(MasterSheet!$A$1=1,MasterSheet!C398,MasterSheet!B398)</f>
        <v>Kapitalni budžet</v>
      </c>
      <c r="D82" s="278">
        <v>138077.81</v>
      </c>
      <c r="E82" s="279">
        <v>2008065.02</v>
      </c>
      <c r="F82" s="279">
        <v>4422241.25</v>
      </c>
      <c r="G82" s="279">
        <v>4197672.67</v>
      </c>
      <c r="H82" s="279">
        <v>4236917.4400000004</v>
      </c>
      <c r="I82" s="279">
        <v>4706155.42</v>
      </c>
      <c r="J82" s="344">
        <v>4524523.5699999994</v>
      </c>
      <c r="K82" s="281">
        <v>4216317.49</v>
      </c>
      <c r="L82" s="281">
        <v>3941356.57</v>
      </c>
      <c r="M82" s="281">
        <v>5975320.6699999999</v>
      </c>
      <c r="N82" s="282">
        <v>6045846.2699999996</v>
      </c>
      <c r="O82" s="282">
        <v>17373008.68</v>
      </c>
      <c r="P82" s="547">
        <f t="shared" si="3"/>
        <v>61785502.860000007</v>
      </c>
      <c r="Q82" s="547">
        <v>4422241.25</v>
      </c>
      <c r="R82" s="547">
        <f t="shared" si="15"/>
        <v>66207744.110000007</v>
      </c>
      <c r="S82" s="547">
        <f>+'2013 - plan'!D80+'2013 - plan'!E80+'2013 - plan'!F80</f>
        <v>16409750.01</v>
      </c>
      <c r="T82" s="531">
        <f t="shared" si="16"/>
        <v>49797994.100000009</v>
      </c>
      <c r="U82" s="504"/>
      <c r="V82" s="504"/>
      <c r="W82" s="504"/>
      <c r="X82" s="548">
        <f t="shared" si="4"/>
        <v>1.852138938817111</v>
      </c>
      <c r="Y82" s="488"/>
      <c r="Z82" s="488"/>
      <c r="AA82" s="488"/>
      <c r="AB82" s="488"/>
      <c r="AC82" s="488"/>
      <c r="AD82" s="488"/>
      <c r="AE82" s="488"/>
      <c r="AF82" s="488"/>
    </row>
    <row r="83" spans="2:32" ht="13.5" thickTop="1">
      <c r="B83" s="488"/>
      <c r="C83" s="506" t="str">
        <f>IF(MasterSheet!$A$1=1,MasterSheet!C399,MasterSheet!B399)</f>
        <v>Pozajmice i krediti</v>
      </c>
      <c r="D83" s="549">
        <v>5000</v>
      </c>
      <c r="E83" s="550">
        <v>57001.11</v>
      </c>
      <c r="F83" s="550">
        <v>614160.66</v>
      </c>
      <c r="G83" s="550">
        <v>220833.34</v>
      </c>
      <c r="H83" s="550">
        <v>331814</v>
      </c>
      <c r="I83" s="550">
        <v>6656</v>
      </c>
      <c r="J83" s="550">
        <v>27500</v>
      </c>
      <c r="K83" s="550">
        <v>40000</v>
      </c>
      <c r="L83" s="550">
        <v>17507.28</v>
      </c>
      <c r="M83" s="550">
        <v>533513.18999999994</v>
      </c>
      <c r="N83" s="551">
        <v>69960</v>
      </c>
      <c r="O83" s="537">
        <v>828836.39999999991</v>
      </c>
      <c r="P83" s="410">
        <f t="shared" si="3"/>
        <v>2752781.9799999995</v>
      </c>
      <c r="Q83" s="410">
        <v>614160.66</v>
      </c>
      <c r="R83" s="410">
        <f t="shared" si="15"/>
        <v>3366942.6399999997</v>
      </c>
      <c r="S83" s="410">
        <f>+'2013 - plan'!D81+'2013 - plan'!E81+'2013 - plan'!F81</f>
        <v>430000.02</v>
      </c>
      <c r="T83" s="531">
        <f t="shared" si="16"/>
        <v>2936942.6199999996</v>
      </c>
      <c r="U83" s="504"/>
      <c r="V83" s="504"/>
      <c r="W83" s="504"/>
      <c r="X83" s="552">
        <f t="shared" si="4"/>
        <v>8.2519919062322006E-2</v>
      </c>
      <c r="Y83" s="488"/>
      <c r="Z83" s="488"/>
      <c r="AA83" s="488"/>
      <c r="AB83" s="488"/>
      <c r="AC83" s="488"/>
      <c r="AD83" s="488"/>
      <c r="AE83" s="488"/>
      <c r="AF83" s="488"/>
    </row>
    <row r="84" spans="2:32" ht="13.5" thickBot="1">
      <c r="B84" s="488"/>
      <c r="C84" s="540" t="str">
        <f>IF(MasterSheet!$A$1=1,MasterSheet!C400,MasterSheet!B400)</f>
        <v>Rezerve</v>
      </c>
      <c r="D84" s="541">
        <v>152480</v>
      </c>
      <c r="E84" s="542">
        <v>69850</v>
      </c>
      <c r="F84" s="542">
        <v>381882.21</v>
      </c>
      <c r="G84" s="542">
        <v>795860</v>
      </c>
      <c r="H84" s="542">
        <v>1010265.09</v>
      </c>
      <c r="I84" s="543">
        <v>3303845.5</v>
      </c>
      <c r="J84" s="543">
        <v>2217610</v>
      </c>
      <c r="K84" s="543">
        <v>1221150.82</v>
      </c>
      <c r="L84" s="543">
        <v>2522421.1</v>
      </c>
      <c r="M84" s="543">
        <v>283431.86</v>
      </c>
      <c r="N84" s="544">
        <v>862021</v>
      </c>
      <c r="O84" s="545">
        <v>1306027.21</v>
      </c>
      <c r="P84" s="409">
        <f t="shared" si="3"/>
        <v>14126844.789999999</v>
      </c>
      <c r="Q84" s="409">
        <v>381882.21</v>
      </c>
      <c r="R84" s="409">
        <f t="shared" si="15"/>
        <v>14508727</v>
      </c>
      <c r="S84" s="409">
        <f>+'2013 - plan'!D82+'2013 - plan'!E82+'2013 - plan'!F82</f>
        <v>1839017.3699999996</v>
      </c>
      <c r="T84" s="531">
        <f t="shared" si="16"/>
        <v>12669709.630000001</v>
      </c>
      <c r="U84" s="504"/>
      <c r="V84" s="504"/>
      <c r="W84" s="504"/>
      <c r="X84" s="546">
        <f t="shared" si="4"/>
        <v>0.42347926466620694</v>
      </c>
      <c r="Y84" s="488"/>
      <c r="Z84" s="488"/>
      <c r="AA84" s="488"/>
      <c r="AB84" s="488"/>
      <c r="AC84" s="488"/>
      <c r="AD84" s="488"/>
      <c r="AE84" s="488"/>
      <c r="AF84" s="488"/>
    </row>
    <row r="85" spans="2:32" ht="14.25" thickTop="1" thickBot="1">
      <c r="B85" s="488"/>
      <c r="C85" s="540" t="str">
        <f>IF(MasterSheet!$A$1=1,MasterSheet!C408,MasterSheet!B408)</f>
        <v>Otplata garancija</v>
      </c>
      <c r="D85" s="541">
        <v>0</v>
      </c>
      <c r="E85" s="542">
        <v>0</v>
      </c>
      <c r="F85" s="542">
        <v>0</v>
      </c>
      <c r="G85" s="542">
        <v>145520.37</v>
      </c>
      <c r="H85" s="542">
        <v>0</v>
      </c>
      <c r="I85" s="543">
        <v>0</v>
      </c>
      <c r="J85" s="365">
        <v>60056480</v>
      </c>
      <c r="K85" s="365">
        <v>42900294.009999998</v>
      </c>
      <c r="L85" s="553">
        <v>0</v>
      </c>
      <c r="M85" s="553">
        <v>0</v>
      </c>
      <c r="N85" s="553">
        <v>3561508.52</v>
      </c>
      <c r="O85" s="545">
        <v>575548.03</v>
      </c>
      <c r="P85" s="409">
        <f>SUM(D85:O85)</f>
        <v>107239350.92999999</v>
      </c>
      <c r="Q85" s="409">
        <v>0</v>
      </c>
      <c r="R85" s="554">
        <f t="shared" si="15"/>
        <v>107239350.92999999</v>
      </c>
      <c r="S85" s="554"/>
      <c r="T85" s="555"/>
      <c r="U85" s="555"/>
      <c r="V85" s="555"/>
      <c r="W85" s="555"/>
      <c r="X85" s="546">
        <f t="shared" si="4"/>
        <v>3.2147052048922329</v>
      </c>
      <c r="Y85" s="488"/>
      <c r="Z85" s="488"/>
      <c r="AA85" s="488"/>
      <c r="AB85" s="488"/>
      <c r="AC85" s="488"/>
      <c r="AD85" s="488"/>
      <c r="AE85" s="488"/>
      <c r="AF85" s="488"/>
    </row>
    <row r="86" spans="2:32" ht="14.25" thickTop="1" thickBot="1">
      <c r="B86" s="488"/>
      <c r="C86" s="540" t="s">
        <v>413</v>
      </c>
      <c r="D86" s="556"/>
      <c r="E86" s="557"/>
      <c r="F86" s="557"/>
      <c r="G86" s="557"/>
      <c r="H86" s="557"/>
      <c r="I86" s="558"/>
      <c r="J86" s="369"/>
      <c r="K86" s="369"/>
      <c r="L86" s="558"/>
      <c r="M86" s="558"/>
      <c r="N86" s="558"/>
      <c r="O86" s="559"/>
      <c r="P86" s="408"/>
      <c r="Q86" s="408"/>
      <c r="R86" s="531"/>
      <c r="S86" s="531"/>
      <c r="T86" s="504"/>
      <c r="U86" s="504"/>
      <c r="V86" s="504"/>
      <c r="W86" s="504"/>
      <c r="X86" s="538"/>
      <c r="Y86" s="488"/>
      <c r="Z86" s="488"/>
      <c r="AA86" s="488"/>
      <c r="AB86" s="488"/>
      <c r="AC86" s="488"/>
      <c r="AD86" s="488"/>
      <c r="AE86" s="488"/>
      <c r="AF86" s="488"/>
    </row>
    <row r="87" spans="2:32" ht="14.25" thickTop="1" thickBot="1">
      <c r="B87" s="488"/>
      <c r="C87" s="493" t="str">
        <f>IF(MasterSheet!$A$1=1,MasterSheet!C402,MasterSheet!B402)</f>
        <v>Suficit/ Deficit</v>
      </c>
      <c r="D87" s="529">
        <f>+D19-D52</f>
        <v>-25863779.340000056</v>
      </c>
      <c r="E87" s="529">
        <f t="shared" ref="E87:N87" si="21">+E19-E52</f>
        <v>-18805133.555214211</v>
      </c>
      <c r="F87" s="529">
        <f t="shared" si="21"/>
        <v>-14921549.364283636</v>
      </c>
      <c r="G87" s="529">
        <f t="shared" si="21"/>
        <v>-15748036.443259314</v>
      </c>
      <c r="H87" s="529">
        <f t="shared" si="21"/>
        <v>-1214214.6201670915</v>
      </c>
      <c r="I87" s="529">
        <f t="shared" si="21"/>
        <v>-147680.48338963091</v>
      </c>
      <c r="J87" s="529">
        <f t="shared" si="21"/>
        <v>-37824858.545714542</v>
      </c>
      <c r="K87" s="529">
        <f t="shared" si="21"/>
        <v>-15996581.100902304</v>
      </c>
      <c r="L87" s="529">
        <f t="shared" si="21"/>
        <v>-1895114.8790550232</v>
      </c>
      <c r="M87" s="529">
        <f t="shared" si="21"/>
        <v>19309612.197521478</v>
      </c>
      <c r="N87" s="529">
        <f t="shared" si="21"/>
        <v>-2002856.3271831572</v>
      </c>
      <c r="O87" s="530">
        <f>+O19-O52</f>
        <v>-6594980.5812701583</v>
      </c>
      <c r="P87" s="402">
        <f>SUM(D87:O87)</f>
        <v>-121705173.04291764</v>
      </c>
      <c r="Q87" s="402"/>
      <c r="R87" s="504"/>
      <c r="S87" s="504"/>
      <c r="T87" s="504"/>
      <c r="U87" s="504"/>
      <c r="V87" s="504"/>
      <c r="W87" s="504"/>
      <c r="X87" s="497">
        <f t="shared" ref="X87:X98" si="22">+P87/$D$14*100</f>
        <v>-3.6483459648945602</v>
      </c>
      <c r="Y87" s="521"/>
      <c r="Z87" s="488"/>
      <c r="AA87" s="488"/>
      <c r="AB87" s="488"/>
      <c r="AC87" s="488"/>
      <c r="AD87" s="488"/>
      <c r="AE87" s="488"/>
      <c r="AF87" s="488"/>
    </row>
    <row r="88" spans="2:32" ht="14.25" thickTop="1" thickBot="1">
      <c r="B88" s="488"/>
      <c r="C88" s="493" t="str">
        <f>IF(MasterSheet!$A$1=1,MasterSheet!C403,MasterSheet!B403)</f>
        <v>Primarni deficit</v>
      </c>
      <c r="D88" s="529">
        <f>+D87+D64</f>
        <v>-25309988.830000054</v>
      </c>
      <c r="E88" s="529">
        <f t="shared" ref="E88:O88" si="23">+E87+E64</f>
        <v>-17043782.20521421</v>
      </c>
      <c r="F88" s="529">
        <f t="shared" si="23"/>
        <v>-12784646.744283635</v>
      </c>
      <c r="G88" s="529">
        <f t="shared" si="23"/>
        <v>9079435.686740689</v>
      </c>
      <c r="H88" s="529">
        <f t="shared" si="23"/>
        <v>-88798.690167091321</v>
      </c>
      <c r="I88" s="529">
        <f t="shared" si="23"/>
        <v>3646265.9666103693</v>
      </c>
      <c r="J88" s="529">
        <f t="shared" si="23"/>
        <v>-32085643.355714545</v>
      </c>
      <c r="K88" s="529">
        <f t="shared" si="23"/>
        <v>-13893001.010902304</v>
      </c>
      <c r="L88" s="529">
        <f t="shared" si="23"/>
        <v>16819462.07094498</v>
      </c>
      <c r="M88" s="529">
        <f t="shared" si="23"/>
        <v>20107000.487521477</v>
      </c>
      <c r="N88" s="529">
        <f t="shared" si="23"/>
        <v>-1253737.5471831572</v>
      </c>
      <c r="O88" s="530">
        <f t="shared" si="23"/>
        <v>-1470008.0812701583</v>
      </c>
      <c r="P88" s="402">
        <f t="shared" ref="P88:P98" si="24">SUM(D88:O88)</f>
        <v>-54277442.252917625</v>
      </c>
      <c r="Q88" s="504"/>
      <c r="R88" s="504"/>
      <c r="S88" s="504"/>
      <c r="T88" s="504"/>
      <c r="U88" s="504"/>
      <c r="V88" s="504"/>
      <c r="W88" s="504"/>
      <c r="X88" s="497">
        <f t="shared" si="22"/>
        <v>-1.6270704233615405</v>
      </c>
      <c r="Y88" s="488"/>
      <c r="Z88" s="488"/>
      <c r="AA88" s="488"/>
      <c r="AB88" s="488"/>
      <c r="AC88" s="488"/>
      <c r="AD88" s="488"/>
      <c r="AE88" s="488"/>
      <c r="AF88" s="488"/>
    </row>
    <row r="89" spans="2:32" ht="14.25" thickTop="1" thickBot="1">
      <c r="B89" s="488"/>
      <c r="C89" s="493" t="str">
        <f>IF(MasterSheet!$A$1=1,MasterSheet!C404,MasterSheet!B404)</f>
        <v>Otplata duga</v>
      </c>
      <c r="D89" s="529">
        <f>+SUM(D90:D92)</f>
        <v>16061025.709999999</v>
      </c>
      <c r="E89" s="529">
        <f t="shared" ref="E89:O89" si="25">+SUM(E90:E92)</f>
        <v>7375048.8699999992</v>
      </c>
      <c r="F89" s="529">
        <f t="shared" si="25"/>
        <v>7217299.5099999998</v>
      </c>
      <c r="G89" s="529">
        <f t="shared" si="25"/>
        <v>7894827.54</v>
      </c>
      <c r="H89" s="529">
        <f t="shared" si="25"/>
        <v>5565089.5</v>
      </c>
      <c r="I89" s="529">
        <f t="shared" si="25"/>
        <v>18466625.890000001</v>
      </c>
      <c r="J89" s="529">
        <f t="shared" si="25"/>
        <v>34603919.259999998</v>
      </c>
      <c r="K89" s="529">
        <f t="shared" si="25"/>
        <v>16979858.109999999</v>
      </c>
      <c r="L89" s="529">
        <f t="shared" si="25"/>
        <v>24394432.170000002</v>
      </c>
      <c r="M89" s="529">
        <f t="shared" si="25"/>
        <v>14005707.239999998</v>
      </c>
      <c r="N89" s="529">
        <f t="shared" si="25"/>
        <v>17570784.68</v>
      </c>
      <c r="O89" s="530">
        <f t="shared" si="25"/>
        <v>71642809.530000001</v>
      </c>
      <c r="P89" s="402">
        <f t="shared" si="24"/>
        <v>241777428.01000002</v>
      </c>
      <c r="Q89" s="504"/>
      <c r="R89" s="504"/>
      <c r="S89" s="504"/>
      <c r="T89" s="504"/>
      <c r="U89" s="504"/>
      <c r="V89" s="504"/>
      <c r="W89" s="504"/>
      <c r="X89" s="497">
        <f t="shared" si="22"/>
        <v>7.2477420788992486</v>
      </c>
      <c r="Y89" s="488"/>
      <c r="Z89" s="488"/>
      <c r="AA89" s="488"/>
      <c r="AB89" s="488"/>
      <c r="AC89" s="488"/>
      <c r="AD89" s="488"/>
      <c r="AE89" s="488"/>
      <c r="AF89" s="488"/>
    </row>
    <row r="90" spans="2:32" ht="13.5" thickTop="1">
      <c r="B90" s="488"/>
      <c r="C90" s="506" t="str">
        <f>IF(MasterSheet!$A$1=1,MasterSheet!C405,MasterSheet!B405)</f>
        <v>Otplata duga rezidentima</v>
      </c>
      <c r="D90" s="549">
        <v>10400865.82</v>
      </c>
      <c r="E90" s="550">
        <v>889367.83</v>
      </c>
      <c r="F90" s="550">
        <v>1750313.77</v>
      </c>
      <c r="G90" s="550">
        <v>3128301.99</v>
      </c>
      <c r="H90" s="550">
        <v>1945669.64</v>
      </c>
      <c r="I90" s="550">
        <v>989736.54</v>
      </c>
      <c r="J90" s="550">
        <v>4774307.72</v>
      </c>
      <c r="K90" s="550">
        <v>9944955.3699999992</v>
      </c>
      <c r="L90" s="550">
        <v>12179630.32</v>
      </c>
      <c r="M90" s="550">
        <v>7710797.4800000004</v>
      </c>
      <c r="N90" s="551">
        <v>10161021.360000001</v>
      </c>
      <c r="O90" s="537">
        <v>48820983.07</v>
      </c>
      <c r="P90" s="408">
        <f t="shared" si="24"/>
        <v>112695950.91</v>
      </c>
      <c r="Q90" s="504"/>
      <c r="R90" s="504"/>
      <c r="S90" s="504"/>
      <c r="T90" s="504"/>
      <c r="U90" s="504"/>
      <c r="V90" s="504"/>
      <c r="W90" s="504"/>
      <c r="X90" s="538">
        <f t="shared" si="22"/>
        <v>3.3782772538145629</v>
      </c>
      <c r="Y90" s="488"/>
      <c r="Z90" s="488"/>
      <c r="AA90" s="488"/>
      <c r="AB90" s="488"/>
      <c r="AC90" s="488"/>
      <c r="AD90" s="488"/>
      <c r="AE90" s="488"/>
      <c r="AF90" s="488"/>
    </row>
    <row r="91" spans="2:32">
      <c r="B91" s="488"/>
      <c r="C91" s="506" t="str">
        <f>IF(MasterSheet!$A$1=1,MasterSheet!C406,MasterSheet!B406)</f>
        <v>Otplata duga nerezidentima</v>
      </c>
      <c r="D91" s="507">
        <v>3134669.41</v>
      </c>
      <c r="E91" s="508">
        <v>158802.38</v>
      </c>
      <c r="F91" s="508">
        <v>3318984.81</v>
      </c>
      <c r="G91" s="508">
        <v>2298414.4</v>
      </c>
      <c r="H91" s="508">
        <v>2516927.7599999998</v>
      </c>
      <c r="I91" s="508">
        <v>11294736.17</v>
      </c>
      <c r="J91" s="508">
        <v>14484226.060000001</v>
      </c>
      <c r="K91" s="508">
        <v>790205.48</v>
      </c>
      <c r="L91" s="508">
        <v>7014425.7999999998</v>
      </c>
      <c r="M91" s="508">
        <v>3516922.29</v>
      </c>
      <c r="N91" s="509">
        <v>4899072.42</v>
      </c>
      <c r="O91" s="537">
        <v>15375518.51</v>
      </c>
      <c r="P91" s="408">
        <f t="shared" si="24"/>
        <v>68802905.489999995</v>
      </c>
      <c r="Q91" s="504"/>
      <c r="R91" s="504"/>
      <c r="S91" s="504"/>
      <c r="T91" s="504"/>
      <c r="U91" s="504"/>
      <c r="V91" s="504"/>
      <c r="W91" s="504"/>
      <c r="X91" s="538">
        <f t="shared" si="22"/>
        <v>2.0624990404388619</v>
      </c>
      <c r="Y91" s="488"/>
      <c r="Z91" s="488"/>
      <c r="AA91" s="488"/>
      <c r="AB91" s="488"/>
      <c r="AC91" s="488"/>
      <c r="AD91" s="488"/>
      <c r="AE91" s="488"/>
      <c r="AF91" s="488"/>
    </row>
    <row r="92" spans="2:32" ht="13.5" thickBot="1">
      <c r="B92" s="488"/>
      <c r="C92" s="506" t="str">
        <f>IF(MasterSheet!$A$1=1,MasterSheet!C407,MasterSheet!B407)</f>
        <v>Otplata obaveza iz prethodnog perioda</v>
      </c>
      <c r="D92" s="541">
        <v>2525490.4799999991</v>
      </c>
      <c r="E92" s="543">
        <v>6326878.6599999992</v>
      </c>
      <c r="F92" s="543">
        <v>2148000.9299999992</v>
      </c>
      <c r="G92" s="543">
        <v>2468111.1499999994</v>
      </c>
      <c r="H92" s="543">
        <v>1102492.1000000001</v>
      </c>
      <c r="I92" s="543">
        <v>6182153.1800000016</v>
      </c>
      <c r="J92" s="543">
        <v>15345385.479999999</v>
      </c>
      <c r="K92" s="543">
        <v>6244697.2599999979</v>
      </c>
      <c r="L92" s="543">
        <v>5200376.05</v>
      </c>
      <c r="M92" s="543">
        <v>2777987.4699999997</v>
      </c>
      <c r="N92" s="544">
        <v>2510690.9</v>
      </c>
      <c r="O92" s="537">
        <v>7446307.9500000011</v>
      </c>
      <c r="P92" s="408">
        <f t="shared" si="24"/>
        <v>60278571.609999992</v>
      </c>
      <c r="Q92" s="504"/>
      <c r="R92" s="504"/>
      <c r="S92" s="504"/>
      <c r="T92" s="504"/>
      <c r="U92" s="504"/>
      <c r="V92" s="504"/>
      <c r="W92" s="504"/>
      <c r="X92" s="538">
        <f t="shared" si="22"/>
        <v>1.8069657846458225</v>
      </c>
      <c r="Y92" s="488"/>
      <c r="Z92" s="488"/>
      <c r="AA92" s="488"/>
      <c r="AB92" s="488"/>
      <c r="AC92" s="488"/>
      <c r="AD92" s="488"/>
      <c r="AE92" s="488"/>
      <c r="AF92" s="488"/>
    </row>
    <row r="93" spans="2:32" ht="14.25" thickTop="1" thickBot="1">
      <c r="B93" s="488"/>
      <c r="C93" s="493" t="str">
        <f>IF(MasterSheet!$A$1=1,MasterSheet!C409,MasterSheet!B409)</f>
        <v>Nedostajuća sredstva</v>
      </c>
      <c r="D93" s="529">
        <f>+D87-D89</f>
        <v>-41924805.050000057</v>
      </c>
      <c r="E93" s="529">
        <f t="shared" ref="E93:O93" si="26">+E87-E89</f>
        <v>-26180182.425214209</v>
      </c>
      <c r="F93" s="529">
        <f t="shared" si="26"/>
        <v>-22138848.874283634</v>
      </c>
      <c r="G93" s="529">
        <f t="shared" si="26"/>
        <v>-23642863.983259313</v>
      </c>
      <c r="H93" s="529">
        <f t="shared" si="26"/>
        <v>-6779304.1201670915</v>
      </c>
      <c r="I93" s="529">
        <f t="shared" si="26"/>
        <v>-18614306.373389632</v>
      </c>
      <c r="J93" s="529">
        <f t="shared" si="26"/>
        <v>-72428777.805714548</v>
      </c>
      <c r="K93" s="529">
        <f t="shared" si="26"/>
        <v>-32976439.210902303</v>
      </c>
      <c r="L93" s="529">
        <f t="shared" si="26"/>
        <v>-26289547.049055025</v>
      </c>
      <c r="M93" s="529">
        <f t="shared" si="26"/>
        <v>5303904.9575214796</v>
      </c>
      <c r="N93" s="529">
        <f t="shared" si="26"/>
        <v>-19573641.007183157</v>
      </c>
      <c r="O93" s="530">
        <f t="shared" si="26"/>
        <v>-78237790.111270159</v>
      </c>
      <c r="P93" s="402">
        <f>SUM(D93:O93)</f>
        <v>-363482601.05291772</v>
      </c>
      <c r="Q93" s="504"/>
      <c r="R93" s="504"/>
      <c r="S93" s="504"/>
      <c r="T93" s="504"/>
      <c r="U93" s="504"/>
      <c r="V93" s="504"/>
      <c r="W93" s="504"/>
      <c r="X93" s="497">
        <f t="shared" si="22"/>
        <v>-10.89608804379381</v>
      </c>
      <c r="Y93" s="488"/>
      <c r="Z93" s="488"/>
      <c r="AA93" s="488"/>
      <c r="AB93" s="488"/>
      <c r="AC93" s="488"/>
      <c r="AD93" s="488"/>
      <c r="AE93" s="488"/>
      <c r="AF93" s="488"/>
    </row>
    <row r="94" spans="2:32" ht="14.25" thickTop="1" thickBot="1">
      <c r="B94" s="488"/>
      <c r="C94" s="493" t="str">
        <f>IF(MasterSheet!$A$1=1,MasterSheet!C410,MasterSheet!B410)</f>
        <v>Finansiranje</v>
      </c>
      <c r="D94" s="529">
        <f>+SUM(D95:D98)</f>
        <v>41924805.050000057</v>
      </c>
      <c r="E94" s="529">
        <f t="shared" ref="E94:M94" si="27">+SUM(E95:E98)</f>
        <v>26180182.425214209</v>
      </c>
      <c r="F94" s="529">
        <f t="shared" si="27"/>
        <v>22138848.874283634</v>
      </c>
      <c r="G94" s="529">
        <f t="shared" si="27"/>
        <v>23642863.983259313</v>
      </c>
      <c r="H94" s="529">
        <f t="shared" si="27"/>
        <v>6779304.1201670915</v>
      </c>
      <c r="I94" s="529">
        <f t="shared" si="27"/>
        <v>18614306.373389632</v>
      </c>
      <c r="J94" s="529">
        <f t="shared" si="27"/>
        <v>72428777.805714548</v>
      </c>
      <c r="K94" s="529">
        <f t="shared" si="27"/>
        <v>32976439.210902303</v>
      </c>
      <c r="L94" s="529">
        <f t="shared" si="27"/>
        <v>26289547.049055025</v>
      </c>
      <c r="M94" s="529">
        <f t="shared" si="27"/>
        <v>-5303904.9575214796</v>
      </c>
      <c r="N94" s="529">
        <f t="shared" ref="N94:O94" si="28">SUM(N95:N98)</f>
        <v>19573641.007183157</v>
      </c>
      <c r="O94" s="530">
        <f t="shared" si="28"/>
        <v>78237790.111270159</v>
      </c>
      <c r="P94" s="402">
        <f t="shared" si="24"/>
        <v>363482601.05291772</v>
      </c>
      <c r="Q94" s="504"/>
      <c r="R94" s="504"/>
      <c r="S94" s="504"/>
      <c r="T94" s="504"/>
      <c r="U94" s="504"/>
      <c r="V94" s="504"/>
      <c r="W94" s="504"/>
      <c r="X94" s="497">
        <f t="shared" si="22"/>
        <v>10.89608804379381</v>
      </c>
      <c r="Y94" s="488"/>
      <c r="Z94" s="488"/>
      <c r="AA94" s="488"/>
      <c r="AB94" s="488"/>
      <c r="AC94" s="488"/>
      <c r="AD94" s="488"/>
      <c r="AE94" s="488"/>
      <c r="AF94" s="488"/>
    </row>
    <row r="95" spans="2:32" ht="13.5" thickTop="1">
      <c r="B95" s="488"/>
      <c r="C95" s="506" t="str">
        <f>IF(MasterSheet!$A$1=1,MasterSheet!C411,MasterSheet!B411)</f>
        <v>Pozajmice i krediti iz domaćih izvora</v>
      </c>
      <c r="D95" s="549">
        <v>0</v>
      </c>
      <c r="E95" s="550">
        <v>3971500</v>
      </c>
      <c r="F95" s="550">
        <v>23000000</v>
      </c>
      <c r="G95" s="550">
        <v>14499142</v>
      </c>
      <c r="H95" s="550">
        <v>4400000</v>
      </c>
      <c r="I95" s="550">
        <v>7785609.8499999996</v>
      </c>
      <c r="J95" s="550">
        <v>11000000</v>
      </c>
      <c r="K95" s="550">
        <v>2178500</v>
      </c>
      <c r="L95" s="550">
        <v>16000000</v>
      </c>
      <c r="M95" s="550">
        <v>0</v>
      </c>
      <c r="N95" s="551">
        <v>0</v>
      </c>
      <c r="O95" s="537">
        <v>20000000</v>
      </c>
      <c r="P95" s="408">
        <f t="shared" si="24"/>
        <v>102834751.84999999</v>
      </c>
      <c r="Q95" s="504"/>
      <c r="R95" s="560"/>
      <c r="S95" s="504"/>
      <c r="T95" s="504"/>
      <c r="U95" s="504"/>
      <c r="V95" s="504"/>
      <c r="W95" s="504"/>
      <c r="X95" s="538">
        <f t="shared" si="22"/>
        <v>3.0826689004466559</v>
      </c>
      <c r="Y95" s="488"/>
      <c r="Z95" s="488"/>
      <c r="AA95" s="488"/>
      <c r="AB95" s="488"/>
      <c r="AC95" s="488"/>
      <c r="AD95" s="488"/>
      <c r="AE95" s="488"/>
      <c r="AF95" s="488"/>
    </row>
    <row r="96" spans="2:32">
      <c r="B96" s="488"/>
      <c r="C96" s="506" t="str">
        <f>IF(MasterSheet!$A$1=1,MasterSheet!C412,MasterSheet!B412)</f>
        <v>Pozajmice i krediti iz inostranih izvora</v>
      </c>
      <c r="D96" s="507">
        <v>35315594.670000002</v>
      </c>
      <c r="E96" s="508">
        <v>1296835.01</v>
      </c>
      <c r="F96" s="508">
        <v>1101008.74</v>
      </c>
      <c r="G96" s="508">
        <v>772062.14</v>
      </c>
      <c r="H96" s="508">
        <v>1139143.8400000001</v>
      </c>
      <c r="I96" s="508">
        <v>3391069.12</v>
      </c>
      <c r="J96" s="508">
        <v>59863883.469999999</v>
      </c>
      <c r="K96" s="508">
        <v>43150880.350000001</v>
      </c>
      <c r="L96" s="508">
        <v>107867.28</v>
      </c>
      <c r="M96" s="508">
        <v>443723.69</v>
      </c>
      <c r="N96" s="509">
        <v>890239.71</v>
      </c>
      <c r="O96" s="537">
        <v>83065168.799999997</v>
      </c>
      <c r="P96" s="408">
        <f>SUM(D96:O96)</f>
        <v>230537476.81999999</v>
      </c>
      <c r="Q96" s="504"/>
      <c r="R96" s="504"/>
      <c r="S96" s="504"/>
      <c r="T96" s="504"/>
      <c r="U96" s="504"/>
      <c r="V96" s="504"/>
      <c r="W96" s="504"/>
      <c r="X96" s="538">
        <f t="shared" si="22"/>
        <v>6.9108029863005491</v>
      </c>
      <c r="Y96" s="488"/>
      <c r="Z96" s="488"/>
      <c r="AA96" s="488"/>
      <c r="AB96" s="488"/>
      <c r="AC96" s="488"/>
      <c r="AD96" s="488"/>
      <c r="AE96" s="488"/>
      <c r="AF96" s="488"/>
    </row>
    <row r="97" spans="2:32">
      <c r="B97" s="488"/>
      <c r="C97" s="506" t="str">
        <f>IF(MasterSheet!$A$1=1,MasterSheet!C414,MasterSheet!B414)</f>
        <v>Prihodi od privatizacije</v>
      </c>
      <c r="D97" s="507">
        <v>10542.3</v>
      </c>
      <c r="E97" s="508">
        <v>34351.879999999997</v>
      </c>
      <c r="F97" s="508">
        <v>12933.29</v>
      </c>
      <c r="G97" s="508">
        <v>120350.94</v>
      </c>
      <c r="H97" s="508">
        <v>206183.41</v>
      </c>
      <c r="I97" s="508">
        <v>461491.11</v>
      </c>
      <c r="J97" s="508">
        <v>435504.8</v>
      </c>
      <c r="K97" s="508">
        <v>828248.49</v>
      </c>
      <c r="L97" s="508">
        <v>315288.5</v>
      </c>
      <c r="M97" s="508">
        <v>261391.69</v>
      </c>
      <c r="N97" s="509">
        <v>330347.21000000002</v>
      </c>
      <c r="O97" s="537">
        <v>8932212.7300000004</v>
      </c>
      <c r="P97" s="408">
        <f t="shared" si="24"/>
        <v>11948846.35</v>
      </c>
      <c r="Q97" s="504"/>
      <c r="R97" s="504"/>
      <c r="S97" s="504"/>
      <c r="T97" s="504"/>
      <c r="U97" s="504"/>
      <c r="V97" s="504"/>
      <c r="W97" s="504"/>
      <c r="X97" s="538">
        <f t="shared" si="22"/>
        <v>0.35818958451991967</v>
      </c>
      <c r="Y97" s="488"/>
      <c r="Z97" s="488"/>
      <c r="AA97" s="488"/>
      <c r="AB97" s="488"/>
      <c r="AC97" s="488"/>
      <c r="AD97" s="488"/>
      <c r="AE97" s="488"/>
      <c r="AF97" s="488"/>
    </row>
    <row r="98" spans="2:32" ht="13.5" thickBot="1">
      <c r="B98" s="488"/>
      <c r="C98" s="561" t="str">
        <f>IF(MasterSheet!$A$1=1,MasterSheet!C415,MasterSheet!B415)</f>
        <v>Povećanje/smanjenje depozita</v>
      </c>
      <c r="D98" s="303">
        <f t="shared" ref="D98:O98" si="29">-D93-SUM(D95:D97)</f>
        <v>6598668.0800000578</v>
      </c>
      <c r="E98" s="327">
        <f t="shared" si="29"/>
        <v>20877495.535214208</v>
      </c>
      <c r="F98" s="327">
        <f t="shared" si="29"/>
        <v>-1975093.1557163633</v>
      </c>
      <c r="G98" s="327">
        <f t="shared" si="29"/>
        <v>8251308.9032593127</v>
      </c>
      <c r="H98" s="327">
        <f t="shared" si="29"/>
        <v>1033976.8701670915</v>
      </c>
      <c r="I98" s="304">
        <f t="shared" si="29"/>
        <v>6976136.2933896333</v>
      </c>
      <c r="J98" s="304">
        <f t="shared" si="29"/>
        <v>1129389.5357145518</v>
      </c>
      <c r="K98" s="304">
        <f t="shared" si="29"/>
        <v>-13181189.6290977</v>
      </c>
      <c r="L98" s="304">
        <f t="shared" si="29"/>
        <v>9866391.2690550257</v>
      </c>
      <c r="M98" s="304">
        <f t="shared" si="29"/>
        <v>-6009020.3375214795</v>
      </c>
      <c r="N98" s="349">
        <f t="shared" si="29"/>
        <v>18353054.087183155</v>
      </c>
      <c r="O98" s="476">
        <f t="shared" si="29"/>
        <v>-33759591.418729842</v>
      </c>
      <c r="P98" s="307">
        <f t="shared" si="24"/>
        <v>18161526.032917649</v>
      </c>
      <c r="Q98" s="506"/>
      <c r="R98" s="504"/>
      <c r="S98" s="504"/>
      <c r="T98" s="504"/>
      <c r="U98" s="504"/>
      <c r="V98" s="504"/>
      <c r="W98" s="504"/>
      <c r="X98" s="308">
        <f t="shared" si="22"/>
        <v>0.54442657252668392</v>
      </c>
      <c r="Y98" s="488"/>
      <c r="Z98" s="488"/>
      <c r="AA98" s="488"/>
      <c r="AB98" s="488"/>
      <c r="AC98" s="488"/>
      <c r="AD98" s="488"/>
      <c r="AE98" s="488"/>
      <c r="AF98" s="488"/>
    </row>
    <row r="99" spans="2:32" s="488" customFormat="1" ht="13.5" thickTop="1">
      <c r="C99" s="562" t="str">
        <f>IF(MasterSheet!$A$1=1,MasterSheet!C416,MasterSheet!B416)</f>
        <v>Izvor: Ministarstvo finansija Crne Gore</v>
      </c>
      <c r="D99" s="504"/>
      <c r="E99" s="504"/>
      <c r="F99" s="504"/>
      <c r="G99" s="504"/>
      <c r="H99" s="504"/>
      <c r="I99" s="504"/>
      <c r="J99" s="504"/>
      <c r="K99" s="504"/>
      <c r="L99" s="504"/>
      <c r="M99" s="504"/>
      <c r="N99" s="504"/>
      <c r="O99" s="504"/>
      <c r="P99" s="504"/>
      <c r="Q99" s="504"/>
      <c r="R99" s="504"/>
      <c r="S99" s="504"/>
      <c r="T99" s="504"/>
      <c r="U99" s="504"/>
      <c r="V99" s="504"/>
      <c r="W99" s="504"/>
      <c r="X99" s="504"/>
    </row>
    <row r="100" spans="2:32" s="488" customFormat="1">
      <c r="C100" s="563" t="s">
        <v>409</v>
      </c>
      <c r="D100" s="563"/>
      <c r="E100" s="563"/>
      <c r="F100" s="563"/>
      <c r="G100" s="563"/>
      <c r="H100" s="563"/>
      <c r="I100" s="563"/>
      <c r="J100" s="563"/>
      <c r="K100" s="563"/>
      <c r="L100" s="563"/>
      <c r="M100" s="563"/>
      <c r="N100" s="563"/>
      <c r="O100" s="563"/>
      <c r="P100" s="563"/>
      <c r="Q100" s="563"/>
      <c r="R100" s="563"/>
      <c r="S100" s="563"/>
      <c r="T100" s="563"/>
      <c r="U100" s="563"/>
      <c r="V100" s="563"/>
      <c r="W100" s="563"/>
      <c r="X100" s="563"/>
    </row>
    <row r="101" spans="2:32" s="488" customFormat="1"/>
    <row r="102" spans="2:32" s="488" customFormat="1"/>
    <row r="103" spans="2:32" s="488" customFormat="1"/>
    <row r="104" spans="2:32" s="488" customFormat="1"/>
    <row r="105" spans="2:32" s="488" customFormat="1"/>
    <row r="106" spans="2:32" s="488" customFormat="1"/>
    <row r="107" spans="2:32" s="488" customFormat="1"/>
    <row r="108" spans="2:32" s="488" customFormat="1"/>
    <row r="109" spans="2:32" s="488" customFormat="1"/>
    <row r="110" spans="2:32" s="488" customFormat="1"/>
    <row r="111" spans="2:32" s="488" customFormat="1"/>
    <row r="112" spans="2:32" s="488" customFormat="1"/>
    <row r="113" s="488" customFormat="1"/>
    <row r="114" s="488" customFormat="1"/>
    <row r="115" s="488" customFormat="1"/>
    <row r="116" s="488" customFormat="1"/>
    <row r="117" s="488" customFormat="1"/>
    <row r="118" s="488" customFormat="1"/>
    <row r="119" s="488" customFormat="1"/>
    <row r="120" s="488" customFormat="1"/>
    <row r="121" s="488" customFormat="1"/>
    <row r="122" s="488" customFormat="1"/>
    <row r="123" s="488" customFormat="1"/>
    <row r="124" s="488" customFormat="1"/>
    <row r="125" s="488" customFormat="1"/>
    <row r="126" s="488" customFormat="1"/>
    <row r="127" s="488" customFormat="1"/>
    <row r="128" s="488" customFormat="1"/>
    <row r="129" s="488" customFormat="1"/>
    <row r="130" s="488" customFormat="1"/>
    <row r="131" s="488" customFormat="1"/>
    <row r="132" s="488" customFormat="1"/>
    <row r="133" s="488" customFormat="1"/>
    <row r="134" s="488" customFormat="1"/>
    <row r="135" s="488" customFormat="1"/>
    <row r="136" s="488" customFormat="1"/>
    <row r="137" s="488" customFormat="1"/>
    <row r="138" s="488" customFormat="1"/>
    <row r="139" s="488" customFormat="1"/>
    <row r="140" s="488" customFormat="1"/>
    <row r="141" s="488" customFormat="1"/>
    <row r="142" s="488" customFormat="1"/>
    <row r="143" s="488" customFormat="1"/>
    <row r="144" s="488" customFormat="1"/>
    <row r="145" s="488" customFormat="1"/>
    <row r="146" s="488" customFormat="1"/>
    <row r="147" s="488" customFormat="1"/>
    <row r="148" s="488" customFormat="1"/>
    <row r="149" s="488" customFormat="1"/>
    <row r="150" s="488" customFormat="1"/>
    <row r="151" s="488" customFormat="1"/>
    <row r="152" s="488" customFormat="1"/>
    <row r="153" s="488" customFormat="1"/>
    <row r="154" s="488" customFormat="1"/>
    <row r="155" s="488" customFormat="1"/>
    <row r="156" s="488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F155"/>
  <sheetViews>
    <sheetView topLeftCell="A4" workbookViewId="0">
      <selection activeCell="D14" sqref="D14:P14"/>
    </sheetView>
  </sheetViews>
  <sheetFormatPr defaultRowHeight="12.75"/>
  <cols>
    <col min="3" max="3" width="54.7109375" customWidth="1"/>
    <col min="4" max="4" width="10.7109375" style="1" customWidth="1"/>
    <col min="5" max="7" width="10.7109375" customWidth="1"/>
    <col min="8" max="8" width="10.7109375" style="1" customWidth="1"/>
    <col min="9" max="15" width="10.7109375" customWidth="1"/>
    <col min="16" max="16" width="9.7109375" bestFit="1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574" t="str">
        <f>IF(MasterSheet!$A$1=1, MasterSheet!C5,MasterSheet!B5)</f>
        <v>CRNA GORA</v>
      </c>
      <c r="H8" s="574"/>
      <c r="I8" s="57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574" t="str">
        <f>IF(MasterSheet!$A$1=1, MasterSheet!C6,MasterSheet!B6)</f>
        <v>MINISTARSTVO FINANSIJA</v>
      </c>
      <c r="G9" s="574"/>
      <c r="H9" s="574"/>
      <c r="I9" s="574"/>
      <c r="J9" s="57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2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2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2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2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578">
        <v>3335900000</v>
      </c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9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595" t="str">
        <f>IF(MasterSheet!$A$1=1,MasterSheet!B336,MasterSheet!B335)</f>
        <v>Mjesečni plan za 2013. godinu</v>
      </c>
      <c r="D17" s="592">
        <v>2013</v>
      </c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4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596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 t="str">
        <f>IF(MasterSheet!$A$1=1,MasterSheet!O336,MasterSheet!O335)</f>
        <v>Plan 2014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56405250.354879163</v>
      </c>
      <c r="E19" s="35">
        <f t="shared" ref="E19:O19" si="0">+E20+E28+E33+E38+E45+E50</f>
        <v>72068150.748850062</v>
      </c>
      <c r="F19" s="35">
        <f t="shared" si="0"/>
        <v>82943306.844960943</v>
      </c>
      <c r="G19" s="35">
        <f t="shared" si="0"/>
        <v>99956198.46386914</v>
      </c>
      <c r="H19" s="35">
        <f t="shared" si="0"/>
        <v>96466058.107237935</v>
      </c>
      <c r="I19" s="35">
        <f t="shared" si="0"/>
        <v>100951633.7918953</v>
      </c>
      <c r="J19" s="35">
        <f t="shared" si="0"/>
        <v>115591299.75791205</v>
      </c>
      <c r="K19" s="36">
        <f t="shared" si="0"/>
        <v>114897225.7493697</v>
      </c>
      <c r="L19" s="36">
        <f t="shared" si="0"/>
        <v>99189777.327771991</v>
      </c>
      <c r="M19" s="36">
        <f t="shared" si="0"/>
        <v>104871992.58523692</v>
      </c>
      <c r="N19" s="36">
        <f t="shared" si="0"/>
        <v>96927456.149828702</v>
      </c>
      <c r="O19" s="49">
        <f t="shared" si="0"/>
        <v>121532471.11942177</v>
      </c>
      <c r="P19" s="112">
        <f>+SUM(D19:O19)</f>
        <v>1161800821.0012338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41686253.110737316</v>
      </c>
      <c r="E20" s="26">
        <f t="shared" ref="E20:O20" si="1">+SUM(E21:E27)</f>
        <v>40855853.79586979</v>
      </c>
      <c r="F20" s="26">
        <f t="shared" si="1"/>
        <v>48871129.289274208</v>
      </c>
      <c r="G20" s="26">
        <f t="shared" si="1"/>
        <v>63044978.667560622</v>
      </c>
      <c r="H20" s="26">
        <f t="shared" si="1"/>
        <v>59903018.246625409</v>
      </c>
      <c r="I20" s="26">
        <f t="shared" si="1"/>
        <v>65474825.471494481</v>
      </c>
      <c r="J20" s="26">
        <f t="shared" si="1"/>
        <v>71410525.13479729</v>
      </c>
      <c r="K20" s="27">
        <f t="shared" si="1"/>
        <v>66453623.073847495</v>
      </c>
      <c r="L20" s="27">
        <f t="shared" si="1"/>
        <v>65790416.568190843</v>
      </c>
      <c r="M20" s="27">
        <f t="shared" si="1"/>
        <v>63302926.264795646</v>
      </c>
      <c r="N20" s="27">
        <f t="shared" si="1"/>
        <v>56224451.677824281</v>
      </c>
      <c r="O20" s="50">
        <f t="shared" si="1"/>
        <v>57412527.94082702</v>
      </c>
      <c r="P20" s="28">
        <f t="shared" ref="P20:P82" si="2">+SUM(D20:O20)</f>
        <v>700430529.24184442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2820446.8223670614</v>
      </c>
      <c r="E21" s="30">
        <v>5820928.5775817595</v>
      </c>
      <c r="F21" s="30">
        <v>6919198.0351699237</v>
      </c>
      <c r="G21" s="30">
        <v>7408525.4606941696</v>
      </c>
      <c r="H21" s="30">
        <v>7204484.0505127097</v>
      </c>
      <c r="I21" s="30">
        <v>6466633.4408446904</v>
      </c>
      <c r="J21" s="30">
        <v>8521641.6469569467</v>
      </c>
      <c r="K21" s="31">
        <v>9664205.1361650527</v>
      </c>
      <c r="L21" s="31">
        <v>6815248.5982489977</v>
      </c>
      <c r="M21" s="31">
        <v>9471655.9367153402</v>
      </c>
      <c r="N21" s="31">
        <v>8042875.0851052543</v>
      </c>
      <c r="O21" s="51">
        <v>11726411.550236525</v>
      </c>
      <c r="P21" s="32">
        <f t="shared" si="2"/>
        <v>90882254.340598434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579786.54478696431</v>
      </c>
      <c r="E22" s="30">
        <v>515115.82451773522</v>
      </c>
      <c r="F22" s="30">
        <v>4474685.1189596485</v>
      </c>
      <c r="G22" s="30">
        <v>12488272.478114691</v>
      </c>
      <c r="H22" s="30">
        <v>3690917.0906183273</v>
      </c>
      <c r="I22" s="30">
        <v>4274773.0439898577</v>
      </c>
      <c r="J22" s="30">
        <v>3994418.0701162638</v>
      </c>
      <c r="K22" s="31">
        <v>3426415.4173260536</v>
      </c>
      <c r="L22" s="31">
        <v>2644519.6751525379</v>
      </c>
      <c r="M22" s="31">
        <v>1873134.4055505693</v>
      </c>
      <c r="N22" s="31">
        <v>1099856.2789091328</v>
      </c>
      <c r="O22" s="51">
        <v>2871073.2358503304</v>
      </c>
      <c r="P22" s="32">
        <f t="shared" si="2"/>
        <v>41932967.183892116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81248.859864734099</v>
      </c>
      <c r="E23" s="30">
        <v>103646.50733568591</v>
      </c>
      <c r="F23" s="30">
        <v>186194.97392852511</v>
      </c>
      <c r="G23" s="30">
        <v>103363.42634788297</v>
      </c>
      <c r="H23" s="30">
        <v>100106.28093907743</v>
      </c>
      <c r="I23" s="30">
        <v>133863.83595351625</v>
      </c>
      <c r="J23" s="30">
        <v>122268.58842091225</v>
      </c>
      <c r="K23" s="31">
        <v>96003.204992983359</v>
      </c>
      <c r="L23" s="31">
        <v>170229.34291973972</v>
      </c>
      <c r="M23" s="31">
        <v>136036.03036244924</v>
      </c>
      <c r="N23" s="31">
        <v>147948.87120833801</v>
      </c>
      <c r="O23" s="51">
        <v>140979.1375726462</v>
      </c>
      <c r="P23" s="32">
        <f t="shared" si="2"/>
        <v>1521889.0598464906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22216987.25911713</v>
      </c>
      <c r="E24" s="30">
        <v>22351785.25320363</v>
      </c>
      <c r="F24" s="30">
        <v>24907044.612074491</v>
      </c>
      <c r="G24" s="30">
        <v>29049120.919579607</v>
      </c>
      <c r="H24" s="30">
        <v>32485582.306773975</v>
      </c>
      <c r="I24" s="30">
        <v>39641428.685232304</v>
      </c>
      <c r="J24" s="30">
        <v>39144860.544407874</v>
      </c>
      <c r="K24" s="31">
        <v>33764783.498910055</v>
      </c>
      <c r="L24" s="31">
        <v>35212221.435317017</v>
      </c>
      <c r="M24" s="31">
        <v>35516823.320785411</v>
      </c>
      <c r="N24" s="31">
        <v>31733799.92897122</v>
      </c>
      <c r="O24" s="51">
        <v>27021193.241436299</v>
      </c>
      <c r="P24" s="32">
        <f t="shared" si="2"/>
        <v>373045631.00580907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13472385.619929252</v>
      </c>
      <c r="E25" s="30">
        <v>9374619.9781228825</v>
      </c>
      <c r="F25" s="30">
        <v>8591497.0238258317</v>
      </c>
      <c r="G25" s="30">
        <v>9976513.8396541588</v>
      </c>
      <c r="H25" s="30">
        <v>12529410.486162774</v>
      </c>
      <c r="I25" s="30">
        <v>12207544.038839269</v>
      </c>
      <c r="J25" s="30">
        <v>16644425.593685796</v>
      </c>
      <c r="K25" s="31">
        <v>16485948.596823877</v>
      </c>
      <c r="L25" s="31">
        <v>18432656.2065273</v>
      </c>
      <c r="M25" s="31">
        <v>13491210.566350998</v>
      </c>
      <c r="N25" s="31">
        <v>12913955.490205286</v>
      </c>
      <c r="O25" s="51">
        <v>13328622.385148553</v>
      </c>
      <c r="P25" s="32">
        <f t="shared" si="2"/>
        <v>157448789.82527599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2254635.1079826443</v>
      </c>
      <c r="E26" s="30">
        <v>2434600.1723288172</v>
      </c>
      <c r="F26" s="30">
        <v>3480742.4524679668</v>
      </c>
      <c r="G26" s="30">
        <v>3633160.2325686943</v>
      </c>
      <c r="H26" s="30">
        <v>3488794.2206289498</v>
      </c>
      <c r="I26" s="30">
        <v>2306819.3261174015</v>
      </c>
      <c r="J26" s="30">
        <v>2530520.0301218135</v>
      </c>
      <c r="K26" s="31">
        <v>2593024.591536134</v>
      </c>
      <c r="L26" s="31">
        <v>2137547.6737522222</v>
      </c>
      <c r="M26" s="31">
        <v>2432657.0001382544</v>
      </c>
      <c r="N26" s="31">
        <v>1904518.5019257402</v>
      </c>
      <c r="O26" s="51">
        <v>1992912.933800448</v>
      </c>
      <c r="P26" s="32">
        <f t="shared" si="2"/>
        <v>31189932.243369084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260762.89668953384</v>
      </c>
      <c r="E27" s="30">
        <v>255157.48277927918</v>
      </c>
      <c r="F27" s="30">
        <v>311767.07284781808</v>
      </c>
      <c r="G27" s="30">
        <v>386022.31060141494</v>
      </c>
      <c r="H27" s="30">
        <v>403723.81098959706</v>
      </c>
      <c r="I27" s="30">
        <v>443763.10051744088</v>
      </c>
      <c r="J27" s="30">
        <v>452390.66108767391</v>
      </c>
      <c r="K27" s="31">
        <v>423242.62809333584</v>
      </c>
      <c r="L27" s="31">
        <v>377993.63627302414</v>
      </c>
      <c r="M27" s="31">
        <v>381409.00489262829</v>
      </c>
      <c r="N27" s="31">
        <v>381497.52149931074</v>
      </c>
      <c r="O27" s="51">
        <v>331335.45678221656</v>
      </c>
      <c r="P27" s="32">
        <f t="shared" si="2"/>
        <v>4409065.5830532731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10225366.011998521</v>
      </c>
      <c r="E28" s="26">
        <f t="shared" ref="E28:O28" si="3">+SUM(E29:E32)</f>
        <v>26328872.744704504</v>
      </c>
      <c r="F28" s="26">
        <f t="shared" si="3"/>
        <v>28215029.512952704</v>
      </c>
      <c r="G28" s="26">
        <f t="shared" si="3"/>
        <v>31078344.176256344</v>
      </c>
      <c r="H28" s="26">
        <f t="shared" si="3"/>
        <v>31062993.346150994</v>
      </c>
      <c r="I28" s="26">
        <f t="shared" si="3"/>
        <v>29533886.744876273</v>
      </c>
      <c r="J28" s="26">
        <f t="shared" si="3"/>
        <v>35614836.490956061</v>
      </c>
      <c r="K28" s="27">
        <f t="shared" si="3"/>
        <v>41423629.787263155</v>
      </c>
      <c r="L28" s="27">
        <f t="shared" si="3"/>
        <v>27897944.753825549</v>
      </c>
      <c r="M28" s="27">
        <f t="shared" si="3"/>
        <v>35782419.896350168</v>
      </c>
      <c r="N28" s="27">
        <f t="shared" si="3"/>
        <v>35053926.847713381</v>
      </c>
      <c r="O28" s="50">
        <f t="shared" si="3"/>
        <v>52000480.125178605</v>
      </c>
      <c r="P28" s="28">
        <f t="shared" si="2"/>
        <v>384217730.43822622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5896216.9131298037</v>
      </c>
      <c r="E29" s="30">
        <v>15984604.165490396</v>
      </c>
      <c r="F29" s="30">
        <v>15980210.637352593</v>
      </c>
      <c r="G29" s="30">
        <v>18099107.195466701</v>
      </c>
      <c r="H29" s="30">
        <v>18902345.114124902</v>
      </c>
      <c r="I29" s="30">
        <v>16660130.6959597</v>
      </c>
      <c r="J29" s="30">
        <v>20975423.912817873</v>
      </c>
      <c r="K29" s="31">
        <v>24152995.284398187</v>
      </c>
      <c r="L29" s="31">
        <v>16438117.212416081</v>
      </c>
      <c r="M29" s="31">
        <v>21064902.89657861</v>
      </c>
      <c r="N29" s="31">
        <v>21199343.745804995</v>
      </c>
      <c r="O29" s="51">
        <v>31496085.4772765</v>
      </c>
      <c r="P29" s="32">
        <f t="shared" si="2"/>
        <v>226849483.25081638</v>
      </c>
      <c r="Q29" s="5"/>
      <c r="R29" s="138"/>
      <c r="S29" s="113"/>
      <c r="T29" s="113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3523976.3657705826</v>
      </c>
      <c r="E30" s="30">
        <v>8837193.1137481872</v>
      </c>
      <c r="F30" s="30">
        <v>10296968.732518861</v>
      </c>
      <c r="G30" s="30">
        <v>11080649.937486099</v>
      </c>
      <c r="H30" s="30">
        <v>10426593.073253199</v>
      </c>
      <c r="I30" s="30">
        <v>10797558.1123464</v>
      </c>
      <c r="J30" s="30">
        <v>12338418.275424777</v>
      </c>
      <c r="K30" s="31">
        <v>14695618.751093065</v>
      </c>
      <c r="L30" s="31">
        <v>9887757.094026586</v>
      </c>
      <c r="M30" s="31">
        <v>12555740.885830941</v>
      </c>
      <c r="N30" s="31">
        <v>11911787.04868594</v>
      </c>
      <c r="O30" s="51">
        <v>17572653.898443229</v>
      </c>
      <c r="P30" s="32">
        <f t="shared" si="2"/>
        <v>133924915.28862786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290701.31067824201</v>
      </c>
      <c r="E31" s="30">
        <v>744628.51853836537</v>
      </c>
      <c r="F31" s="30">
        <v>900014.53265058505</v>
      </c>
      <c r="G31" s="30">
        <v>960420.42316401063</v>
      </c>
      <c r="H31" s="30">
        <v>850902.03134404484</v>
      </c>
      <c r="I31" s="30">
        <v>873102.0001937449</v>
      </c>
      <c r="J31" s="30">
        <v>1044477.0015934415</v>
      </c>
      <c r="K31" s="31">
        <v>1233245.0541489115</v>
      </c>
      <c r="L31" s="31">
        <v>823964.48361802031</v>
      </c>
      <c r="M31" s="31">
        <v>1104138.5296295469</v>
      </c>
      <c r="N31" s="31">
        <v>947842.00635200134</v>
      </c>
      <c r="O31" s="51">
        <v>1446638.2353968821</v>
      </c>
      <c r="P31" s="32">
        <f t="shared" si="2"/>
        <v>11220074.127307797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514471.42241989321</v>
      </c>
      <c r="E32" s="30">
        <v>762446.94692755432</v>
      </c>
      <c r="F32" s="30">
        <v>1037835.6104306638</v>
      </c>
      <c r="G32" s="30">
        <v>938166.6201395333</v>
      </c>
      <c r="H32" s="30">
        <v>883153.12742885004</v>
      </c>
      <c r="I32" s="30">
        <v>1203095.9363764296</v>
      </c>
      <c r="J32" s="30">
        <v>1256517.301119969</v>
      </c>
      <c r="K32" s="31">
        <v>1341770.6976229935</v>
      </c>
      <c r="L32" s="31">
        <v>748105.96376486088</v>
      </c>
      <c r="M32" s="31">
        <v>1057637.5843110771</v>
      </c>
      <c r="N32" s="31">
        <v>994954.04687044967</v>
      </c>
      <c r="O32" s="51">
        <v>1485102.5140619949</v>
      </c>
      <c r="P32" s="32">
        <f t="shared" si="2"/>
        <v>12223257.77147427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2027877.2372930939</v>
      </c>
      <c r="E33" s="26">
        <f t="shared" ref="E33:O33" si="4">+SUM(E34:E37)</f>
        <v>1882424.3685098737</v>
      </c>
      <c r="F33" s="26">
        <f t="shared" si="4"/>
        <v>2363168.5236575948</v>
      </c>
      <c r="G33" s="26">
        <f t="shared" si="4"/>
        <v>2393449.5740456693</v>
      </c>
      <c r="H33" s="26">
        <f t="shared" si="4"/>
        <v>2431766.3719360717</v>
      </c>
      <c r="I33" s="26">
        <f t="shared" si="4"/>
        <v>2858151.7123018736</v>
      </c>
      <c r="J33" s="26">
        <f t="shared" si="4"/>
        <v>2917908.2048975867</v>
      </c>
      <c r="K33" s="27">
        <f t="shared" si="4"/>
        <v>2932949.8029298875</v>
      </c>
      <c r="L33" s="27">
        <f t="shared" si="4"/>
        <v>2302181.1067919475</v>
      </c>
      <c r="M33" s="27">
        <f t="shared" si="4"/>
        <v>2479397.4364794977</v>
      </c>
      <c r="N33" s="27">
        <f t="shared" si="4"/>
        <v>2197340.2207755819</v>
      </c>
      <c r="O33" s="50">
        <f t="shared" si="4"/>
        <v>2280154.7968325969</v>
      </c>
      <c r="P33" s="28">
        <f t="shared" si="2"/>
        <v>29066769.356451273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542096.38724093605</v>
      </c>
      <c r="E34" s="30">
        <v>536397.13298492332</v>
      </c>
      <c r="F34" s="30">
        <v>759288.54284763371</v>
      </c>
      <c r="G34" s="30">
        <v>724733.04432771762</v>
      </c>
      <c r="H34" s="30">
        <v>823629.87439344113</v>
      </c>
      <c r="I34" s="30">
        <v>866651.25939663569</v>
      </c>
      <c r="J34" s="30">
        <v>822206.96615173062</v>
      </c>
      <c r="K34" s="31">
        <v>822500.35972019134</v>
      </c>
      <c r="L34" s="31">
        <v>653046.97944805818</v>
      </c>
      <c r="M34" s="31">
        <v>912828.08748487011</v>
      </c>
      <c r="N34" s="31">
        <v>633141.89239853795</v>
      </c>
      <c r="O34" s="51">
        <v>670108.0224069875</v>
      </c>
      <c r="P34" s="32">
        <f t="shared" si="2"/>
        <v>8766628.5488016624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252442.47852541984</v>
      </c>
      <c r="E35" s="30">
        <v>257727.78032652178</v>
      </c>
      <c r="F35" s="30">
        <v>326063.49946238624</v>
      </c>
      <c r="G35" s="30">
        <v>345774.20752005593</v>
      </c>
      <c r="H35" s="30">
        <v>268259.93480340595</v>
      </c>
      <c r="I35" s="30">
        <v>332044.44392410474</v>
      </c>
      <c r="J35" s="30">
        <v>288341.93029107194</v>
      </c>
      <c r="K35" s="31">
        <v>203437.32988708364</v>
      </c>
      <c r="L35" s="31">
        <v>285816.36008690012</v>
      </c>
      <c r="M35" s="31">
        <v>295491.81584812951</v>
      </c>
      <c r="N35" s="31">
        <v>344335.81666740507</v>
      </c>
      <c r="O35" s="51">
        <v>355728.9521809821</v>
      </c>
      <c r="P35" s="32">
        <f t="shared" si="2"/>
        <v>3555464.5495234667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15175.988329241076</v>
      </c>
      <c r="E36" s="30">
        <v>5488.4479117645715</v>
      </c>
      <c r="F36" s="30">
        <v>5513.547785744513</v>
      </c>
      <c r="G36" s="30">
        <v>10033.975862815605</v>
      </c>
      <c r="H36" s="30">
        <v>13433.078813061053</v>
      </c>
      <c r="I36" s="30">
        <v>35239.498051137023</v>
      </c>
      <c r="J36" s="30">
        <v>115467.10956937172</v>
      </c>
      <c r="K36" s="31">
        <v>147444.22648178381</v>
      </c>
      <c r="L36" s="31">
        <v>77479.696104075862</v>
      </c>
      <c r="M36" s="31">
        <v>52915.149949001381</v>
      </c>
      <c r="N36" s="31">
        <v>15235.266103225436</v>
      </c>
      <c r="O36" s="51">
        <v>9085.1638649635734</v>
      </c>
      <c r="P36" s="32">
        <f t="shared" si="2"/>
        <v>502511.14882618561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1218162.3831974969</v>
      </c>
      <c r="E37" s="30">
        <v>1082811.0072866639</v>
      </c>
      <c r="F37" s="30">
        <v>1272302.9335618301</v>
      </c>
      <c r="G37" s="30">
        <v>1312908.34633508</v>
      </c>
      <c r="H37" s="30">
        <v>1326443.4839261633</v>
      </c>
      <c r="I37" s="30">
        <v>1624216.5109299959</v>
      </c>
      <c r="J37" s="30">
        <v>1691892.1988854124</v>
      </c>
      <c r="K37" s="31">
        <v>1759567.8868408289</v>
      </c>
      <c r="L37" s="31">
        <v>1285838.0711529134</v>
      </c>
      <c r="M37" s="31">
        <v>1218162.3831974969</v>
      </c>
      <c r="N37" s="31">
        <v>1204627.2456064136</v>
      </c>
      <c r="O37" s="51">
        <v>1245232.6583796635</v>
      </c>
      <c r="P37" s="32">
        <f t="shared" si="2"/>
        <v>16242165.10929996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982710.87498690933</v>
      </c>
      <c r="E38" s="26">
        <f t="shared" ref="E38:O38" si="5">+SUM(E39:E44)</f>
        <v>869104.05358116457</v>
      </c>
      <c r="F38" s="26">
        <f t="shared" si="5"/>
        <v>787268.76554129389</v>
      </c>
      <c r="G38" s="26">
        <f t="shared" si="5"/>
        <v>1546322.5460752659</v>
      </c>
      <c r="H38" s="26">
        <f t="shared" si="5"/>
        <v>932515.34080204321</v>
      </c>
      <c r="I38" s="26">
        <f t="shared" si="5"/>
        <v>1175327.7210279165</v>
      </c>
      <c r="J38" s="26">
        <f t="shared" si="5"/>
        <v>2020249.028265815</v>
      </c>
      <c r="K38" s="27">
        <f t="shared" si="5"/>
        <v>1079348.0183819076</v>
      </c>
      <c r="L38" s="27">
        <f t="shared" si="5"/>
        <v>1345127.7045627646</v>
      </c>
      <c r="M38" s="27">
        <f t="shared" si="5"/>
        <v>1098866.9792922472</v>
      </c>
      <c r="N38" s="27">
        <f t="shared" si="5"/>
        <v>885498.0103225843</v>
      </c>
      <c r="O38" s="50">
        <f t="shared" si="5"/>
        <v>1136253.4997662231</v>
      </c>
      <c r="P38" s="28">
        <f t="shared" si="2"/>
        <v>13858592.542606136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74908.131611371835</v>
      </c>
      <c r="E39" s="30">
        <v>23550.009068415115</v>
      </c>
      <c r="F39" s="30">
        <v>22968.940964279551</v>
      </c>
      <c r="G39" s="30">
        <v>27429.389117970448</v>
      </c>
      <c r="H39" s="30">
        <v>30556.042262077168</v>
      </c>
      <c r="I39" s="30">
        <v>29697.340030062864</v>
      </c>
      <c r="J39" s="30">
        <v>58678.475724849472</v>
      </c>
      <c r="K39" s="31">
        <v>90332.521977156648</v>
      </c>
      <c r="L39" s="31">
        <v>111262.34960854963</v>
      </c>
      <c r="M39" s="31">
        <v>120982.61938268811</v>
      </c>
      <c r="N39" s="31">
        <v>76485.188166027234</v>
      </c>
      <c r="O39" s="51">
        <v>100665.72865548421</v>
      </c>
      <c r="P39" s="32">
        <f t="shared" si="2"/>
        <v>767516.73656893219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41340.351166230052</v>
      </c>
      <c r="E40" s="30">
        <v>60139.779509022002</v>
      </c>
      <c r="F40" s="30">
        <v>65829.577299673969</v>
      </c>
      <c r="G40" s="30">
        <v>89073.136876231671</v>
      </c>
      <c r="H40" s="30">
        <v>107142.13571005454</v>
      </c>
      <c r="I40" s="30">
        <v>116641.17968953511</v>
      </c>
      <c r="J40" s="30">
        <v>121973.85521455987</v>
      </c>
      <c r="K40" s="31">
        <v>148251.86009824905</v>
      </c>
      <c r="L40" s="31">
        <v>118685.96121228721</v>
      </c>
      <c r="M40" s="31">
        <v>151103.61106134616</v>
      </c>
      <c r="N40" s="31">
        <v>112378.6351175053</v>
      </c>
      <c r="O40" s="51">
        <v>140815.61349906723</v>
      </c>
      <c r="P40" s="32">
        <f t="shared" si="2"/>
        <v>1273375.6964537622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247124.22503235005</v>
      </c>
      <c r="E41" s="30">
        <v>2218.5560408142283</v>
      </c>
      <c r="F41" s="30">
        <v>13432.213424296489</v>
      </c>
      <c r="G41" s="30">
        <v>71796.626625634046</v>
      </c>
      <c r="H41" s="30">
        <v>10921.311327090261</v>
      </c>
      <c r="I41" s="30">
        <v>234115.89884799815</v>
      </c>
      <c r="J41" s="30">
        <v>48074.023137452277</v>
      </c>
      <c r="K41" s="31">
        <v>43662.795502239882</v>
      </c>
      <c r="L41" s="31">
        <v>84724.058721427253</v>
      </c>
      <c r="M41" s="31">
        <v>89541.155584391992</v>
      </c>
      <c r="N41" s="31">
        <v>469.11923673154934</v>
      </c>
      <c r="O41" s="51">
        <v>60078.090968156321</v>
      </c>
      <c r="P41" s="32">
        <f t="shared" si="2"/>
        <v>906158.07444858248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179354.57666904427</v>
      </c>
      <c r="E42" s="30">
        <v>243144.83571010665</v>
      </c>
      <c r="F42" s="30">
        <v>272906.32295692031</v>
      </c>
      <c r="G42" s="30">
        <v>221192.91748194481</v>
      </c>
      <c r="H42" s="30">
        <v>207998.45917902872</v>
      </c>
      <c r="I42" s="30">
        <v>199861.55134658315</v>
      </c>
      <c r="J42" s="30">
        <v>279922.60601668584</v>
      </c>
      <c r="K42" s="31">
        <v>259024.3495760845</v>
      </c>
      <c r="L42" s="31">
        <v>163486.81222208266</v>
      </c>
      <c r="M42" s="31">
        <v>229512.62016446379</v>
      </c>
      <c r="N42" s="31">
        <v>278941.99950558663</v>
      </c>
      <c r="O42" s="51">
        <v>363990.4823728159</v>
      </c>
      <c r="P42" s="32">
        <f t="shared" si="2"/>
        <v>2899337.5332013466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296047.35467364622</v>
      </c>
      <c r="E43" s="30">
        <v>263097.27733410237</v>
      </c>
      <c r="F43" s="30">
        <v>258207.78749936659</v>
      </c>
      <c r="G43" s="30">
        <v>252033.27327615619</v>
      </c>
      <c r="H43" s="30">
        <v>393422.49566954153</v>
      </c>
      <c r="I43" s="30">
        <v>426928.76100874052</v>
      </c>
      <c r="J43" s="30">
        <v>419857.98023353948</v>
      </c>
      <c r="K43" s="31">
        <v>387071.55225916719</v>
      </c>
      <c r="L43" s="31">
        <v>657472.1958811942</v>
      </c>
      <c r="M43" s="31">
        <v>206724.58866331077</v>
      </c>
      <c r="N43" s="31">
        <v>263469.42623368697</v>
      </c>
      <c r="O43" s="51">
        <v>214540.13832752779</v>
      </c>
      <c r="P43" s="32">
        <f t="shared" si="2"/>
        <v>4038872.8310599797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143936.23583426693</v>
      </c>
      <c r="E44" s="30">
        <v>276953.59591870417</v>
      </c>
      <c r="F44" s="30">
        <v>153923.92339675705</v>
      </c>
      <c r="G44" s="30">
        <v>884797.20269732864</v>
      </c>
      <c r="H44" s="30">
        <v>182474.89665425106</v>
      </c>
      <c r="I44" s="30">
        <v>168082.99010499663</v>
      </c>
      <c r="J44" s="30">
        <v>1091742.087938728</v>
      </c>
      <c r="K44" s="31">
        <v>151004.93896901025</v>
      </c>
      <c r="L44" s="31">
        <v>209496.32691722366</v>
      </c>
      <c r="M44" s="31">
        <v>301002.38443604641</v>
      </c>
      <c r="N44" s="31">
        <v>153753.64206304651</v>
      </c>
      <c r="O44" s="51">
        <v>256163.44594317174</v>
      </c>
      <c r="P44" s="32">
        <f t="shared" si="2"/>
        <v>3973331.6708735307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923442.3429132913</v>
      </c>
      <c r="E45" s="26">
        <f t="shared" ref="E45:O45" si="6">+SUM(E46:E49)</f>
        <v>1777418.9190493901</v>
      </c>
      <c r="F45" s="26">
        <f t="shared" si="6"/>
        <v>2321412.8253925741</v>
      </c>
      <c r="G45" s="26">
        <f t="shared" si="6"/>
        <v>1637829.2535735941</v>
      </c>
      <c r="H45" s="26">
        <f t="shared" si="6"/>
        <v>1886272.7717710272</v>
      </c>
      <c r="I45" s="26">
        <f t="shared" si="6"/>
        <v>1533956.11443653</v>
      </c>
      <c r="J45" s="26">
        <f t="shared" si="6"/>
        <v>3092390.5965000256</v>
      </c>
      <c r="K45" s="27">
        <f t="shared" si="6"/>
        <v>2409748.3951187199</v>
      </c>
      <c r="L45" s="27">
        <f t="shared" si="6"/>
        <v>1476812.0861061718</v>
      </c>
      <c r="M45" s="27">
        <f t="shared" si="6"/>
        <v>1888437.4129044577</v>
      </c>
      <c r="N45" s="27">
        <f t="shared" si="6"/>
        <v>2006775.4309992469</v>
      </c>
      <c r="O45" s="50">
        <f t="shared" si="6"/>
        <v>8463643.2651979905</v>
      </c>
      <c r="P45" s="28">
        <f t="shared" si="2"/>
        <v>29418139.413963012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98721.240703580421</v>
      </c>
      <c r="E46" s="30">
        <v>199006.9554647851</v>
      </c>
      <c r="F46" s="30">
        <v>292621.907293392</v>
      </c>
      <c r="G46" s="30">
        <v>284997.00106043334</v>
      </c>
      <c r="H46" s="30">
        <v>65352.292316141793</v>
      </c>
      <c r="I46" s="30">
        <v>88560.434385360481</v>
      </c>
      <c r="J46" s="30">
        <v>1239363.1697599126</v>
      </c>
      <c r="K46" s="31">
        <v>88219.936051167344</v>
      </c>
      <c r="L46" s="31">
        <v>39016.234769396273</v>
      </c>
      <c r="M46" s="31">
        <v>27677.405106364404</v>
      </c>
      <c r="N46" s="31">
        <v>537263.99134649755</v>
      </c>
      <c r="O46" s="51">
        <v>5854494.6857544566</v>
      </c>
      <c r="P46" s="32">
        <f t="shared" si="2"/>
        <v>8815295.2540114876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383042.28989708459</v>
      </c>
      <c r="E47" s="30">
        <v>477254.92582153057</v>
      </c>
      <c r="F47" s="30">
        <v>683436.22345265537</v>
      </c>
      <c r="G47" s="30">
        <v>618670.23229595972</v>
      </c>
      <c r="H47" s="30">
        <v>674710.24948405835</v>
      </c>
      <c r="I47" s="30">
        <v>650321.89490412129</v>
      </c>
      <c r="J47" s="30">
        <v>961741.84883892175</v>
      </c>
      <c r="K47" s="31">
        <v>1110907.420503031</v>
      </c>
      <c r="L47" s="31">
        <v>721846.04987347173</v>
      </c>
      <c r="M47" s="31">
        <v>716487.68784240645</v>
      </c>
      <c r="N47" s="31">
        <v>710861.44747881312</v>
      </c>
      <c r="O47" s="51">
        <v>802065.24626978079</v>
      </c>
      <c r="P47" s="32">
        <f t="shared" si="2"/>
        <v>8511345.516661834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105660.57810580246</v>
      </c>
      <c r="E48" s="30">
        <v>113960.07404027163</v>
      </c>
      <c r="F48" s="30">
        <v>194068.21940110344</v>
      </c>
      <c r="G48" s="30">
        <v>215744.02279161251</v>
      </c>
      <c r="H48" s="30">
        <v>194245.15208018161</v>
      </c>
      <c r="I48" s="31">
        <v>202910.49602642201</v>
      </c>
      <c r="J48" s="30">
        <v>188059.0443053284</v>
      </c>
      <c r="K48" s="31">
        <v>163610.16787117429</v>
      </c>
      <c r="L48" s="31">
        <v>151132.44421843963</v>
      </c>
      <c r="M48" s="31">
        <v>162193.35524771339</v>
      </c>
      <c r="N48" s="31">
        <v>151171.99535484734</v>
      </c>
      <c r="O48" s="51">
        <v>264415.23647077201</v>
      </c>
      <c r="P48" s="32">
        <f t="shared" si="2"/>
        <v>2107170.7859136686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336018.23420682386</v>
      </c>
      <c r="E49" s="30">
        <v>987196.96372280282</v>
      </c>
      <c r="F49" s="30">
        <v>1151286.4752454229</v>
      </c>
      <c r="G49" s="30">
        <v>518417.99742558866</v>
      </c>
      <c r="H49" s="30">
        <v>951965.0778906456</v>
      </c>
      <c r="I49" s="31">
        <v>592163.28912062617</v>
      </c>
      <c r="J49" s="30">
        <v>703226.53359586268</v>
      </c>
      <c r="K49" s="31">
        <v>1047010.8706933472</v>
      </c>
      <c r="L49" s="31">
        <v>564817.35724486422</v>
      </c>
      <c r="M49" s="31">
        <v>982078.96470797341</v>
      </c>
      <c r="N49" s="31">
        <v>607477.99681908905</v>
      </c>
      <c r="O49" s="51">
        <v>1542668.0967029808</v>
      </c>
      <c r="P49" s="32">
        <f t="shared" si="2"/>
        <v>9984327.8573760279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559600.7769500342</v>
      </c>
      <c r="E50" s="46">
        <v>354476.86713533319</v>
      </c>
      <c r="F50" s="46">
        <v>385297.92814256047</v>
      </c>
      <c r="G50" s="46">
        <v>255274.24635764034</v>
      </c>
      <c r="H50" s="46">
        <v>249492.02995238511</v>
      </c>
      <c r="I50" s="46">
        <v>375486.02775821509</v>
      </c>
      <c r="J50" s="46">
        <v>535390.30249528366</v>
      </c>
      <c r="K50" s="45">
        <v>597926.67182852363</v>
      </c>
      <c r="L50" s="46">
        <v>377295.10829472088</v>
      </c>
      <c r="M50" s="46">
        <v>319944.5954149249</v>
      </c>
      <c r="N50" s="46">
        <v>559463.96219362307</v>
      </c>
      <c r="O50" s="52">
        <v>239411.49161934044</v>
      </c>
      <c r="P50" s="47">
        <f t="shared" si="2"/>
        <v>4809060.008142584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+D53+D68+D74+D80+D81+D82</f>
        <v>106332954.82000001</v>
      </c>
      <c r="E51" s="60">
        <f>+E53+E68+E74+E80+E81+E82</f>
        <v>104016717.01000001</v>
      </c>
      <c r="F51" s="60">
        <f>+F53+F68+F74+F80+F81+F82</f>
        <v>104000568.60000001</v>
      </c>
      <c r="G51" s="60">
        <f>+G53+G68+G74+G80+G81+G82+G83</f>
        <v>104086368.58000001</v>
      </c>
      <c r="H51" s="60">
        <f t="shared" ref="H51:O51" si="7">+H53+H68+H74+H80+H81+H82</f>
        <v>103988868.56</v>
      </c>
      <c r="I51" s="60">
        <f t="shared" si="7"/>
        <v>103941697.13000001</v>
      </c>
      <c r="J51" s="60">
        <f t="shared" si="7"/>
        <v>104752168.85000001</v>
      </c>
      <c r="K51" s="60">
        <f t="shared" si="7"/>
        <v>104995704.38</v>
      </c>
      <c r="L51" s="60">
        <f t="shared" si="7"/>
        <v>105000904.38000001</v>
      </c>
      <c r="M51" s="60">
        <f t="shared" si="7"/>
        <v>104997904.41000001</v>
      </c>
      <c r="N51" s="60">
        <f t="shared" si="7"/>
        <v>104997284.16000001</v>
      </c>
      <c r="O51" s="86">
        <f t="shared" si="7"/>
        <v>106005395.71000001</v>
      </c>
      <c r="P51" s="84">
        <f>+SUM(D51:O51)</f>
        <v>1257116536.5900002</v>
      </c>
      <c r="Q51" s="139"/>
      <c r="R51" s="89"/>
      <c r="S51" s="11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+D51-D80</f>
        <v>100863038.15000001</v>
      </c>
      <c r="E52" s="60">
        <f t="shared" si="8"/>
        <v>98546800.340000004</v>
      </c>
      <c r="F52" s="60">
        <f t="shared" si="8"/>
        <v>98530651.930000007</v>
      </c>
      <c r="G52" s="60">
        <f t="shared" si="8"/>
        <v>98616451.910000011</v>
      </c>
      <c r="H52" s="60">
        <f t="shared" si="8"/>
        <v>98518951.890000001</v>
      </c>
      <c r="I52" s="60">
        <f t="shared" si="8"/>
        <v>98471780.460000008</v>
      </c>
      <c r="J52" s="60">
        <f t="shared" si="8"/>
        <v>99282252.180000007</v>
      </c>
      <c r="K52" s="60">
        <f t="shared" si="8"/>
        <v>99525787.709999993</v>
      </c>
      <c r="L52" s="60">
        <f t="shared" si="8"/>
        <v>99530987.710000008</v>
      </c>
      <c r="M52" s="60">
        <f t="shared" si="8"/>
        <v>99527987.74000001</v>
      </c>
      <c r="N52" s="60">
        <f t="shared" si="8"/>
        <v>99527367.49000001</v>
      </c>
      <c r="O52" s="86">
        <f t="shared" si="8"/>
        <v>100535479.04000001</v>
      </c>
      <c r="P52" s="84">
        <f>+SUM(D52:O52)</f>
        <v>1191477536.5500002</v>
      </c>
      <c r="Q52" s="2"/>
      <c r="R52" s="89"/>
      <c r="S52" s="11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+D54+D60+D61+D62+D63+D64+D65+D66+D67</f>
        <v>50532803.109999999</v>
      </c>
      <c r="E53" s="61">
        <f t="shared" ref="E53:O53" si="9">+E54+E60+E61+E62+E63+E64+E65+E66+E67</f>
        <v>48683231.259999998</v>
      </c>
      <c r="F53" s="61">
        <f t="shared" si="9"/>
        <v>48667082.850000001</v>
      </c>
      <c r="G53" s="61">
        <f t="shared" si="9"/>
        <v>48752882.830000006</v>
      </c>
      <c r="H53" s="61">
        <f t="shared" si="9"/>
        <v>48655382.809999995</v>
      </c>
      <c r="I53" s="61">
        <f t="shared" si="9"/>
        <v>48608211.380000003</v>
      </c>
      <c r="J53" s="61">
        <f t="shared" si="9"/>
        <v>49418683.100000001</v>
      </c>
      <c r="K53" s="61">
        <f t="shared" si="9"/>
        <v>49662218.629999995</v>
      </c>
      <c r="L53" s="61">
        <f t="shared" si="9"/>
        <v>49667418.630000003</v>
      </c>
      <c r="M53" s="61">
        <f t="shared" si="9"/>
        <v>49664418.660000004</v>
      </c>
      <c r="N53" s="61">
        <f t="shared" si="9"/>
        <v>49663798.410000004</v>
      </c>
      <c r="O53" s="61">
        <f t="shared" si="9"/>
        <v>50671909.960000001</v>
      </c>
      <c r="P53" s="106">
        <f t="shared" si="2"/>
        <v>592648041.63000011</v>
      </c>
      <c r="Q53" s="2"/>
      <c r="R53" s="89"/>
      <c r="S53" s="11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f>SUM(D55:D59)</f>
        <v>31004294.239999998</v>
      </c>
      <c r="E54" s="61">
        <f t="shared" ref="E54:O54" si="10">SUM(E55:E59)</f>
        <v>31017141.049999997</v>
      </c>
      <c r="F54" s="61">
        <f t="shared" si="10"/>
        <v>31010717.639999997</v>
      </c>
      <c r="G54" s="61">
        <f t="shared" si="10"/>
        <v>31010717.639999997</v>
      </c>
      <c r="H54" s="61">
        <f t="shared" si="10"/>
        <v>31010717.639999997</v>
      </c>
      <c r="I54" s="61">
        <f t="shared" si="10"/>
        <v>31010717.639999997</v>
      </c>
      <c r="J54" s="61">
        <f t="shared" si="10"/>
        <v>31010717.639999997</v>
      </c>
      <c r="K54" s="61">
        <f t="shared" si="10"/>
        <v>31010717.639999997</v>
      </c>
      <c r="L54" s="61">
        <f t="shared" si="10"/>
        <v>31010717.639999997</v>
      </c>
      <c r="M54" s="61">
        <f t="shared" si="10"/>
        <v>31010717.639999997</v>
      </c>
      <c r="N54" s="61">
        <f t="shared" si="10"/>
        <v>31010717.639999997</v>
      </c>
      <c r="O54" s="61">
        <f t="shared" si="10"/>
        <v>31010717.639999997</v>
      </c>
      <c r="P54" s="106">
        <f t="shared" si="2"/>
        <v>372128611.68999988</v>
      </c>
      <c r="Q54" s="65"/>
      <c r="R54" s="89"/>
      <c r="S54" s="113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18454351.399999999</v>
      </c>
      <c r="E55" s="31">
        <v>18462075.399999999</v>
      </c>
      <c r="F55" s="30">
        <v>18458213.399999999</v>
      </c>
      <c r="G55" s="30">
        <v>18458213.399999999</v>
      </c>
      <c r="H55" s="30">
        <v>18458213.399999999</v>
      </c>
      <c r="I55" s="31">
        <v>18458213.399999999</v>
      </c>
      <c r="J55" s="30">
        <v>18458213.399999999</v>
      </c>
      <c r="K55" s="31">
        <v>18458213.399999999</v>
      </c>
      <c r="L55" s="31">
        <v>18458213.399999999</v>
      </c>
      <c r="M55" s="31">
        <v>18458213.399999999</v>
      </c>
      <c r="N55" s="31">
        <v>18458213.399999999</v>
      </c>
      <c r="O55" s="51">
        <v>18458213.399999999</v>
      </c>
      <c r="P55" s="67">
        <f t="shared" si="2"/>
        <v>221498560.80000004</v>
      </c>
      <c r="Q55" s="65"/>
      <c r="R55" s="148"/>
      <c r="S55" s="113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2493270.63</v>
      </c>
      <c r="E56" s="30">
        <v>2494305.87</v>
      </c>
      <c r="F56" s="30">
        <v>2493788.25</v>
      </c>
      <c r="G56" s="30">
        <v>2493788.25</v>
      </c>
      <c r="H56" s="30">
        <v>2493788.25</v>
      </c>
      <c r="I56" s="31">
        <v>2493788.25</v>
      </c>
      <c r="J56" s="30">
        <v>2493788.25</v>
      </c>
      <c r="K56" s="31">
        <v>2493788.25</v>
      </c>
      <c r="L56" s="31">
        <v>2493788.25</v>
      </c>
      <c r="M56" s="31">
        <v>2493788.25</v>
      </c>
      <c r="N56" s="31">
        <v>2493788.25</v>
      </c>
      <c r="O56" s="51">
        <v>2493788.25</v>
      </c>
      <c r="P56" s="67">
        <f t="shared" si="2"/>
        <v>29925459</v>
      </c>
      <c r="Q56" s="65"/>
      <c r="R56" s="89"/>
      <c r="S56" s="113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6331968.1500000004</v>
      </c>
      <c r="E57" s="30">
        <v>6334730.6100000003</v>
      </c>
      <c r="F57" s="30">
        <v>6333349.3799999999</v>
      </c>
      <c r="G57" s="30">
        <v>6333349.3799999999</v>
      </c>
      <c r="H57" s="30">
        <v>6333349.3799999999</v>
      </c>
      <c r="I57" s="31">
        <v>6333349.3799999999</v>
      </c>
      <c r="J57" s="30">
        <v>6333349.3799999999</v>
      </c>
      <c r="K57" s="31">
        <v>6333349.3799999999</v>
      </c>
      <c r="L57" s="31">
        <v>6333349.3799999999</v>
      </c>
      <c r="M57" s="31">
        <v>6333349.3799999999</v>
      </c>
      <c r="N57" s="31">
        <v>6333349.3799999999</v>
      </c>
      <c r="O57" s="51">
        <v>6333349.3799999999</v>
      </c>
      <c r="P57" s="67">
        <f t="shared" si="2"/>
        <v>76000192.560000002</v>
      </c>
      <c r="Q57" s="65"/>
      <c r="R57" s="89"/>
      <c r="S57" s="113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3365889.54</v>
      </c>
      <c r="E58" s="30">
        <v>3367059.0900000003</v>
      </c>
      <c r="F58" s="30">
        <v>3366474.31</v>
      </c>
      <c r="G58" s="30">
        <v>3366474.31</v>
      </c>
      <c r="H58" s="30">
        <v>3366474.31</v>
      </c>
      <c r="I58" s="31">
        <v>3366474.31</v>
      </c>
      <c r="J58" s="30">
        <v>3366474.31</v>
      </c>
      <c r="K58" s="31">
        <v>3366474.31</v>
      </c>
      <c r="L58" s="31">
        <v>3366474.31</v>
      </c>
      <c r="M58" s="31">
        <v>3366474.31</v>
      </c>
      <c r="N58" s="31">
        <v>3366474.31</v>
      </c>
      <c r="O58" s="51">
        <v>3366474.31</v>
      </c>
      <c r="P58" s="67">
        <f t="shared" si="2"/>
        <v>40397691.730000004</v>
      </c>
      <c r="Q58" s="65"/>
      <c r="R58" s="89"/>
      <c r="S58" s="113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358814.51999999996</v>
      </c>
      <c r="E59" s="30">
        <v>358970.07999999996</v>
      </c>
      <c r="F59" s="30">
        <v>358892.3</v>
      </c>
      <c r="G59" s="30">
        <v>358892.3</v>
      </c>
      <c r="H59" s="30">
        <v>358892.3</v>
      </c>
      <c r="I59" s="31">
        <v>358892.3</v>
      </c>
      <c r="J59" s="30">
        <v>358892.3</v>
      </c>
      <c r="K59" s="31">
        <v>358892.3</v>
      </c>
      <c r="L59" s="31">
        <v>358892.3</v>
      </c>
      <c r="M59" s="31">
        <v>358892.3</v>
      </c>
      <c r="N59" s="31">
        <v>358892.3</v>
      </c>
      <c r="O59" s="51">
        <v>358892.3</v>
      </c>
      <c r="P59" s="67">
        <f t="shared" si="2"/>
        <v>4306707.5999999987</v>
      </c>
      <c r="Q59" s="65"/>
      <c r="R59" s="89"/>
      <c r="S59" s="113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872858.53</v>
      </c>
      <c r="E60" s="64">
        <v>872858.53</v>
      </c>
      <c r="F60" s="64">
        <v>872858.53</v>
      </c>
      <c r="G60" s="65">
        <v>872858.53</v>
      </c>
      <c r="H60" s="65">
        <v>872858.53</v>
      </c>
      <c r="I60" s="65">
        <v>872858.53</v>
      </c>
      <c r="J60" s="65">
        <v>872858.53</v>
      </c>
      <c r="K60" s="65">
        <v>872858.53</v>
      </c>
      <c r="L60" s="65">
        <v>875858.53</v>
      </c>
      <c r="M60" s="64">
        <v>872858.53</v>
      </c>
      <c r="N60" s="63">
        <v>872858.53</v>
      </c>
      <c r="O60" s="62">
        <v>872858.53</v>
      </c>
      <c r="P60" s="67">
        <f t="shared" si="2"/>
        <v>10477302.359999999</v>
      </c>
      <c r="Q60" s="2"/>
      <c r="R60" s="89"/>
      <c r="S60" s="11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 i usluge</v>
      </c>
      <c r="D61" s="61">
        <v>8081859.9900000002</v>
      </c>
      <c r="E61" s="64">
        <v>6239778</v>
      </c>
      <c r="F61" s="64">
        <v>6230053</v>
      </c>
      <c r="G61" s="65">
        <v>6227853</v>
      </c>
      <c r="H61" s="65">
        <v>6165352.9900000002</v>
      </c>
      <c r="I61" s="65">
        <v>6171348.29</v>
      </c>
      <c r="J61" s="65">
        <v>6770742.0499999998</v>
      </c>
      <c r="K61" s="65">
        <v>7016277.6799999997</v>
      </c>
      <c r="L61" s="65">
        <v>7018477.7200000007</v>
      </c>
      <c r="M61" s="64">
        <v>7018477.7400000002</v>
      </c>
      <c r="N61" s="63">
        <v>7018024.1600000001</v>
      </c>
      <c r="O61" s="62">
        <v>8025802.4399999995</v>
      </c>
      <c r="P61" s="67">
        <f t="shared" si="2"/>
        <v>81984047.060000002</v>
      </c>
      <c r="Q61" s="2"/>
      <c r="R61" s="89"/>
      <c r="S61" s="113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IF(MasterSheet!$A$1=1,MasterSheet!C380,MasterSheet!B380)</f>
        <v>Tekuće održavanje</v>
      </c>
      <c r="D62" s="61">
        <v>1705295.83</v>
      </c>
      <c r="E62" s="64">
        <v>1705125.83</v>
      </c>
      <c r="F62" s="64">
        <v>1705125.83</v>
      </c>
      <c r="G62" s="65">
        <v>1710125.83</v>
      </c>
      <c r="H62" s="65">
        <v>1705125.83</v>
      </c>
      <c r="I62" s="65">
        <v>1705125.83</v>
      </c>
      <c r="J62" s="65">
        <v>1705125.83</v>
      </c>
      <c r="K62" s="65">
        <v>1705125.83</v>
      </c>
      <c r="L62" s="65">
        <v>1705125.83</v>
      </c>
      <c r="M62" s="64">
        <v>1705125.83</v>
      </c>
      <c r="N62" s="63">
        <v>1705125.83</v>
      </c>
      <c r="O62" s="62">
        <v>1705125.83</v>
      </c>
      <c r="P62" s="67">
        <f t="shared" si="2"/>
        <v>20466679.960000001</v>
      </c>
      <c r="Q62" s="2"/>
      <c r="R62" s="89"/>
      <c r="S62" s="113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IF(MasterSheet!$A$1=1,MasterSheet!C381,MasterSheet!B381)</f>
        <v>Kamate</v>
      </c>
      <c r="D63" s="61">
        <v>5866967.2800000003</v>
      </c>
      <c r="E63" s="64">
        <v>5866967.2800000003</v>
      </c>
      <c r="F63" s="64">
        <v>5866967.2800000003</v>
      </c>
      <c r="G63" s="65">
        <v>5866967.2800000003</v>
      </c>
      <c r="H63" s="65">
        <v>5866967.2800000003</v>
      </c>
      <c r="I63" s="65">
        <v>5866967.2800000003</v>
      </c>
      <c r="J63" s="65">
        <v>5866967.2800000003</v>
      </c>
      <c r="K63" s="65">
        <v>5866967.2800000003</v>
      </c>
      <c r="L63" s="65">
        <v>5866967.2800000003</v>
      </c>
      <c r="M63" s="64">
        <v>5866967.2800000003</v>
      </c>
      <c r="N63" s="63">
        <v>5866967.2800000003</v>
      </c>
      <c r="O63" s="62">
        <v>5866967.2800000003</v>
      </c>
      <c r="P63" s="67">
        <f t="shared" si="2"/>
        <v>70403607.359999999</v>
      </c>
      <c r="Q63" s="2"/>
      <c r="R63" s="89"/>
      <c r="S63" s="11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IF(MasterSheet!$A$1=1,MasterSheet!C382,MasterSheet!B382)</f>
        <v>Renta</v>
      </c>
      <c r="D64" s="61">
        <v>651894.94999999995</v>
      </c>
      <c r="E64" s="64">
        <v>651894.94999999995</v>
      </c>
      <c r="F64" s="64">
        <v>651894.94999999995</v>
      </c>
      <c r="G64" s="65">
        <v>654894.94999999995</v>
      </c>
      <c r="H64" s="65">
        <v>651894.94999999995</v>
      </c>
      <c r="I64" s="65">
        <v>651894.94999999995</v>
      </c>
      <c r="J64" s="65">
        <v>661894.94999999995</v>
      </c>
      <c r="K64" s="65">
        <v>659894.94999999995</v>
      </c>
      <c r="L64" s="65">
        <v>659894.94999999995</v>
      </c>
      <c r="M64" s="64">
        <v>659894.94999999995</v>
      </c>
      <c r="N64" s="63">
        <v>659894.94999999995</v>
      </c>
      <c r="O64" s="62">
        <v>659894.94999999995</v>
      </c>
      <c r="P64" s="67">
        <f t="shared" si="2"/>
        <v>7875739.4000000013</v>
      </c>
      <c r="Q64" s="2"/>
      <c r="R64" s="89"/>
      <c r="S64" s="11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IF(MasterSheet!$A$1=1,MasterSheet!C383,MasterSheet!B383)</f>
        <v>Subvencije</v>
      </c>
      <c r="D65" s="61">
        <v>1210000.01</v>
      </c>
      <c r="E65" s="64">
        <v>1210000.01</v>
      </c>
      <c r="F65" s="64">
        <v>1210000.01</v>
      </c>
      <c r="G65" s="65">
        <v>1210000.01</v>
      </c>
      <c r="H65" s="65">
        <v>1210000.01</v>
      </c>
      <c r="I65" s="65">
        <v>1209999.99</v>
      </c>
      <c r="J65" s="65">
        <v>1161666.69</v>
      </c>
      <c r="K65" s="65">
        <v>1161666.67</v>
      </c>
      <c r="L65" s="65">
        <v>1161666.67</v>
      </c>
      <c r="M65" s="64">
        <v>1161666.67</v>
      </c>
      <c r="N65" s="63">
        <v>1161666.67</v>
      </c>
      <c r="O65" s="62">
        <v>1161666.67</v>
      </c>
      <c r="P65" s="67">
        <f t="shared" si="2"/>
        <v>14230000.08</v>
      </c>
      <c r="Q65" s="2"/>
      <c r="R65" s="89"/>
      <c r="S65" s="113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IF(MasterSheet!$A$1=1,MasterSheet!C384,MasterSheet!B384)</f>
        <v>Ostali izdaci</v>
      </c>
      <c r="D66" s="61">
        <v>480158.8200000003</v>
      </c>
      <c r="E66" s="64">
        <v>480158.82000000018</v>
      </c>
      <c r="F66" s="105">
        <v>480158.82000000018</v>
      </c>
      <c r="G66" s="65">
        <v>480158.82000000018</v>
      </c>
      <c r="H66" s="65">
        <v>480158.82000000018</v>
      </c>
      <c r="I66" s="65">
        <v>480158.82000000012</v>
      </c>
      <c r="J66" s="65">
        <v>480158.82000000012</v>
      </c>
      <c r="K66" s="65">
        <v>480158.81999999989</v>
      </c>
      <c r="L66" s="65">
        <v>480158.81999999989</v>
      </c>
      <c r="M66" s="64">
        <v>480158.81999999989</v>
      </c>
      <c r="N66" s="63">
        <v>480158.81999999989</v>
      </c>
      <c r="O66" s="62">
        <v>480158.81999999989</v>
      </c>
      <c r="P66" s="67">
        <f t="shared" si="2"/>
        <v>5761905.8400000026</v>
      </c>
      <c r="Q66" s="2"/>
      <c r="R66" s="89"/>
      <c r="S66" s="113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">
        <v>130</v>
      </c>
      <c r="D67" s="61">
        <v>659473.45999999985</v>
      </c>
      <c r="E67" s="64">
        <v>639306.78999999992</v>
      </c>
      <c r="F67" s="63">
        <v>639306.78999999992</v>
      </c>
      <c r="G67" s="65">
        <v>719306.7699999999</v>
      </c>
      <c r="H67" s="65">
        <v>692306.76</v>
      </c>
      <c r="I67" s="65">
        <v>639140.04999999993</v>
      </c>
      <c r="J67" s="65">
        <v>888551.30999999994</v>
      </c>
      <c r="K67" s="65">
        <v>888551.23</v>
      </c>
      <c r="L67" s="65">
        <v>888551.19000000006</v>
      </c>
      <c r="M67" s="64">
        <v>888551.20000000007</v>
      </c>
      <c r="N67" s="63">
        <v>888384.52999999991</v>
      </c>
      <c r="O67" s="62">
        <v>888717.79999999993</v>
      </c>
      <c r="P67" s="67">
        <f t="shared" si="2"/>
        <v>9320147.879999999</v>
      </c>
      <c r="Q67" s="2"/>
      <c r="R67" s="89"/>
      <c r="S67" s="113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21" t="str">
        <f>IF(MasterSheet!$A$1=1,MasterSheet!C386,MasterSheet!B386)</f>
        <v>Transferi za socijalnu zaštitu</v>
      </c>
      <c r="D68" s="61">
        <f>+SUM(D69:D73)</f>
        <v>41489393.919999994</v>
      </c>
      <c r="E68" s="64">
        <f t="shared" ref="E68" si="11">+SUM(E69:E73)</f>
        <v>41489393.919999994</v>
      </c>
      <c r="F68" s="63">
        <f t="shared" ref="F68" si="12">+SUM(F69:F73)</f>
        <v>41489393.919999994</v>
      </c>
      <c r="G68" s="65">
        <f t="shared" ref="G68:O68" si="13">+SUM(G69:G73)</f>
        <v>41489393.919999994</v>
      </c>
      <c r="H68" s="65">
        <f t="shared" si="13"/>
        <v>41489393.919999994</v>
      </c>
      <c r="I68" s="65">
        <f t="shared" si="13"/>
        <v>41489393.919999994</v>
      </c>
      <c r="J68" s="65">
        <f t="shared" si="13"/>
        <v>41489393.919999994</v>
      </c>
      <c r="K68" s="65">
        <f t="shared" si="13"/>
        <v>41489393.919999994</v>
      </c>
      <c r="L68" s="65">
        <f t="shared" si="13"/>
        <v>41489393.919999994</v>
      </c>
      <c r="M68" s="64">
        <f t="shared" si="13"/>
        <v>41489393.919999994</v>
      </c>
      <c r="N68" s="63">
        <f t="shared" si="13"/>
        <v>41489393.919999994</v>
      </c>
      <c r="O68" s="62">
        <f t="shared" si="13"/>
        <v>41489393.919999994</v>
      </c>
      <c r="P68" s="106">
        <f t="shared" si="2"/>
        <v>497872727.04000002</v>
      </c>
      <c r="Q68" s="2"/>
      <c r="R68" s="89"/>
      <c r="S68" s="113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IF(MasterSheet!$A$1=1,MasterSheet!C387,MasterSheet!B387)</f>
        <v>Prava iz oblasti socijalne zaštite</v>
      </c>
      <c r="D69" s="29">
        <v>5084083.33</v>
      </c>
      <c r="E69" s="30">
        <v>5084083.33</v>
      </c>
      <c r="F69" s="30">
        <v>5084083.33</v>
      </c>
      <c r="G69" s="30">
        <v>5084083.33</v>
      </c>
      <c r="H69" s="30">
        <v>5084083.33</v>
      </c>
      <c r="I69" s="31">
        <v>5084083.33</v>
      </c>
      <c r="J69" s="30">
        <v>5084083.33</v>
      </c>
      <c r="K69" s="31">
        <v>5084083.33</v>
      </c>
      <c r="L69" s="31">
        <v>5084083.33</v>
      </c>
      <c r="M69" s="31">
        <v>5084083.33</v>
      </c>
      <c r="N69" s="31">
        <v>5084083.33</v>
      </c>
      <c r="O69" s="51">
        <v>5084083.33</v>
      </c>
      <c r="P69" s="67">
        <f t="shared" si="2"/>
        <v>61008999.959999986</v>
      </c>
      <c r="Q69" s="2"/>
      <c r="R69" s="89"/>
      <c r="S69" s="113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IF(MasterSheet!$A$1=1,MasterSheet!C388,MasterSheet!B388)</f>
        <v>Sredstva za tehnološke viškove</v>
      </c>
      <c r="D70" s="29">
        <v>1280004.17</v>
      </c>
      <c r="E70" s="31">
        <v>1280004.17</v>
      </c>
      <c r="F70" s="30">
        <v>1280004.17</v>
      </c>
      <c r="G70" s="30">
        <v>1280004.17</v>
      </c>
      <c r="H70" s="30">
        <v>1280004.17</v>
      </c>
      <c r="I70" s="31">
        <v>1280004.17</v>
      </c>
      <c r="J70" s="30">
        <v>1280004.17</v>
      </c>
      <c r="K70" s="31">
        <v>1280004.17</v>
      </c>
      <c r="L70" s="31">
        <v>1280004.17</v>
      </c>
      <c r="M70" s="31">
        <v>1280004.17</v>
      </c>
      <c r="N70" s="31">
        <v>1280004.17</v>
      </c>
      <c r="O70" s="51">
        <v>1280004.17</v>
      </c>
      <c r="P70" s="67">
        <f t="shared" si="2"/>
        <v>15360050.039999999</v>
      </c>
      <c r="Q70" s="2"/>
      <c r="R70" s="89"/>
      <c r="S70" s="113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IF(MasterSheet!$A$1=1,MasterSheet!C389,MasterSheet!B389)</f>
        <v>Prava iz oblasti penzijskog i invalidskog osiguranja</v>
      </c>
      <c r="D71" s="29">
        <v>33408639.759999998</v>
      </c>
      <c r="E71" s="30">
        <v>33408639.759999998</v>
      </c>
      <c r="F71" s="30">
        <v>33408639.759999998</v>
      </c>
      <c r="G71" s="30">
        <v>33408639.759999998</v>
      </c>
      <c r="H71" s="30">
        <v>33408639.759999998</v>
      </c>
      <c r="I71" s="31">
        <v>33408639.759999998</v>
      </c>
      <c r="J71" s="30">
        <v>33408639.759999998</v>
      </c>
      <c r="K71" s="31">
        <v>33408639.759999998</v>
      </c>
      <c r="L71" s="31">
        <v>33408639.759999998</v>
      </c>
      <c r="M71" s="31">
        <v>33408639.759999998</v>
      </c>
      <c r="N71" s="31">
        <v>33408639.759999998</v>
      </c>
      <c r="O71" s="51">
        <v>33408639.759999998</v>
      </c>
      <c r="P71" s="67">
        <f t="shared" si="2"/>
        <v>400903677.11999995</v>
      </c>
      <c r="Q71" s="2"/>
      <c r="R71" s="89"/>
      <c r="S71" s="113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IF(MasterSheet!$A$1=1,MasterSheet!C390,MasterSheet!B390)</f>
        <v>Ostala prava iz oblasti zdravstvene zaštite</v>
      </c>
      <c r="D72" s="29">
        <v>1133333.33</v>
      </c>
      <c r="E72" s="30">
        <v>1133333.33</v>
      </c>
      <c r="F72" s="30">
        <v>1133333.33</v>
      </c>
      <c r="G72" s="30">
        <v>1133333.33</v>
      </c>
      <c r="H72" s="30">
        <v>1133333.33</v>
      </c>
      <c r="I72" s="31">
        <v>1133333.33</v>
      </c>
      <c r="J72" s="30">
        <v>1133333.33</v>
      </c>
      <c r="K72" s="31">
        <v>1133333.33</v>
      </c>
      <c r="L72" s="31">
        <v>1133333.33</v>
      </c>
      <c r="M72" s="31">
        <v>1133333.33</v>
      </c>
      <c r="N72" s="31">
        <v>1133333.33</v>
      </c>
      <c r="O72" s="51">
        <v>1133333.33</v>
      </c>
      <c r="P72" s="67">
        <f t="shared" si="2"/>
        <v>13599999.960000001</v>
      </c>
      <c r="Q72" s="2"/>
      <c r="R72" s="89"/>
      <c r="S72" s="113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>
      <c r="A73" s="2"/>
      <c r="B73" s="2"/>
      <c r="C73" s="56" t="str">
        <f>IF(MasterSheet!$A$1=1,MasterSheet!C391,MasterSheet!B391)</f>
        <v>Ostala prava iz oblasti zdravstvenog osiguranja</v>
      </c>
      <c r="D73" s="29">
        <v>583333.33000000007</v>
      </c>
      <c r="E73" s="31">
        <v>583333.33000000007</v>
      </c>
      <c r="F73" s="30">
        <v>583333.33000000007</v>
      </c>
      <c r="G73" s="30">
        <v>583333.33000000007</v>
      </c>
      <c r="H73" s="30">
        <v>583333.33000000007</v>
      </c>
      <c r="I73" s="31">
        <v>583333.33000000007</v>
      </c>
      <c r="J73" s="30">
        <v>583333.33000000007</v>
      </c>
      <c r="K73" s="31">
        <v>583333.33000000007</v>
      </c>
      <c r="L73" s="31">
        <v>583333.33000000007</v>
      </c>
      <c r="M73" s="31">
        <v>583333.33000000007</v>
      </c>
      <c r="N73" s="31">
        <v>583333.33000000007</v>
      </c>
      <c r="O73" s="51">
        <v>583333.33000000007</v>
      </c>
      <c r="P73" s="67">
        <f t="shared" si="2"/>
        <v>6999999.9600000009</v>
      </c>
      <c r="Q73" s="2"/>
      <c r="R73" s="89"/>
      <c r="S73" s="113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25.5">
      <c r="A74" s="2"/>
      <c r="B74" s="2"/>
      <c r="C74" s="58" t="str">
        <f>IF(MasterSheet!$A$1=1,MasterSheet!C392,MasterSheet!B392)</f>
        <v>Transferi institucijama pojedinicima nevladinom i javnom sektoru</v>
      </c>
      <c r="D74" s="61">
        <f>+SUM(D75:D79)</f>
        <v>8084501.9900000002</v>
      </c>
      <c r="E74" s="64">
        <f t="shared" ref="E74" si="14">+SUM(E75:E79)</f>
        <v>7617836.0300000003</v>
      </c>
      <c r="F74" s="63">
        <f t="shared" ref="F74" si="15">+SUM(F75:F79)</f>
        <v>7617836.0300000003</v>
      </c>
      <c r="G74" s="65">
        <f t="shared" ref="G74:O74" si="16">+SUM(G75:G79)</f>
        <v>7617836.0300000003</v>
      </c>
      <c r="H74" s="65">
        <f t="shared" si="16"/>
        <v>7617836.0300000003</v>
      </c>
      <c r="I74" s="65">
        <f t="shared" si="16"/>
        <v>7617836.0300000003</v>
      </c>
      <c r="J74" s="65">
        <f t="shared" si="16"/>
        <v>7617836.0300000003</v>
      </c>
      <c r="K74" s="65">
        <f t="shared" si="16"/>
        <v>7617836.0300000003</v>
      </c>
      <c r="L74" s="65">
        <f t="shared" si="16"/>
        <v>7617836.0300000003</v>
      </c>
      <c r="M74" s="64">
        <f t="shared" si="16"/>
        <v>7617836.0300000003</v>
      </c>
      <c r="N74" s="63">
        <f t="shared" si="16"/>
        <v>7617836.0300000003</v>
      </c>
      <c r="O74" s="62">
        <f t="shared" si="16"/>
        <v>7617836.0300000003</v>
      </c>
      <c r="P74" s="106">
        <f t="shared" si="2"/>
        <v>91880698.320000008</v>
      </c>
      <c r="Q74" s="55"/>
      <c r="R74" s="89"/>
      <c r="S74" s="11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IF(MasterSheet!$A$1=1,MasterSheet!C393,MasterSheet!B393)</f>
        <v>Transferi javnim institucijama</v>
      </c>
      <c r="D75" s="29">
        <v>6317483.1400000006</v>
      </c>
      <c r="E75" s="31">
        <v>5850817.1800000006</v>
      </c>
      <c r="F75" s="30">
        <v>5850817.1800000006</v>
      </c>
      <c r="G75" s="30">
        <v>5850817.1800000006</v>
      </c>
      <c r="H75" s="30">
        <v>5850817.1800000006</v>
      </c>
      <c r="I75" s="31">
        <v>5850817.1800000006</v>
      </c>
      <c r="J75" s="30">
        <v>5850817.1800000006</v>
      </c>
      <c r="K75" s="31">
        <v>5850817.1800000006</v>
      </c>
      <c r="L75" s="31">
        <v>5850817.1800000006</v>
      </c>
      <c r="M75" s="31">
        <v>5850817.1800000006</v>
      </c>
      <c r="N75" s="31">
        <v>5850817.1800000006</v>
      </c>
      <c r="O75" s="51">
        <v>5850817.1800000006</v>
      </c>
      <c r="P75" s="67">
        <f t="shared" si="2"/>
        <v>70676472.120000005</v>
      </c>
      <c r="Q75" s="2"/>
      <c r="R75" s="89"/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IF(MasterSheet!$A$1=1,MasterSheet!C394,MasterSheet!B394)</f>
        <v>Transferi nevladinim organizacijama</v>
      </c>
      <c r="D76" s="29">
        <v>211218.85</v>
      </c>
      <c r="E76" s="30">
        <v>211218.85</v>
      </c>
      <c r="F76" s="30">
        <v>211218.85</v>
      </c>
      <c r="G76" s="30">
        <v>211218.85</v>
      </c>
      <c r="H76" s="30">
        <v>211218.85</v>
      </c>
      <c r="I76" s="31">
        <v>211218.85</v>
      </c>
      <c r="J76" s="30">
        <v>211218.85</v>
      </c>
      <c r="K76" s="31">
        <v>211218.85</v>
      </c>
      <c r="L76" s="31">
        <v>211218.85</v>
      </c>
      <c r="M76" s="31">
        <v>211218.85</v>
      </c>
      <c r="N76" s="31">
        <v>211218.85</v>
      </c>
      <c r="O76" s="51">
        <v>211218.85</v>
      </c>
      <c r="P76" s="67">
        <f t="shared" si="2"/>
        <v>2534626.2000000007</v>
      </c>
      <c r="Q76" s="2"/>
      <c r="R76" s="89"/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IF(MasterSheet!$A$1=1,MasterSheet!C395,MasterSheet!B395)</f>
        <v>Transferi pojedincima</v>
      </c>
      <c r="D77" s="29">
        <v>1534966.67</v>
      </c>
      <c r="E77" s="30">
        <v>1534966.67</v>
      </c>
      <c r="F77" s="30">
        <v>1534966.67</v>
      </c>
      <c r="G77" s="30">
        <v>1534966.67</v>
      </c>
      <c r="H77" s="30">
        <v>1534966.67</v>
      </c>
      <c r="I77" s="31">
        <v>1534966.67</v>
      </c>
      <c r="J77" s="30">
        <v>1534966.67</v>
      </c>
      <c r="K77" s="31">
        <v>1534966.67</v>
      </c>
      <c r="L77" s="31">
        <v>1534966.67</v>
      </c>
      <c r="M77" s="31">
        <v>1534966.67</v>
      </c>
      <c r="N77" s="31">
        <v>1534966.67</v>
      </c>
      <c r="O77" s="51">
        <v>1534966.67</v>
      </c>
      <c r="P77" s="67">
        <f t="shared" si="2"/>
        <v>18419600.039999999</v>
      </c>
      <c r="Q77" s="2"/>
      <c r="R77" s="89"/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>
      <c r="A78" s="2"/>
      <c r="B78" s="2"/>
      <c r="C78" s="56" t="str">
        <f>IF(MasterSheet!$A$1=1,MasterSheet!C396,MasterSheet!B396)</f>
        <v>Transferi opštinama</v>
      </c>
      <c r="D78" s="29">
        <v>20833.330000000002</v>
      </c>
      <c r="E78" s="30">
        <v>20833.330000000002</v>
      </c>
      <c r="F78" s="30">
        <v>20833.330000000002</v>
      </c>
      <c r="G78" s="30">
        <v>20833.330000000002</v>
      </c>
      <c r="H78" s="30">
        <v>20833.330000000002</v>
      </c>
      <c r="I78" s="31">
        <v>20833.330000000002</v>
      </c>
      <c r="J78" s="30">
        <v>20833.330000000002</v>
      </c>
      <c r="K78" s="31">
        <v>20833.330000000002</v>
      </c>
      <c r="L78" s="31">
        <v>20833.330000000002</v>
      </c>
      <c r="M78" s="31">
        <v>20833.330000000002</v>
      </c>
      <c r="N78" s="31">
        <v>20833.330000000002</v>
      </c>
      <c r="O78" s="51">
        <v>20833.330000000002</v>
      </c>
      <c r="P78" s="67">
        <f t="shared" si="2"/>
        <v>249999.96000000008</v>
      </c>
      <c r="Q78" s="2"/>
      <c r="R78" s="89"/>
      <c r="S78" s="113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3.5" thickBot="1">
      <c r="A79" s="2"/>
      <c r="B79" s="2"/>
      <c r="C79" s="57" t="str">
        <f>IF(MasterSheet!$A$1=1,MasterSheet!C397,MasterSheet!B397)</f>
        <v>Transferi javnim preduzećima</v>
      </c>
      <c r="D79" s="68">
        <v>0</v>
      </c>
      <c r="E79" s="69">
        <v>0</v>
      </c>
      <c r="F79" s="69">
        <v>0</v>
      </c>
      <c r="G79" s="69">
        <v>0</v>
      </c>
      <c r="H79" s="69">
        <v>0</v>
      </c>
      <c r="I79" s="70">
        <v>0</v>
      </c>
      <c r="J79" s="69">
        <v>0</v>
      </c>
      <c r="K79" s="70">
        <v>0</v>
      </c>
      <c r="L79" s="70">
        <v>0</v>
      </c>
      <c r="M79" s="70">
        <v>0</v>
      </c>
      <c r="N79" s="70">
        <v>0</v>
      </c>
      <c r="O79" s="110">
        <v>0</v>
      </c>
      <c r="P79" s="107">
        <f t="shared" si="2"/>
        <v>0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4.25" thickTop="1" thickBot="1">
      <c r="A80" s="2"/>
      <c r="B80" s="2"/>
      <c r="C80" s="33" t="str">
        <f>IF(MasterSheet!$A$1=1,MasterSheet!C398,MasterSheet!B398)</f>
        <v>Kapitalni budžet</v>
      </c>
      <c r="D80" s="71">
        <v>5469916.6699999999</v>
      </c>
      <c r="E80" s="71">
        <v>5469916.6699999999</v>
      </c>
      <c r="F80" s="71">
        <v>5469916.6699999999</v>
      </c>
      <c r="G80" s="74">
        <v>5469916.6699999999</v>
      </c>
      <c r="H80" s="74">
        <v>5469916.6699999999</v>
      </c>
      <c r="I80" s="74">
        <v>5469916.6699999999</v>
      </c>
      <c r="J80" s="74">
        <v>5469916.6699999999</v>
      </c>
      <c r="K80" s="74">
        <v>5469916.6699999999</v>
      </c>
      <c r="L80" s="74">
        <v>5469916.6699999999</v>
      </c>
      <c r="M80" s="72">
        <v>5469916.6699999999</v>
      </c>
      <c r="N80" s="73">
        <v>5469916.6699999999</v>
      </c>
      <c r="O80" s="111">
        <v>5469916.6699999999</v>
      </c>
      <c r="P80" s="108">
        <f t="shared" si="2"/>
        <v>65639000.040000014</v>
      </c>
      <c r="Q80" s="2"/>
      <c r="R80" s="89"/>
      <c r="S80" s="113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Top="1">
      <c r="A81" s="2"/>
      <c r="B81" s="2"/>
      <c r="C81" s="56" t="str">
        <f>IF(MasterSheet!$A$1=1,MasterSheet!C399,MasterSheet!B399)</f>
        <v>Pozajmice i krediti</v>
      </c>
      <c r="D81" s="29">
        <v>143333.34</v>
      </c>
      <c r="E81" s="30">
        <v>143333.34</v>
      </c>
      <c r="F81" s="30">
        <v>143333.34</v>
      </c>
      <c r="G81" s="30">
        <v>143333.34</v>
      </c>
      <c r="H81" s="30">
        <v>143333.34</v>
      </c>
      <c r="I81" s="31">
        <v>143333.34</v>
      </c>
      <c r="J81" s="30">
        <v>143333.34</v>
      </c>
      <c r="K81" s="31">
        <v>143333.34</v>
      </c>
      <c r="L81" s="31">
        <v>143333.34</v>
      </c>
      <c r="M81" s="31">
        <v>143333.34</v>
      </c>
      <c r="N81" s="31">
        <v>143333.34</v>
      </c>
      <c r="O81" s="51">
        <v>143333.34</v>
      </c>
      <c r="P81" s="109">
        <f t="shared" si="2"/>
        <v>1720000.0800000003</v>
      </c>
      <c r="Q81" s="2"/>
      <c r="R81" s="89"/>
      <c r="S81" s="113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3.5" thickBot="1">
      <c r="A82" s="2"/>
      <c r="B82" s="2"/>
      <c r="C82" s="57" t="str">
        <f>IF(MasterSheet!$A$1=1,MasterSheet!C400,MasterSheet!B400)</f>
        <v>Rezerve</v>
      </c>
      <c r="D82" s="68">
        <v>613005.78999999992</v>
      </c>
      <c r="E82" s="69">
        <v>613005.78999999992</v>
      </c>
      <c r="F82" s="69">
        <v>613005.78999999992</v>
      </c>
      <c r="G82" s="69">
        <v>613005.78999999992</v>
      </c>
      <c r="H82" s="69">
        <v>613005.78999999992</v>
      </c>
      <c r="I82" s="70">
        <v>613005.78999999992</v>
      </c>
      <c r="J82" s="69">
        <v>613005.78999999992</v>
      </c>
      <c r="K82" s="70">
        <v>613005.78999999992</v>
      </c>
      <c r="L82" s="70">
        <v>613005.78999999992</v>
      </c>
      <c r="M82" s="70">
        <v>613005.78999999992</v>
      </c>
      <c r="N82" s="70">
        <v>613005.78999999992</v>
      </c>
      <c r="O82" s="110">
        <v>613005.78999999992</v>
      </c>
      <c r="P82" s="107">
        <f t="shared" si="2"/>
        <v>7356069.4799999995</v>
      </c>
      <c r="Q82" s="2"/>
      <c r="R82" s="89"/>
      <c r="S82" s="113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57" t="str">
        <f>IF(MasterSheet!$A$1=1,MasterSheet!C408,MasterSheet!B408)</f>
        <v>Otplata garancija</v>
      </c>
      <c r="D83" s="29">
        <v>0</v>
      </c>
      <c r="E83" s="30">
        <v>0</v>
      </c>
      <c r="F83" s="30">
        <v>0</v>
      </c>
      <c r="G83" s="30">
        <v>0</v>
      </c>
      <c r="H83" s="30">
        <v>0</v>
      </c>
      <c r="I83" s="31">
        <v>0</v>
      </c>
      <c r="J83" s="30">
        <v>0</v>
      </c>
      <c r="K83" s="31">
        <v>0</v>
      </c>
      <c r="L83" s="31">
        <v>0</v>
      </c>
      <c r="M83" s="31">
        <v>0</v>
      </c>
      <c r="N83" s="31">
        <v>0</v>
      </c>
      <c r="O83" s="51">
        <v>0</v>
      </c>
      <c r="P83" s="32">
        <f>+SUM(D83:O83)</f>
        <v>0</v>
      </c>
      <c r="Q83" s="2"/>
      <c r="R83" s="87"/>
      <c r="S83" s="113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IF(MasterSheet!$A$1=1,MasterSheet!C402,MasterSheet!B402)</f>
        <v>Suficit/ Deficit</v>
      </c>
      <c r="D84" s="60">
        <f>+D19-D51</f>
        <v>-49927704.465120845</v>
      </c>
      <c r="E84" s="60">
        <f t="shared" ref="E84:O84" si="17">+E19-E51</f>
        <v>-31948566.261149943</v>
      </c>
      <c r="F84" s="60">
        <f t="shared" si="17"/>
        <v>-21057261.755039066</v>
      </c>
      <c r="G84" s="60">
        <f t="shared" si="17"/>
        <v>-4130170.1161308736</v>
      </c>
      <c r="H84" s="60">
        <f>+H19-H51</f>
        <v>-7522810.4527620673</v>
      </c>
      <c r="I84" s="60">
        <f t="shared" si="17"/>
        <v>-2990063.33810471</v>
      </c>
      <c r="J84" s="60">
        <f t="shared" si="17"/>
        <v>10839130.907912046</v>
      </c>
      <c r="K84" s="60">
        <f t="shared" si="17"/>
        <v>9901521.3693697006</v>
      </c>
      <c r="L84" s="60">
        <f t="shared" si="17"/>
        <v>-5811127.0522280186</v>
      </c>
      <c r="M84" s="60">
        <f t="shared" si="17"/>
        <v>-125911.82476308942</v>
      </c>
      <c r="N84" s="60">
        <f t="shared" si="17"/>
        <v>-8069828.0101713091</v>
      </c>
      <c r="O84" s="86">
        <f t="shared" si="17"/>
        <v>15527075.409421757</v>
      </c>
      <c r="P84" s="84">
        <f t="shared" ref="P84:P95" si="18">+SUM(D84:O84)</f>
        <v>-95315715.588766426</v>
      </c>
      <c r="Q84" s="2"/>
      <c r="R84" s="89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4.25" thickTop="1" thickBot="1">
      <c r="A85" s="2"/>
      <c r="B85" s="2"/>
      <c r="C85" s="33" t="str">
        <f>IF(MasterSheet!$A$1=1,MasterSheet!C403,MasterSheet!B403)</f>
        <v>Primarni deficit</v>
      </c>
      <c r="D85" s="60">
        <f t="shared" ref="D85:O85" si="19">+D84+D63</f>
        <v>-44060737.185120843</v>
      </c>
      <c r="E85" s="60">
        <f t="shared" si="19"/>
        <v>-26081598.981149942</v>
      </c>
      <c r="F85" s="60">
        <f t="shared" si="19"/>
        <v>-15190294.475039065</v>
      </c>
      <c r="G85" s="60">
        <f t="shared" si="19"/>
        <v>1736797.1638691267</v>
      </c>
      <c r="H85" s="60">
        <f t="shared" si="19"/>
        <v>-1655843.1727620671</v>
      </c>
      <c r="I85" s="60">
        <f t="shared" si="19"/>
        <v>2876903.9418952903</v>
      </c>
      <c r="J85" s="60">
        <f t="shared" si="19"/>
        <v>16706098.187912047</v>
      </c>
      <c r="K85" s="60">
        <f t="shared" si="19"/>
        <v>15768488.649369702</v>
      </c>
      <c r="L85" s="60">
        <f t="shared" si="19"/>
        <v>55840.227771981619</v>
      </c>
      <c r="M85" s="60">
        <f t="shared" si="19"/>
        <v>5741055.4552369108</v>
      </c>
      <c r="N85" s="60">
        <f t="shared" si="19"/>
        <v>-2202860.7301713089</v>
      </c>
      <c r="O85" s="86">
        <f t="shared" si="19"/>
        <v>21394042.689421758</v>
      </c>
      <c r="P85" s="84">
        <f t="shared" si="18"/>
        <v>-24912108.228766412</v>
      </c>
      <c r="Q85" s="2"/>
      <c r="R85" s="89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4.25" thickTop="1" thickBot="1">
      <c r="A86" s="2"/>
      <c r="B86" s="2"/>
      <c r="C86" s="33" t="str">
        <f>IF(MasterSheet!$A$1=1,MasterSheet!C404,MasterSheet!B404)</f>
        <v>Otplata duga</v>
      </c>
      <c r="D86" s="60">
        <f>+SUM(D87:D89)</f>
        <v>7686663.25</v>
      </c>
      <c r="E86" s="60">
        <f t="shared" ref="E86:O86" si="20">+SUM(E87:E89)</f>
        <v>2819104.9000000004</v>
      </c>
      <c r="F86" s="60">
        <f t="shared" si="20"/>
        <v>5381362.9800000004</v>
      </c>
      <c r="G86" s="60">
        <f t="shared" si="20"/>
        <v>8038869.4399999995</v>
      </c>
      <c r="H86" s="60">
        <f t="shared" si="20"/>
        <v>5392617.04</v>
      </c>
      <c r="I86" s="60">
        <f t="shared" si="20"/>
        <v>16826545.850000001</v>
      </c>
      <c r="J86" s="60">
        <f t="shared" si="20"/>
        <v>24366255.719999999</v>
      </c>
      <c r="K86" s="60">
        <f t="shared" si="20"/>
        <v>5641447.3200000003</v>
      </c>
      <c r="L86" s="60">
        <f t="shared" si="20"/>
        <v>12730233.93</v>
      </c>
      <c r="M86" s="60">
        <f t="shared" si="20"/>
        <v>7099982.6499999994</v>
      </c>
      <c r="N86" s="60">
        <f t="shared" si="20"/>
        <v>5537490.71</v>
      </c>
      <c r="O86" s="86">
        <f t="shared" si="20"/>
        <v>17156558.210000023</v>
      </c>
      <c r="P86" s="84">
        <f>+SUM(D86:O86)</f>
        <v>118677132.00000003</v>
      </c>
      <c r="Q86" s="8"/>
      <c r="R86" s="145"/>
      <c r="S86" s="5"/>
      <c r="T86" s="5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3.5" thickTop="1">
      <c r="A87" s="2"/>
      <c r="B87" s="2"/>
      <c r="C87" s="56" t="str">
        <f>IF(MasterSheet!$A$1=1,MasterSheet!C405,MasterSheet!B405)</f>
        <v>Otplata duga rezidentima</v>
      </c>
      <c r="D87" s="29">
        <v>3512979.93</v>
      </c>
      <c r="E87" s="30">
        <v>872996.16</v>
      </c>
      <c r="F87" s="30">
        <v>264968.06</v>
      </c>
      <c r="G87" s="30">
        <v>3710246.3</v>
      </c>
      <c r="H87" s="30">
        <v>1114528.77</v>
      </c>
      <c r="I87" s="31">
        <v>265498.44</v>
      </c>
      <c r="J87" s="30">
        <v>5175131.93</v>
      </c>
      <c r="K87" s="31">
        <v>912847.91</v>
      </c>
      <c r="L87" s="31">
        <v>3220262.59</v>
      </c>
      <c r="M87" s="31">
        <v>592277.14</v>
      </c>
      <c r="N87" s="31">
        <v>930069.44</v>
      </c>
      <c r="O87" s="51">
        <v>3228193.3300000019</v>
      </c>
      <c r="P87" s="32">
        <f t="shared" si="18"/>
        <v>23800000</v>
      </c>
      <c r="Q87" s="2"/>
      <c r="R87" s="145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>
      <c r="A88" s="2"/>
      <c r="B88" s="2"/>
      <c r="C88" s="56" t="str">
        <f>IF(MasterSheet!$A$1=1,MasterSheet!C406,MasterSheet!B406)</f>
        <v>Otplata duga nerezidentima</v>
      </c>
      <c r="D88" s="29">
        <v>2705588.99</v>
      </c>
      <c r="E88" s="30">
        <v>528059.41</v>
      </c>
      <c r="F88" s="30">
        <v>3648300.59</v>
      </c>
      <c r="G88" s="30">
        <v>2810528.81</v>
      </c>
      <c r="H88" s="30">
        <v>2759993.94</v>
      </c>
      <c r="I88" s="31">
        <v>11975685.74</v>
      </c>
      <c r="J88" s="30">
        <v>10543029.460000001</v>
      </c>
      <c r="K88" s="31">
        <v>780505.08</v>
      </c>
      <c r="L88" s="31">
        <v>7411877.0099999998</v>
      </c>
      <c r="M88" s="31">
        <v>4609611.18</v>
      </c>
      <c r="N88" s="31">
        <v>2759326.94</v>
      </c>
      <c r="O88" s="51">
        <v>12167492.850000011</v>
      </c>
      <c r="P88" s="67">
        <f t="shared" si="18"/>
        <v>62700000</v>
      </c>
      <c r="Q88" s="2"/>
      <c r="R88" s="145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3.5" thickBot="1">
      <c r="A89" s="2"/>
      <c r="B89" s="2"/>
      <c r="C89" s="56" t="str">
        <f>IF(MasterSheet!$A$1=1,MasterSheet!C407,MasterSheet!B407)</f>
        <v>Otplata obaveza iz prethodnog perioda</v>
      </c>
      <c r="D89" s="29">
        <v>1468094.33</v>
      </c>
      <c r="E89" s="30">
        <v>1418049.33</v>
      </c>
      <c r="F89" s="30">
        <v>1468094.33</v>
      </c>
      <c r="G89" s="30">
        <v>1518094.33</v>
      </c>
      <c r="H89" s="30">
        <v>1518094.33</v>
      </c>
      <c r="I89" s="31">
        <v>4585361.67</v>
      </c>
      <c r="J89" s="30">
        <v>8648094.3300000001</v>
      </c>
      <c r="K89" s="31">
        <v>3948094.33</v>
      </c>
      <c r="L89" s="31">
        <v>2098094.33</v>
      </c>
      <c r="M89" s="31">
        <v>1898094.33</v>
      </c>
      <c r="N89" s="31">
        <v>1848094.33</v>
      </c>
      <c r="O89" s="51">
        <v>1760872.0300000105</v>
      </c>
      <c r="P89" s="32">
        <f t="shared" si="18"/>
        <v>32177132</v>
      </c>
      <c r="Q89" s="2"/>
      <c r="R89" s="145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IF(MasterSheet!$A$1=1,MasterSheet!C409,MasterSheet!B409)</f>
        <v>Nedostajuća sredstva</v>
      </c>
      <c r="D90" s="60">
        <f>+D84-D86</f>
        <v>-57614367.715120845</v>
      </c>
      <c r="E90" s="60">
        <f t="shared" ref="E90:O90" si="21">+E84-E86</f>
        <v>-34767671.161149941</v>
      </c>
      <c r="F90" s="60">
        <f t="shared" si="21"/>
        <v>-26438624.735039067</v>
      </c>
      <c r="G90" s="60">
        <f t="shared" si="21"/>
        <v>-12169039.556130873</v>
      </c>
      <c r="H90" s="60">
        <f t="shared" si="21"/>
        <v>-12915427.492762066</v>
      </c>
      <c r="I90" s="60">
        <f t="shared" si="21"/>
        <v>-19816609.188104711</v>
      </c>
      <c r="J90" s="60">
        <f t="shared" si="21"/>
        <v>-13527124.812087953</v>
      </c>
      <c r="K90" s="60">
        <f t="shared" si="21"/>
        <v>4260074.0493697003</v>
      </c>
      <c r="L90" s="60">
        <f t="shared" si="21"/>
        <v>-18541360.982228018</v>
      </c>
      <c r="M90" s="60">
        <f t="shared" si="21"/>
        <v>-7225894.4747630889</v>
      </c>
      <c r="N90" s="60">
        <f t="shared" si="21"/>
        <v>-13607318.72017131</v>
      </c>
      <c r="O90" s="86">
        <f t="shared" si="21"/>
        <v>-1629482.8005782664</v>
      </c>
      <c r="P90" s="84">
        <f t="shared" si="18"/>
        <v>-213992847.58876646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4.25" thickTop="1" thickBot="1">
      <c r="A91" s="2"/>
      <c r="B91" s="2"/>
      <c r="C91" s="33" t="str">
        <f>IF(MasterSheet!$A$1=1,MasterSheet!C410,MasterSheet!B410)</f>
        <v>Finansiranje</v>
      </c>
      <c r="D91" s="60">
        <f>+SUM(D92:D96)</f>
        <v>57614367.715120845</v>
      </c>
      <c r="E91" s="60">
        <f t="shared" ref="E91:O91" si="22">+SUM(E92:E96)</f>
        <v>34767671.161149941</v>
      </c>
      <c r="F91" s="60">
        <f t="shared" si="22"/>
        <v>26438624.735039067</v>
      </c>
      <c r="G91" s="60">
        <f t="shared" si="22"/>
        <v>12169039.556130886</v>
      </c>
      <c r="H91" s="60">
        <f t="shared" si="22"/>
        <v>12915427.492762066</v>
      </c>
      <c r="I91" s="60">
        <f t="shared" si="22"/>
        <v>19816609.188104711</v>
      </c>
      <c r="J91" s="60">
        <f t="shared" si="22"/>
        <v>13527124.812087953</v>
      </c>
      <c r="K91" s="60">
        <f t="shared" si="22"/>
        <v>-4260074.0493697003</v>
      </c>
      <c r="L91" s="60">
        <f t="shared" si="22"/>
        <v>18541360.982228018</v>
      </c>
      <c r="M91" s="60">
        <f t="shared" si="22"/>
        <v>7225894.4747630879</v>
      </c>
      <c r="N91" s="60">
        <f t="shared" si="22"/>
        <v>13607318.72017131</v>
      </c>
      <c r="O91" s="86">
        <f t="shared" si="22"/>
        <v>1629482.8005782664</v>
      </c>
      <c r="P91" s="84">
        <f t="shared" si="18"/>
        <v>213992847.58876646</v>
      </c>
      <c r="Q91" s="2"/>
      <c r="R91" s="89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3.5" thickTop="1">
      <c r="A92" s="2"/>
      <c r="B92" s="2"/>
      <c r="C92" s="56" t="str">
        <f>IF(MasterSheet!$A$1=1,MasterSheet!C411,MasterSheet!B411)</f>
        <v>Pozajmice i krediti iz domaćih izvora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32">
        <f t="shared" si="18"/>
        <v>0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IF(MasterSheet!$A$1=1,MasterSheet!C412,MasterSheet!B412)</f>
        <v>Pozajmice i krediti iz inostranih izvora</v>
      </c>
      <c r="D93" s="29">
        <v>0</v>
      </c>
      <c r="E93" s="29">
        <v>0</v>
      </c>
      <c r="F93" s="29">
        <v>0</v>
      </c>
      <c r="G93" s="24">
        <v>200000000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146">
        <v>50000000</v>
      </c>
      <c r="N93" s="31">
        <v>0</v>
      </c>
      <c r="O93" s="51">
        <v>0</v>
      </c>
      <c r="P93" s="32">
        <f t="shared" si="18"/>
        <v>250000000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IF(MasterSheet!$A$1=1,MasterSheet!C413,MasterSheet!B413)</f>
        <v>Donacije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32">
        <f t="shared" si="18"/>
        <v>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>
      <c r="A95" s="2"/>
      <c r="B95" s="2"/>
      <c r="C95" s="56" t="str">
        <f>IF(MasterSheet!$A$1=1,MasterSheet!C414,MasterSheet!B414)</f>
        <v>Prihodi od privatizacije</v>
      </c>
      <c r="D95" s="29">
        <v>0</v>
      </c>
      <c r="E95" s="29">
        <v>0</v>
      </c>
      <c r="F95" s="29">
        <v>0</v>
      </c>
      <c r="G95" s="30">
        <v>8000000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2">
        <f t="shared" si="18"/>
        <v>8000000</v>
      </c>
      <c r="Q95" s="2"/>
      <c r="R95" s="87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Bot="1">
      <c r="A96" s="2"/>
      <c r="B96" s="2"/>
      <c r="C96" s="59" t="str">
        <f>IF(MasterSheet!$A$1=1,MasterSheet!C415,MasterSheet!B415)</f>
        <v>Povećanje/smanjenje depozita</v>
      </c>
      <c r="D96" s="44">
        <f>-D90-SUM(D92:D95)</f>
        <v>57614367.715120845</v>
      </c>
      <c r="E96" s="46">
        <f>-E90-SUM(E92:E95)</f>
        <v>34767671.161149941</v>
      </c>
      <c r="F96" s="46">
        <f>-F90-SUM(F92:F95)</f>
        <v>26438624.735039067</v>
      </c>
      <c r="G96" s="66">
        <f t="shared" ref="G96:O96" si="23">-G90-SUM(G92:G95)</f>
        <v>-195830960.44386911</v>
      </c>
      <c r="H96" s="66">
        <f t="shared" si="23"/>
        <v>12915427.492762066</v>
      </c>
      <c r="I96" s="66">
        <f t="shared" si="23"/>
        <v>19816609.188104711</v>
      </c>
      <c r="J96" s="66">
        <f t="shared" si="23"/>
        <v>13527124.812087953</v>
      </c>
      <c r="K96" s="66">
        <f t="shared" si="23"/>
        <v>-4260074.0493697003</v>
      </c>
      <c r="L96" s="66">
        <f t="shared" si="23"/>
        <v>18541360.982228018</v>
      </c>
      <c r="M96" s="66">
        <f t="shared" si="23"/>
        <v>-42774105.525236912</v>
      </c>
      <c r="N96" s="66">
        <f t="shared" si="23"/>
        <v>13607318.72017131</v>
      </c>
      <c r="O96" s="52">
        <f t="shared" si="23"/>
        <v>1629482.8005782664</v>
      </c>
      <c r="P96" s="83">
        <f>+SUM(D96:O96)</f>
        <v>-44007152.411233544</v>
      </c>
      <c r="Q96" s="55"/>
      <c r="R96" s="6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3.5" thickTop="1">
      <c r="A97" s="2"/>
      <c r="B97" s="2"/>
      <c r="C97" s="54" t="str">
        <f>IF(MasterSheet!$A$1=1,MasterSheet!C416,MasterSheet!B416)</f>
        <v>Izvor: Ministarstvo finansija Crne Gore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1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2"/>
      <c r="H99" s="138"/>
      <c r="I99" s="2"/>
      <c r="J99" s="2"/>
      <c r="K99" s="2"/>
      <c r="L99" s="2"/>
      <c r="M99" s="2"/>
      <c r="N99" s="14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11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32">
      <c r="D155" s="2"/>
      <c r="E155" s="2"/>
      <c r="F155" s="2"/>
      <c r="G155" s="2"/>
      <c r="H155" s="2"/>
      <c r="I155" s="2"/>
    </row>
  </sheetData>
  <sheetProtection formatCells="0" formatColumns="0" formatRows="0" sort="0" autoFilter="0" pivotTables="0"/>
  <mergeCells count="5">
    <mergeCell ref="D14:P14"/>
    <mergeCell ref="D17:P17"/>
    <mergeCell ref="C17:C18"/>
    <mergeCell ref="G8:I8"/>
    <mergeCell ref="F9:J9"/>
  </mergeCells>
  <pageMargins left="0.15" right="0.19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zoomScale="85" zoomScaleNormal="85" workbookViewId="0">
      <selection activeCell="D19" sqref="D19:O19"/>
    </sheetView>
  </sheetViews>
  <sheetFormatPr defaultRowHeight="12.75"/>
  <cols>
    <col min="1" max="1" width="6" customWidth="1"/>
    <col min="2" max="2" width="9.140625" customWidth="1"/>
    <col min="3" max="3" width="62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  <col min="17" max="17" width="10.7109375" style="2" customWidth="1"/>
    <col min="18" max="18" width="15.28515625" style="2" bestFit="1" customWidth="1"/>
    <col min="19" max="32" width="9.140625" style="2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2" ht="15">
      <c r="A8" s="2"/>
      <c r="B8" s="2"/>
      <c r="C8" s="3"/>
      <c r="D8" s="574" t="s">
        <v>200</v>
      </c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V8" s="3"/>
    </row>
    <row r="9" spans="1:22" ht="15">
      <c r="A9" s="2"/>
      <c r="B9" s="2"/>
      <c r="C9" s="2"/>
      <c r="D9" s="574" t="s">
        <v>201</v>
      </c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V9" s="3"/>
    </row>
    <row r="10" spans="1:2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V10" s="3"/>
    </row>
    <row r="11" spans="1:2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V11" s="3"/>
    </row>
    <row r="12" spans="1:2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2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</row>
    <row r="14" spans="1:22" ht="17.25" thickTop="1" thickBot="1">
      <c r="A14" s="2"/>
      <c r="B14" s="2"/>
      <c r="C14" s="143" t="s">
        <v>374</v>
      </c>
      <c r="D14" s="577">
        <v>3149000000</v>
      </c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8"/>
      <c r="Q14" s="579"/>
      <c r="R14" s="79"/>
    </row>
    <row r="15" spans="1:22" ht="15.75" thickTop="1">
      <c r="A15" s="144"/>
      <c r="B15" s="14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</row>
    <row r="16" spans="1:22" ht="17.25" customHeight="1" thickBot="1">
      <c r="A16" s="2"/>
      <c r="B16" s="2"/>
      <c r="C16" s="5"/>
      <c r="D16" s="5"/>
      <c r="E16" s="5"/>
      <c r="F16" s="5"/>
      <c r="G16" s="139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8" ht="17.25" customHeight="1" thickTop="1">
      <c r="A17" s="2"/>
      <c r="B17" s="2"/>
      <c r="C17" s="575" t="s">
        <v>328</v>
      </c>
      <c r="D17" s="580">
        <v>2012</v>
      </c>
      <c r="E17" s="581"/>
      <c r="F17" s="581"/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82"/>
    </row>
    <row r="18" spans="1:18" ht="15" customHeight="1" thickBot="1">
      <c r="A18" s="2"/>
      <c r="B18" s="2"/>
      <c r="C18" s="576"/>
      <c r="D18" s="211" t="s">
        <v>294</v>
      </c>
      <c r="E18" s="212" t="s">
        <v>295</v>
      </c>
      <c r="F18" s="212" t="s">
        <v>296</v>
      </c>
      <c r="G18" s="212" t="s">
        <v>297</v>
      </c>
      <c r="H18" s="212" t="s">
        <v>298</v>
      </c>
      <c r="I18" s="212" t="s">
        <v>299</v>
      </c>
      <c r="J18" s="212" t="s">
        <v>300</v>
      </c>
      <c r="K18" s="213" t="s">
        <v>301</v>
      </c>
      <c r="L18" s="213" t="s">
        <v>302</v>
      </c>
      <c r="M18" s="213" t="s">
        <v>303</v>
      </c>
      <c r="N18" s="213" t="s">
        <v>304</v>
      </c>
      <c r="O18" s="214" t="s">
        <v>305</v>
      </c>
      <c r="P18" s="215" t="s">
        <v>386</v>
      </c>
      <c r="Q18" s="216" t="s">
        <v>150</v>
      </c>
    </row>
    <row r="19" spans="1:18" ht="15" customHeight="1" thickTop="1" thickBot="1">
      <c r="A19" s="2"/>
      <c r="B19" s="2"/>
      <c r="C19" s="217" t="s">
        <v>128</v>
      </c>
      <c r="D19" s="218">
        <f>+D20+D28+D33+D38+D45+D50+D51</f>
        <v>48843193.719999999</v>
      </c>
      <c r="E19" s="218">
        <f t="shared" ref="E19:O19" si="0">+E20+E28+E33+E38+E45+E50+E51</f>
        <v>68224082.549999997</v>
      </c>
      <c r="F19" s="218">
        <f t="shared" si="0"/>
        <v>76674237.659999996</v>
      </c>
      <c r="G19" s="218">
        <f t="shared" si="0"/>
        <v>99426150.410000011</v>
      </c>
      <c r="H19" s="218">
        <f t="shared" si="0"/>
        <v>87016176.340000018</v>
      </c>
      <c r="I19" s="218">
        <f t="shared" si="0"/>
        <v>96200709.070000008</v>
      </c>
      <c r="J19" s="218">
        <f t="shared" si="0"/>
        <v>131913604.17</v>
      </c>
      <c r="K19" s="218">
        <f t="shared" si="0"/>
        <v>108631833.44</v>
      </c>
      <c r="L19" s="218">
        <f t="shared" si="0"/>
        <v>96146123.239999995</v>
      </c>
      <c r="M19" s="218">
        <f t="shared" si="0"/>
        <v>99793936.86999999</v>
      </c>
      <c r="N19" s="218">
        <f t="shared" si="0"/>
        <v>85835751.700000003</v>
      </c>
      <c r="O19" s="218">
        <f t="shared" si="0"/>
        <v>127348769.31999999</v>
      </c>
      <c r="P19" s="219">
        <f>SUM(D19:O19)</f>
        <v>1126054568.4900002</v>
      </c>
      <c r="Q19" s="220">
        <f>+P19/$D$14*100</f>
        <v>35.759116179422044</v>
      </c>
    </row>
    <row r="20" spans="1:18" ht="15" customHeight="1" thickTop="1">
      <c r="A20" s="2"/>
      <c r="B20" s="2"/>
      <c r="C20" s="221" t="s">
        <v>2</v>
      </c>
      <c r="D20" s="222">
        <f>+SUM(D21:D27)</f>
        <v>35884139.43</v>
      </c>
      <c r="E20" s="223">
        <f t="shared" ref="E20:O20" si="1">+SUM(E21:E27)</f>
        <v>38790866.019999996</v>
      </c>
      <c r="F20" s="223">
        <f t="shared" si="1"/>
        <v>44749384.840000004</v>
      </c>
      <c r="G20" s="224">
        <f t="shared" si="1"/>
        <v>62284624.009999998</v>
      </c>
      <c r="H20" s="224">
        <f t="shared" si="1"/>
        <v>54289863.810000002</v>
      </c>
      <c r="I20" s="224">
        <f t="shared" si="1"/>
        <v>64751336.399999991</v>
      </c>
      <c r="J20" s="224">
        <f t="shared" si="1"/>
        <v>89796994.480000004</v>
      </c>
      <c r="K20" s="224">
        <f t="shared" si="1"/>
        <v>63715815.289999999</v>
      </c>
      <c r="L20" s="224">
        <f t="shared" si="1"/>
        <v>65062594.769999996</v>
      </c>
      <c r="M20" s="225">
        <f t="shared" si="1"/>
        <v>58701404.069999993</v>
      </c>
      <c r="N20" s="225">
        <f t="shared" si="1"/>
        <v>50869538.609999999</v>
      </c>
      <c r="O20" s="226">
        <f t="shared" si="1"/>
        <v>58547572.959999993</v>
      </c>
      <c r="P20" s="227">
        <f t="shared" ref="P20:P83" si="2">SUM(D20:O20)</f>
        <v>687444134.69000006</v>
      </c>
      <c r="Q20" s="228">
        <f t="shared" ref="Q20:Q84" si="3">+P20/$D$14*100</f>
        <v>21.830553657986666</v>
      </c>
    </row>
    <row r="21" spans="1:18" ht="15" customHeight="1">
      <c r="A21" s="2"/>
      <c r="B21" s="2"/>
      <c r="C21" s="229" t="s">
        <v>3</v>
      </c>
      <c r="D21" s="230">
        <v>2584361.34</v>
      </c>
      <c r="E21" s="231">
        <v>5333687.79</v>
      </c>
      <c r="F21" s="231">
        <v>6340026.6100000003</v>
      </c>
      <c r="G21" s="231">
        <v>7246542.3899999997</v>
      </c>
      <c r="H21" s="231">
        <v>6418173.7599999998</v>
      </c>
      <c r="I21" s="231">
        <v>5650455.4299999997</v>
      </c>
      <c r="J21" s="231">
        <v>7808337.6900000004</v>
      </c>
      <c r="K21" s="231">
        <v>8855262.9100000001</v>
      </c>
      <c r="L21" s="231">
        <v>6244778.2599999998</v>
      </c>
      <c r="M21" s="231">
        <v>8678831.0399999991</v>
      </c>
      <c r="N21" s="231">
        <v>6356523.71</v>
      </c>
      <c r="O21" s="232">
        <v>10744852.35</v>
      </c>
      <c r="P21" s="233">
        <f t="shared" si="2"/>
        <v>82261833.279999986</v>
      </c>
      <c r="Q21" s="234">
        <f t="shared" si="3"/>
        <v>2.6123160774849152</v>
      </c>
      <c r="R21" s="113"/>
    </row>
    <row r="22" spans="1:18" ht="15" customHeight="1">
      <c r="A22" s="2"/>
      <c r="B22" s="2"/>
      <c r="C22" s="229" t="s">
        <v>5</v>
      </c>
      <c r="D22" s="230">
        <v>405891.15</v>
      </c>
      <c r="E22" s="231">
        <v>434576.57</v>
      </c>
      <c r="F22" s="231">
        <v>4545996.0599999996</v>
      </c>
      <c r="G22" s="231">
        <v>13487997.380000001</v>
      </c>
      <c r="H22" s="231">
        <v>3054260.76</v>
      </c>
      <c r="I22" s="231">
        <v>3802498.05</v>
      </c>
      <c r="J22" s="231">
        <v>28544287.550000001</v>
      </c>
      <c r="K22" s="231">
        <v>2310250.2200000002</v>
      </c>
      <c r="L22" s="231">
        <v>3273538.66</v>
      </c>
      <c r="M22" s="231">
        <v>1542406.34</v>
      </c>
      <c r="N22" s="231">
        <v>791755.04</v>
      </c>
      <c r="O22" s="232">
        <v>1823099.74</v>
      </c>
      <c r="P22" s="233">
        <f t="shared" si="2"/>
        <v>64016557.520000011</v>
      </c>
      <c r="Q22" s="234">
        <f t="shared" si="3"/>
        <v>2.0329170377897747</v>
      </c>
    </row>
    <row r="23" spans="1:18" ht="15" customHeight="1">
      <c r="A23" s="2"/>
      <c r="B23" s="2"/>
      <c r="C23" s="229" t="s">
        <v>306</v>
      </c>
      <c r="D23" s="230">
        <v>77264.789999999994</v>
      </c>
      <c r="E23" s="231">
        <v>98564.160000000003</v>
      </c>
      <c r="F23" s="231">
        <v>177064.83</v>
      </c>
      <c r="G23" s="231">
        <v>98294.96</v>
      </c>
      <c r="H23" s="231">
        <v>95197.53</v>
      </c>
      <c r="I23" s="231">
        <v>127299.77</v>
      </c>
      <c r="J23" s="231">
        <v>116273.1</v>
      </c>
      <c r="K23" s="231">
        <v>91295.65</v>
      </c>
      <c r="L23" s="231">
        <v>161882.07999999999</v>
      </c>
      <c r="M23" s="231">
        <v>129365.45</v>
      </c>
      <c r="N23" s="231">
        <v>134880.91</v>
      </c>
      <c r="O23" s="232">
        <v>134066.17000000001</v>
      </c>
      <c r="P23" s="233">
        <f t="shared" si="2"/>
        <v>1441449.4</v>
      </c>
      <c r="Q23" s="234">
        <f t="shared" si="3"/>
        <v>4.5774830104795168E-2</v>
      </c>
    </row>
    <row r="24" spans="1:18" ht="15" customHeight="1">
      <c r="A24" s="2"/>
      <c r="B24" s="2"/>
      <c r="C24" s="229" t="s">
        <v>9</v>
      </c>
      <c r="D24" s="230">
        <v>21196163.460000001</v>
      </c>
      <c r="E24" s="231">
        <v>21324767.77</v>
      </c>
      <c r="F24" s="231">
        <v>23762618.34</v>
      </c>
      <c r="G24" s="231">
        <v>27714374.960000001</v>
      </c>
      <c r="H24" s="231">
        <v>30992938.18</v>
      </c>
      <c r="I24" s="231">
        <v>37819988.479999997</v>
      </c>
      <c r="J24" s="231">
        <v>37346236.600000001</v>
      </c>
      <c r="K24" s="231">
        <v>32213362.77</v>
      </c>
      <c r="L24" s="231">
        <v>33594293.979999997</v>
      </c>
      <c r="M24" s="231">
        <v>33884900.049999997</v>
      </c>
      <c r="N24" s="231">
        <v>29084760.469999999</v>
      </c>
      <c r="O24" s="232">
        <v>25779626.289999999</v>
      </c>
      <c r="P24" s="233">
        <f t="shared" si="2"/>
        <v>354714031.34999996</v>
      </c>
      <c r="Q24" s="234">
        <f t="shared" si="3"/>
        <v>11.264338880597013</v>
      </c>
    </row>
    <row r="25" spans="1:18" ht="15" customHeight="1">
      <c r="A25" s="2"/>
      <c r="B25" s="2"/>
      <c r="C25" s="229" t="s">
        <v>307</v>
      </c>
      <c r="D25" s="230">
        <v>9267303.6799999997</v>
      </c>
      <c r="E25" s="231">
        <v>9083966.1199999992</v>
      </c>
      <c r="F25" s="231">
        <v>6379102.2800000003</v>
      </c>
      <c r="G25" s="231">
        <v>9978716.9000000004</v>
      </c>
      <c r="H25" s="231">
        <v>10087834.560000001</v>
      </c>
      <c r="I25" s="231">
        <v>14771461.699999999</v>
      </c>
      <c r="J25" s="231">
        <v>13185513.26</v>
      </c>
      <c r="K25" s="231">
        <v>17419420.949999999</v>
      </c>
      <c r="L25" s="231">
        <v>19430036.780000001</v>
      </c>
      <c r="M25" s="231">
        <v>11829688.08</v>
      </c>
      <c r="N25" s="231">
        <v>12445142.43</v>
      </c>
      <c r="O25" s="232">
        <v>17887911.02</v>
      </c>
      <c r="P25" s="233">
        <f t="shared" si="2"/>
        <v>151766097.76000002</v>
      </c>
      <c r="Q25" s="234">
        <f t="shared" si="3"/>
        <v>4.8195013578913946</v>
      </c>
    </row>
    <row r="26" spans="1:18" ht="15" customHeight="1">
      <c r="A26" s="2"/>
      <c r="B26" s="2"/>
      <c r="C26" s="229" t="s">
        <v>308</v>
      </c>
      <c r="D26" s="230">
        <v>2099688</v>
      </c>
      <c r="E26" s="231">
        <v>2267285.1800000002</v>
      </c>
      <c r="F26" s="231">
        <v>3241532.58</v>
      </c>
      <c r="G26" s="231">
        <v>3383475.63</v>
      </c>
      <c r="H26" s="231">
        <v>3249031</v>
      </c>
      <c r="I26" s="231">
        <v>2148285.92</v>
      </c>
      <c r="J26" s="231">
        <v>2356613.06</v>
      </c>
      <c r="K26" s="231">
        <v>2414822.0699999998</v>
      </c>
      <c r="L26" s="231">
        <v>1990647.26</v>
      </c>
      <c r="M26" s="231">
        <v>2265475.5499999998</v>
      </c>
      <c r="N26" s="231">
        <v>1692216.71</v>
      </c>
      <c r="O26" s="232">
        <v>1855952.37</v>
      </c>
      <c r="P26" s="233">
        <f t="shared" si="2"/>
        <v>28965025.330000006</v>
      </c>
      <c r="Q26" s="234">
        <f t="shared" si="3"/>
        <v>0.91981661892664346</v>
      </c>
    </row>
    <row r="27" spans="1:18" ht="15" customHeight="1">
      <c r="A27" s="2"/>
      <c r="B27" s="2"/>
      <c r="C27" s="229" t="s">
        <v>16</v>
      </c>
      <c r="D27" s="230">
        <v>253467.01</v>
      </c>
      <c r="E27" s="231">
        <v>248018.43</v>
      </c>
      <c r="F27" s="231">
        <v>303044.14</v>
      </c>
      <c r="G27" s="231">
        <v>375221.79</v>
      </c>
      <c r="H27" s="231">
        <v>392428.02</v>
      </c>
      <c r="I27" s="231">
        <v>431347.05</v>
      </c>
      <c r="J27" s="231">
        <v>439733.22</v>
      </c>
      <c r="K27" s="231">
        <v>411400.72</v>
      </c>
      <c r="L27" s="231">
        <v>367417.75</v>
      </c>
      <c r="M27" s="231">
        <v>370737.56</v>
      </c>
      <c r="N27" s="231">
        <v>364259.34</v>
      </c>
      <c r="O27" s="232">
        <v>322065.02</v>
      </c>
      <c r="P27" s="233">
        <f t="shared" si="2"/>
        <v>4279140.05</v>
      </c>
      <c r="Q27" s="234">
        <f t="shared" si="3"/>
        <v>0.13588885519212449</v>
      </c>
    </row>
    <row r="28" spans="1:18" ht="15" customHeight="1">
      <c r="A28" s="2"/>
      <c r="B28" s="2"/>
      <c r="C28" s="235" t="s">
        <v>19</v>
      </c>
      <c r="D28" s="236">
        <f>+SUM(D29:D32)</f>
        <v>9731156.040000001</v>
      </c>
      <c r="E28" s="237">
        <f t="shared" ref="E28:O28" si="4">+SUM(E29:E32)</f>
        <v>25137844.68</v>
      </c>
      <c r="F28" s="237">
        <f t="shared" si="4"/>
        <v>26888282.780000001</v>
      </c>
      <c r="G28" s="238">
        <f t="shared" si="4"/>
        <v>32058383.460000001</v>
      </c>
      <c r="H28" s="238">
        <f t="shared" si="4"/>
        <v>28410887.77</v>
      </c>
      <c r="I28" s="238">
        <f t="shared" si="4"/>
        <v>26977256.400000002</v>
      </c>
      <c r="J28" s="238">
        <f t="shared" si="4"/>
        <v>33964107.439999998</v>
      </c>
      <c r="K28" s="238">
        <f t="shared" si="4"/>
        <v>39513387.179999992</v>
      </c>
      <c r="L28" s="238">
        <f t="shared" si="4"/>
        <v>26633440.359999999</v>
      </c>
      <c r="M28" s="238">
        <f t="shared" si="4"/>
        <v>34145980.059999995</v>
      </c>
      <c r="N28" s="238">
        <f t="shared" si="4"/>
        <v>29139013.82</v>
      </c>
      <c r="O28" s="239">
        <f t="shared" si="4"/>
        <v>49650669.609999999</v>
      </c>
      <c r="P28" s="240">
        <f t="shared" si="2"/>
        <v>362250409.60000002</v>
      </c>
      <c r="Q28" s="241">
        <f t="shared" si="3"/>
        <v>11.503664960304858</v>
      </c>
    </row>
    <row r="29" spans="1:18" ht="15" customHeight="1">
      <c r="A29" s="2"/>
      <c r="B29" s="2"/>
      <c r="C29" s="229" t="s">
        <v>309</v>
      </c>
      <c r="D29" s="230">
        <v>5695801.6600000001</v>
      </c>
      <c r="E29" s="231">
        <v>15441279.77</v>
      </c>
      <c r="F29" s="231">
        <v>15437035.58</v>
      </c>
      <c r="G29" s="231">
        <v>19415928.859999999</v>
      </c>
      <c r="H29" s="231">
        <v>17293835.780000001</v>
      </c>
      <c r="I29" s="231">
        <v>15127835.310000001</v>
      </c>
      <c r="J29" s="231">
        <v>20262459.149999999</v>
      </c>
      <c r="K29" s="231">
        <v>23332023.34</v>
      </c>
      <c r="L29" s="231">
        <v>15879377.689999999</v>
      </c>
      <c r="M29" s="231">
        <v>20348896.699999999</v>
      </c>
      <c r="N29" s="231">
        <v>17841683.07</v>
      </c>
      <c r="O29" s="232">
        <v>30425518.359999999</v>
      </c>
      <c r="P29" s="233">
        <f>SUM(D29:O29)</f>
        <v>216501675.26999998</v>
      </c>
      <c r="Q29" s="234">
        <f t="shared" si="3"/>
        <v>6.8752516757700848</v>
      </c>
    </row>
    <row r="30" spans="1:18" ht="15" customHeight="1">
      <c r="A30" s="2"/>
      <c r="B30" s="2"/>
      <c r="C30" s="229" t="s">
        <v>310</v>
      </c>
      <c r="D30" s="230">
        <v>3347397.46</v>
      </c>
      <c r="E30" s="231">
        <v>8394380.3000000007</v>
      </c>
      <c r="F30" s="231">
        <v>9781009.6899999995</v>
      </c>
      <c r="G30" s="231">
        <v>11000368.380000001</v>
      </c>
      <c r="H30" s="231">
        <v>9619171.1899999995</v>
      </c>
      <c r="I30" s="231">
        <v>10066537.18</v>
      </c>
      <c r="J30" s="231">
        <v>11720166.57</v>
      </c>
      <c r="K30" s="231">
        <v>13959252.779999999</v>
      </c>
      <c r="L30" s="231">
        <v>9392302.7699999996</v>
      </c>
      <c r="M30" s="231">
        <v>11926599.609999999</v>
      </c>
      <c r="N30" s="231">
        <v>9839543.2100000009</v>
      </c>
      <c r="O30" s="232">
        <v>16692125.859999999</v>
      </c>
      <c r="P30" s="233">
        <f t="shared" si="2"/>
        <v>125738854.99999999</v>
      </c>
      <c r="Q30" s="234">
        <f t="shared" si="3"/>
        <v>3.992977294379167</v>
      </c>
    </row>
    <row r="31" spans="1:18" ht="15" customHeight="1">
      <c r="A31" s="2"/>
      <c r="B31" s="2"/>
      <c r="C31" s="229" t="s">
        <v>311</v>
      </c>
      <c r="D31" s="230">
        <v>261820.11</v>
      </c>
      <c r="E31" s="231">
        <v>670649.61</v>
      </c>
      <c r="F31" s="231">
        <v>810598.01</v>
      </c>
      <c r="G31" s="231">
        <v>865002.57</v>
      </c>
      <c r="H31" s="231">
        <v>766364.84</v>
      </c>
      <c r="I31" s="231">
        <v>786359.24</v>
      </c>
      <c r="J31" s="231">
        <v>940708.12</v>
      </c>
      <c r="K31" s="231">
        <v>1110722.05</v>
      </c>
      <c r="L31" s="231">
        <v>742103.54</v>
      </c>
      <c r="M31" s="231">
        <v>994442.27</v>
      </c>
      <c r="N31" s="231">
        <v>735907.3</v>
      </c>
      <c r="O31" s="232">
        <v>1302914.6000000001</v>
      </c>
      <c r="P31" s="233">
        <f>SUM(D31:O31)</f>
        <v>9987592.2599999998</v>
      </c>
      <c r="Q31" s="234">
        <f t="shared" si="3"/>
        <v>0.31716710892346772</v>
      </c>
    </row>
    <row r="32" spans="1:18" ht="15" customHeight="1">
      <c r="A32" s="2"/>
      <c r="B32" s="2"/>
      <c r="C32" s="229" t="s">
        <v>27</v>
      </c>
      <c r="D32" s="230">
        <v>426136.81</v>
      </c>
      <c r="E32" s="231">
        <v>631535</v>
      </c>
      <c r="F32" s="231">
        <v>859639.5</v>
      </c>
      <c r="G32" s="231">
        <v>777083.65</v>
      </c>
      <c r="H32" s="231">
        <v>731515.96</v>
      </c>
      <c r="I32" s="231">
        <v>996524.67</v>
      </c>
      <c r="J32" s="231">
        <v>1040773.6</v>
      </c>
      <c r="K32" s="231">
        <v>1111389.01</v>
      </c>
      <c r="L32" s="231">
        <v>619656.36</v>
      </c>
      <c r="M32" s="231">
        <v>876041.48</v>
      </c>
      <c r="N32" s="231">
        <v>721880.24</v>
      </c>
      <c r="O32" s="232">
        <v>1230110.79</v>
      </c>
      <c r="P32" s="233">
        <f t="shared" si="2"/>
        <v>10022287.07</v>
      </c>
      <c r="Q32" s="234">
        <f t="shared" si="3"/>
        <v>0.3182688812321372</v>
      </c>
    </row>
    <row r="33" spans="1:17" ht="15" customHeight="1">
      <c r="A33" s="2"/>
      <c r="B33" s="2"/>
      <c r="C33" s="235" t="s">
        <v>29</v>
      </c>
      <c r="D33" s="236">
        <f>+SUM(D34:D37)</f>
        <v>803062.28</v>
      </c>
      <c r="E33" s="237">
        <f t="shared" ref="E33:O33" si="5">+SUM(E34:E37)</f>
        <v>835376.39</v>
      </c>
      <c r="F33" s="237">
        <f t="shared" si="5"/>
        <v>1072659.4200000002</v>
      </c>
      <c r="G33" s="238">
        <f t="shared" si="5"/>
        <v>1109363.0499999998</v>
      </c>
      <c r="H33" s="238">
        <f t="shared" si="5"/>
        <v>1099270.6500000001</v>
      </c>
      <c r="I33" s="238">
        <f t="shared" si="5"/>
        <v>1253551.57</v>
      </c>
      <c r="J33" s="238">
        <f t="shared" si="5"/>
        <v>1289824.8500000001</v>
      </c>
      <c r="K33" s="238">
        <f t="shared" si="5"/>
        <v>1278055.56</v>
      </c>
      <c r="L33" s="238">
        <f t="shared" si="5"/>
        <v>1133050.1499999999</v>
      </c>
      <c r="M33" s="238">
        <f t="shared" si="5"/>
        <v>2484009.87</v>
      </c>
      <c r="N33" s="238">
        <f t="shared" si="5"/>
        <v>1819882.3900000001</v>
      </c>
      <c r="O33" s="239">
        <f t="shared" si="5"/>
        <v>3820100.11</v>
      </c>
      <c r="P33" s="240">
        <f t="shared" si="2"/>
        <v>17998206.290000003</v>
      </c>
      <c r="Q33" s="241">
        <f t="shared" si="3"/>
        <v>0.5715530736741824</v>
      </c>
    </row>
    <row r="34" spans="1:17" ht="15" customHeight="1">
      <c r="A34" s="2"/>
      <c r="B34" s="2"/>
      <c r="C34" s="229" t="s">
        <v>31</v>
      </c>
      <c r="D34" s="230">
        <v>519954.63</v>
      </c>
      <c r="E34" s="231">
        <v>547311.54</v>
      </c>
      <c r="F34" s="231">
        <v>728275.64</v>
      </c>
      <c r="G34" s="231">
        <v>742069.25</v>
      </c>
      <c r="H34" s="231">
        <v>789988.97</v>
      </c>
      <c r="I34" s="231">
        <v>831253.16</v>
      </c>
      <c r="J34" s="231">
        <v>788624.18</v>
      </c>
      <c r="K34" s="231">
        <v>788905.59</v>
      </c>
      <c r="L34" s="231">
        <v>626373.48</v>
      </c>
      <c r="M34" s="231">
        <v>904066.73</v>
      </c>
      <c r="N34" s="231">
        <v>612584.25</v>
      </c>
      <c r="O34" s="232">
        <v>665074.38</v>
      </c>
      <c r="P34" s="233">
        <f t="shared" si="2"/>
        <v>8544481.8000000007</v>
      </c>
      <c r="Q34" s="234">
        <f t="shared" si="3"/>
        <v>0.27133953000952682</v>
      </c>
    </row>
    <row r="35" spans="1:17" ht="15" customHeight="1">
      <c r="A35" s="2"/>
      <c r="B35" s="2"/>
      <c r="C35" s="229" t="s">
        <v>32</v>
      </c>
      <c r="D35" s="230">
        <v>247589.66</v>
      </c>
      <c r="E35" s="231">
        <v>252773.36</v>
      </c>
      <c r="F35" s="231">
        <v>319795.43</v>
      </c>
      <c r="G35" s="231">
        <v>339127.23</v>
      </c>
      <c r="H35" s="231">
        <v>263103.05</v>
      </c>
      <c r="I35" s="231">
        <v>325661.40000000002</v>
      </c>
      <c r="J35" s="231">
        <v>282799</v>
      </c>
      <c r="K35" s="231">
        <v>199526.56</v>
      </c>
      <c r="L35" s="231">
        <v>280321.98</v>
      </c>
      <c r="M35" s="231">
        <v>289811.44</v>
      </c>
      <c r="N35" s="231">
        <v>325677.03999999998</v>
      </c>
      <c r="O35" s="232">
        <v>348890.61</v>
      </c>
      <c r="P35" s="233">
        <f t="shared" si="2"/>
        <v>3475076.76</v>
      </c>
      <c r="Q35" s="234">
        <f t="shared" si="3"/>
        <v>0.11035493045411242</v>
      </c>
    </row>
    <row r="36" spans="1:17" ht="15" customHeight="1">
      <c r="A36" s="2"/>
      <c r="B36" s="2"/>
      <c r="C36" s="229" t="s">
        <v>34</v>
      </c>
      <c r="D36" s="230">
        <v>14861.66</v>
      </c>
      <c r="E36" s="231">
        <v>5374.77</v>
      </c>
      <c r="F36" s="231">
        <v>5399.35</v>
      </c>
      <c r="G36" s="231">
        <v>9826.15</v>
      </c>
      <c r="H36" s="231">
        <v>13154.85</v>
      </c>
      <c r="I36" s="231">
        <v>34509.61</v>
      </c>
      <c r="J36" s="231">
        <v>113075.53</v>
      </c>
      <c r="K36" s="231">
        <v>144390.32999999999</v>
      </c>
      <c r="L36" s="231">
        <v>75874.92</v>
      </c>
      <c r="M36" s="231">
        <v>51819.16</v>
      </c>
      <c r="N36" s="231">
        <v>14792.63</v>
      </c>
      <c r="O36" s="232">
        <v>8896.99</v>
      </c>
      <c r="P36" s="233">
        <f t="shared" si="2"/>
        <v>491975.94999999995</v>
      </c>
      <c r="Q36" s="234">
        <f t="shared" si="3"/>
        <v>1.5623243886948236E-2</v>
      </c>
    </row>
    <row r="37" spans="1:17" ht="15" customHeight="1">
      <c r="A37" s="2"/>
      <c r="B37" s="2"/>
      <c r="C37" s="229" t="s">
        <v>37</v>
      </c>
      <c r="D37" s="230">
        <v>20656.330000000002</v>
      </c>
      <c r="E37" s="231">
        <v>29916.720000000001</v>
      </c>
      <c r="F37" s="231">
        <v>19189</v>
      </c>
      <c r="G37" s="231">
        <v>18340.419999999998</v>
      </c>
      <c r="H37" s="231">
        <v>33023.78</v>
      </c>
      <c r="I37" s="231">
        <v>62127.4</v>
      </c>
      <c r="J37" s="231">
        <v>105326.14</v>
      </c>
      <c r="K37" s="231">
        <v>145233.07999999999</v>
      </c>
      <c r="L37" s="231">
        <v>150479.76999999999</v>
      </c>
      <c r="M37" s="231">
        <v>1238312.54</v>
      </c>
      <c r="N37" s="231">
        <v>866828.47</v>
      </c>
      <c r="O37" s="232">
        <v>2797238.13</v>
      </c>
      <c r="P37" s="233">
        <f t="shared" si="2"/>
        <v>5486671.7800000003</v>
      </c>
      <c r="Q37" s="234">
        <f t="shared" si="3"/>
        <v>0.17423536932359479</v>
      </c>
    </row>
    <row r="38" spans="1:17" ht="15" customHeight="1">
      <c r="A38" s="2"/>
      <c r="B38" s="2"/>
      <c r="C38" s="235" t="s">
        <v>39</v>
      </c>
      <c r="D38" s="236">
        <f>+SUM(D39:D44)</f>
        <v>839122.82</v>
      </c>
      <c r="E38" s="237">
        <f t="shared" ref="E38:O38" si="6">+SUM(E39:E44)</f>
        <v>792117.05</v>
      </c>
      <c r="F38" s="237">
        <f t="shared" si="6"/>
        <v>742715.4</v>
      </c>
      <c r="G38" s="238">
        <f t="shared" si="6"/>
        <v>1304057.26</v>
      </c>
      <c r="H38" s="238">
        <f t="shared" si="6"/>
        <v>850650.9</v>
      </c>
      <c r="I38" s="238">
        <f t="shared" si="6"/>
        <v>1029014.73</v>
      </c>
      <c r="J38" s="238">
        <f t="shared" si="6"/>
        <v>1709413.33</v>
      </c>
      <c r="K38" s="238">
        <f t="shared" si="6"/>
        <v>992598.97</v>
      </c>
      <c r="L38" s="238">
        <f t="shared" si="6"/>
        <v>1163836.81</v>
      </c>
      <c r="M38" s="238">
        <f t="shared" si="6"/>
        <v>982068.49</v>
      </c>
      <c r="N38" s="238">
        <f t="shared" si="6"/>
        <v>787100.62999999989</v>
      </c>
      <c r="O38" s="239">
        <f t="shared" si="6"/>
        <v>1513418.92</v>
      </c>
      <c r="P38" s="240">
        <f t="shared" si="2"/>
        <v>12706115.310000001</v>
      </c>
      <c r="Q38" s="241">
        <f t="shared" si="3"/>
        <v>0.40349683423308985</v>
      </c>
    </row>
    <row r="39" spans="1:17" ht="15" customHeight="1">
      <c r="A39" s="2"/>
      <c r="B39" s="2"/>
      <c r="C39" s="229" t="s">
        <v>329</v>
      </c>
      <c r="D39" s="230">
        <v>55049.09</v>
      </c>
      <c r="E39" s="231">
        <v>17306.62</v>
      </c>
      <c r="F39" s="231">
        <v>16879.599999999999</v>
      </c>
      <c r="G39" s="231">
        <v>20157.53</v>
      </c>
      <c r="H39" s="231">
        <v>22455.27</v>
      </c>
      <c r="I39" s="231">
        <v>21824.22</v>
      </c>
      <c r="J39" s="231">
        <v>43122.11</v>
      </c>
      <c r="K39" s="231">
        <v>66384.289999999994</v>
      </c>
      <c r="L39" s="231">
        <v>81765.37</v>
      </c>
      <c r="M39" s="231">
        <v>88908.68</v>
      </c>
      <c r="N39" s="231">
        <v>55540.52</v>
      </c>
      <c r="O39" s="232">
        <v>73978.039999999994</v>
      </c>
      <c r="P39" s="233">
        <f t="shared" si="2"/>
        <v>563371.34</v>
      </c>
      <c r="Q39" s="234">
        <f t="shared" si="3"/>
        <v>1.7890483963162909E-2</v>
      </c>
    </row>
    <row r="40" spans="1:17" ht="15" customHeight="1">
      <c r="A40" s="2"/>
      <c r="B40" s="2"/>
      <c r="C40" s="229" t="s">
        <v>312</v>
      </c>
      <c r="D40" s="230">
        <v>45159</v>
      </c>
      <c r="E40" s="231">
        <v>65694.95</v>
      </c>
      <c r="F40" s="231">
        <v>71910.320000000007</v>
      </c>
      <c r="G40" s="231">
        <v>97300.91</v>
      </c>
      <c r="H40" s="231">
        <v>117038.96</v>
      </c>
      <c r="I40" s="231">
        <v>127415.44</v>
      </c>
      <c r="J40" s="231">
        <v>133240.70000000001</v>
      </c>
      <c r="K40" s="231">
        <v>161946.03</v>
      </c>
      <c r="L40" s="231">
        <v>129649.1</v>
      </c>
      <c r="M40" s="231">
        <v>165061.20000000001</v>
      </c>
      <c r="N40" s="231">
        <v>108683.76</v>
      </c>
      <c r="O40" s="232">
        <v>153822.89000000001</v>
      </c>
      <c r="P40" s="233">
        <f t="shared" si="2"/>
        <v>1376923.2600000002</v>
      </c>
      <c r="Q40" s="234">
        <f t="shared" si="3"/>
        <v>4.3725730708161326E-2</v>
      </c>
    </row>
    <row r="41" spans="1:17" ht="15" customHeight="1">
      <c r="A41" s="2"/>
      <c r="B41" s="2"/>
      <c r="C41" s="229" t="s">
        <v>45</v>
      </c>
      <c r="D41" s="230">
        <v>178437.34</v>
      </c>
      <c r="E41" s="231">
        <v>1601.92</v>
      </c>
      <c r="F41" s="231">
        <v>9698.7999999999993</v>
      </c>
      <c r="G41" s="231">
        <v>51841.13</v>
      </c>
      <c r="H41" s="231">
        <v>7885.79</v>
      </c>
      <c r="I41" s="231">
        <v>169044.61</v>
      </c>
      <c r="J41" s="231">
        <v>34712.1</v>
      </c>
      <c r="K41" s="231">
        <v>31526.95</v>
      </c>
      <c r="L41" s="231">
        <v>61175.45</v>
      </c>
      <c r="M41" s="231">
        <v>64653.66</v>
      </c>
      <c r="N41" s="231">
        <v>338.73</v>
      </c>
      <c r="O41" s="232">
        <v>43379.7</v>
      </c>
      <c r="P41" s="233">
        <f t="shared" si="2"/>
        <v>654296.17999999993</v>
      </c>
      <c r="Q41" s="234">
        <f t="shared" si="3"/>
        <v>2.0777903461416322E-2</v>
      </c>
    </row>
    <row r="42" spans="1:17" ht="15" customHeight="1">
      <c r="A42" s="2"/>
      <c r="B42" s="2"/>
      <c r="C42" s="229" t="s">
        <v>313</v>
      </c>
      <c r="D42" s="230">
        <v>206077.15</v>
      </c>
      <c r="E42" s="231">
        <v>279371.71000000002</v>
      </c>
      <c r="F42" s="231">
        <v>313567.45</v>
      </c>
      <c r="G42" s="231">
        <v>254149.11</v>
      </c>
      <c r="H42" s="231">
        <v>238988.77</v>
      </c>
      <c r="I42" s="231">
        <v>229639.52</v>
      </c>
      <c r="J42" s="231">
        <v>321629.11</v>
      </c>
      <c r="K42" s="231">
        <v>297617.15999999997</v>
      </c>
      <c r="L42" s="231">
        <v>187845.2</v>
      </c>
      <c r="M42" s="231">
        <v>263708.39</v>
      </c>
      <c r="N42" s="231">
        <v>308276.75</v>
      </c>
      <c r="O42" s="232">
        <v>418222.51</v>
      </c>
      <c r="P42" s="233">
        <f t="shared" si="2"/>
        <v>3319092.83</v>
      </c>
      <c r="Q42" s="234">
        <f t="shared" si="3"/>
        <v>0.10540148713877422</v>
      </c>
    </row>
    <row r="43" spans="1:17" ht="15" customHeight="1">
      <c r="A43" s="2"/>
      <c r="B43" s="2"/>
      <c r="C43" s="229" t="s">
        <v>314</v>
      </c>
      <c r="D43" s="230">
        <v>245088</v>
      </c>
      <c r="E43" s="231">
        <v>217809.7</v>
      </c>
      <c r="F43" s="231">
        <v>213761.85</v>
      </c>
      <c r="G43" s="231">
        <v>208650.17</v>
      </c>
      <c r="H43" s="231">
        <v>325701.71999999997</v>
      </c>
      <c r="I43" s="231">
        <v>353440.47</v>
      </c>
      <c r="J43" s="231">
        <v>347586.8</v>
      </c>
      <c r="K43" s="231">
        <v>320443.98</v>
      </c>
      <c r="L43" s="231">
        <v>544299.9</v>
      </c>
      <c r="M43" s="231">
        <v>171140.58</v>
      </c>
      <c r="N43" s="231">
        <v>201875.69</v>
      </c>
      <c r="O43" s="232">
        <v>177610.82</v>
      </c>
      <c r="P43" s="233">
        <f t="shared" si="2"/>
        <v>3327409.6799999997</v>
      </c>
      <c r="Q43" s="234">
        <f t="shared" si="3"/>
        <v>0.10566559796760876</v>
      </c>
    </row>
    <row r="44" spans="1:17" ht="15" customHeight="1">
      <c r="A44" s="2"/>
      <c r="B44" s="2"/>
      <c r="C44" s="229" t="s">
        <v>51</v>
      </c>
      <c r="D44" s="230">
        <v>109312.24</v>
      </c>
      <c r="E44" s="231">
        <v>210332.15</v>
      </c>
      <c r="F44" s="231">
        <v>116897.38</v>
      </c>
      <c r="G44" s="231">
        <v>671958.41</v>
      </c>
      <c r="H44" s="231">
        <v>138580.39000000001</v>
      </c>
      <c r="I44" s="231">
        <v>127650.47</v>
      </c>
      <c r="J44" s="231">
        <v>829122.51</v>
      </c>
      <c r="K44" s="231">
        <v>114680.56</v>
      </c>
      <c r="L44" s="231">
        <v>159101.79</v>
      </c>
      <c r="M44" s="231">
        <v>228595.98</v>
      </c>
      <c r="N44" s="231">
        <v>112385.18</v>
      </c>
      <c r="O44" s="232">
        <v>646404.96</v>
      </c>
      <c r="P44" s="233">
        <f t="shared" si="2"/>
        <v>3465022.0200000005</v>
      </c>
      <c r="Q44" s="234">
        <f t="shared" si="3"/>
        <v>0.11003563099396636</v>
      </c>
    </row>
    <row r="45" spans="1:17" ht="15" customHeight="1">
      <c r="A45" s="2"/>
      <c r="B45" s="2"/>
      <c r="C45" s="235" t="s">
        <v>53</v>
      </c>
      <c r="D45" s="236">
        <f>+SUM(D46:D49)</f>
        <v>977196.86</v>
      </c>
      <c r="E45" s="237">
        <f t="shared" ref="E45:O45" si="7">+SUM(E46:E49)</f>
        <v>1896628.8599999999</v>
      </c>
      <c r="F45" s="237">
        <f t="shared" si="7"/>
        <v>2487819.8499999996</v>
      </c>
      <c r="G45" s="238">
        <f t="shared" si="7"/>
        <v>1782955.79</v>
      </c>
      <c r="H45" s="238">
        <f t="shared" si="7"/>
        <v>1949221.93</v>
      </c>
      <c r="I45" s="238">
        <f t="shared" si="7"/>
        <v>1597266.31</v>
      </c>
      <c r="J45" s="238">
        <f t="shared" si="7"/>
        <v>3675711.37</v>
      </c>
      <c r="K45" s="238">
        <f t="shared" si="7"/>
        <v>2499744.7200000002</v>
      </c>
      <c r="L45" s="238">
        <f t="shared" si="7"/>
        <v>1522592.85</v>
      </c>
      <c r="M45" s="238">
        <f t="shared" si="7"/>
        <v>2633711.13</v>
      </c>
      <c r="N45" s="238">
        <f t="shared" si="7"/>
        <v>2223741.7000000002</v>
      </c>
      <c r="O45" s="242">
        <f t="shared" si="7"/>
        <v>11873869.82</v>
      </c>
      <c r="P45" s="240">
        <f t="shared" si="2"/>
        <v>35120461.189999998</v>
      </c>
      <c r="Q45" s="241">
        <f t="shared" si="3"/>
        <v>1.1152893359796761</v>
      </c>
    </row>
    <row r="46" spans="1:17" ht="15" customHeight="1">
      <c r="A46" s="2"/>
      <c r="B46" s="2"/>
      <c r="C46" s="229" t="s">
        <v>55</v>
      </c>
      <c r="D46" s="230">
        <v>141489.54</v>
      </c>
      <c r="E46" s="231">
        <v>285221.32</v>
      </c>
      <c r="F46" s="231">
        <v>419392.41</v>
      </c>
      <c r="G46" s="231">
        <v>408464.22</v>
      </c>
      <c r="H46" s="231">
        <v>93664.4</v>
      </c>
      <c r="I46" s="231">
        <v>126926.84</v>
      </c>
      <c r="J46" s="231">
        <v>1776283.64</v>
      </c>
      <c r="K46" s="231">
        <v>126438.83</v>
      </c>
      <c r="L46" s="231">
        <v>55918.96</v>
      </c>
      <c r="M46" s="231">
        <v>39667.89</v>
      </c>
      <c r="N46" s="231">
        <v>769292.95</v>
      </c>
      <c r="O46" s="243">
        <v>8537550.9100000001</v>
      </c>
      <c r="P46" s="233">
        <f t="shared" si="2"/>
        <v>12780311.91</v>
      </c>
      <c r="Q46" s="234">
        <f t="shared" si="3"/>
        <v>0.40585302985074628</v>
      </c>
    </row>
    <row r="47" spans="1:17" ht="15" customHeight="1">
      <c r="A47" s="2"/>
      <c r="B47" s="2"/>
      <c r="C47" s="229" t="s">
        <v>57</v>
      </c>
      <c r="D47" s="230">
        <v>394898.64</v>
      </c>
      <c r="E47" s="231">
        <v>492027.45</v>
      </c>
      <c r="F47" s="231">
        <v>704590.7</v>
      </c>
      <c r="G47" s="231">
        <v>637820</v>
      </c>
      <c r="H47" s="231">
        <v>695594.63</v>
      </c>
      <c r="I47" s="231">
        <v>670451.38</v>
      </c>
      <c r="J47" s="231">
        <v>991510.75</v>
      </c>
      <c r="K47" s="231">
        <v>1145293.46</v>
      </c>
      <c r="L47" s="231">
        <v>744189.43</v>
      </c>
      <c r="M47" s="231">
        <v>738665.21</v>
      </c>
      <c r="N47" s="231">
        <v>706328.8</v>
      </c>
      <c r="O47" s="243">
        <v>826891.66</v>
      </c>
      <c r="P47" s="233">
        <f t="shared" si="2"/>
        <v>8748262.1099999994</v>
      </c>
      <c r="Q47" s="234">
        <f t="shared" si="3"/>
        <v>0.27781080057161001</v>
      </c>
    </row>
    <row r="48" spans="1:17" ht="15" customHeight="1">
      <c r="A48" s="2"/>
      <c r="B48" s="2"/>
      <c r="C48" s="229" t="s">
        <v>315</v>
      </c>
      <c r="D48" s="230">
        <v>100875.57</v>
      </c>
      <c r="E48" s="231">
        <v>108799.21</v>
      </c>
      <c r="F48" s="231">
        <v>185279.53</v>
      </c>
      <c r="G48" s="231">
        <v>205973.71</v>
      </c>
      <c r="H48" s="231">
        <v>185448.45</v>
      </c>
      <c r="I48" s="231">
        <v>193721.37</v>
      </c>
      <c r="J48" s="231">
        <v>179542.49</v>
      </c>
      <c r="K48" s="231">
        <v>156200.82</v>
      </c>
      <c r="L48" s="231">
        <v>144288.17000000001</v>
      </c>
      <c r="M48" s="231">
        <v>154848.17000000001</v>
      </c>
      <c r="N48" s="231">
        <v>139736.65</v>
      </c>
      <c r="O48" s="243">
        <v>252440.77</v>
      </c>
      <c r="P48" s="233">
        <f t="shared" si="2"/>
        <v>2007154.91</v>
      </c>
      <c r="Q48" s="234">
        <f t="shared" si="3"/>
        <v>6.373943823436011E-2</v>
      </c>
    </row>
    <row r="49" spans="1:32">
      <c r="A49" s="2"/>
      <c r="B49" s="2"/>
      <c r="C49" s="229" t="s">
        <v>53</v>
      </c>
      <c r="D49" s="230">
        <v>339933.11</v>
      </c>
      <c r="E49" s="231">
        <v>1010580.88</v>
      </c>
      <c r="F49" s="231">
        <v>1178557.21</v>
      </c>
      <c r="G49" s="231">
        <v>530697.86</v>
      </c>
      <c r="H49" s="231">
        <v>974514.45</v>
      </c>
      <c r="I49" s="231">
        <v>606166.72</v>
      </c>
      <c r="J49" s="231">
        <v>728374.49</v>
      </c>
      <c r="K49" s="231">
        <v>1071811.6100000001</v>
      </c>
      <c r="L49" s="231">
        <v>578196.29</v>
      </c>
      <c r="M49" s="231">
        <v>1700529.86</v>
      </c>
      <c r="N49" s="231">
        <v>608383.30000000005</v>
      </c>
      <c r="O49" s="243">
        <v>2256986.48</v>
      </c>
      <c r="P49" s="233">
        <f t="shared" si="2"/>
        <v>11584732.260000002</v>
      </c>
      <c r="Q49" s="234">
        <f t="shared" si="3"/>
        <v>0.3678860673229597</v>
      </c>
    </row>
    <row r="50" spans="1:32" ht="17.25" customHeight="1" thickBot="1">
      <c r="A50" s="2"/>
      <c r="B50" s="2"/>
      <c r="C50" s="244" t="s">
        <v>256</v>
      </c>
      <c r="D50" s="245">
        <v>487675.47</v>
      </c>
      <c r="E50" s="246">
        <v>308916.07</v>
      </c>
      <c r="F50" s="246">
        <v>335775.71</v>
      </c>
      <c r="G50" s="247">
        <v>222463.93</v>
      </c>
      <c r="H50" s="247">
        <v>217424.9</v>
      </c>
      <c r="I50" s="247">
        <v>327224.93</v>
      </c>
      <c r="J50" s="247">
        <v>466576.76</v>
      </c>
      <c r="K50" s="247">
        <v>521075.35</v>
      </c>
      <c r="L50" s="247">
        <v>328801.49</v>
      </c>
      <c r="M50" s="248">
        <v>278822.21999999997</v>
      </c>
      <c r="N50" s="248">
        <v>473545.47</v>
      </c>
      <c r="O50" s="249">
        <v>1530500.2</v>
      </c>
      <c r="P50" s="250">
        <f>SUM(D50:O50)</f>
        <v>5498802.4999999991</v>
      </c>
      <c r="Q50" s="251">
        <f t="shared" si="3"/>
        <v>0.17462059383931403</v>
      </c>
      <c r="R50" s="3"/>
      <c r="S50" s="3"/>
      <c r="T50" s="3"/>
    </row>
    <row r="51" spans="1:32" ht="14.25" thickTop="1" thickBot="1">
      <c r="A51" s="2"/>
      <c r="B51" s="2"/>
      <c r="C51" s="235" t="s">
        <v>123</v>
      </c>
      <c r="D51" s="336">
        <v>120840.82</v>
      </c>
      <c r="E51" s="337">
        <v>462333.48</v>
      </c>
      <c r="F51" s="337">
        <v>397599.66</v>
      </c>
      <c r="G51" s="334">
        <v>664302.91</v>
      </c>
      <c r="H51" s="334">
        <v>198856.38</v>
      </c>
      <c r="I51" s="334">
        <v>265058.73</v>
      </c>
      <c r="J51" s="334">
        <v>1010975.94</v>
      </c>
      <c r="K51" s="334">
        <v>111156.37</v>
      </c>
      <c r="L51" s="334">
        <v>301806.81</v>
      </c>
      <c r="M51" s="334">
        <v>567941.03</v>
      </c>
      <c r="N51" s="334">
        <v>522929.08</v>
      </c>
      <c r="O51" s="338">
        <v>412637.7</v>
      </c>
      <c r="P51" s="266">
        <f>SUM(D51:O51)</f>
        <v>5036438.91</v>
      </c>
      <c r="Q51" s="267">
        <f>+P51/$D$14*100</f>
        <v>0.15993772340425533</v>
      </c>
    </row>
    <row r="52" spans="1:32" ht="14.25" thickTop="1" thickBot="1">
      <c r="A52" s="2"/>
      <c r="B52" s="2"/>
      <c r="C52" s="217" t="s">
        <v>62</v>
      </c>
      <c r="D52" s="252">
        <f>D54+D69+D75+D81+D82+D83+D84+D85</f>
        <v>54790947.678333335</v>
      </c>
      <c r="E52" s="252">
        <f>E54+E69+E75+E81+E82+E83+E84+E85</f>
        <v>101044104.81833334</v>
      </c>
      <c r="F52" s="252">
        <f t="shared" ref="F52:O52" si="8">F54+F69+F75+F81+F82+F83+F84+F85</f>
        <v>82810008.258333325</v>
      </c>
      <c r="G52" s="252">
        <f t="shared" si="8"/>
        <v>167672420.09833333</v>
      </c>
      <c r="H52" s="252">
        <f t="shared" si="8"/>
        <v>99740320.848333329</v>
      </c>
      <c r="I52" s="252">
        <f t="shared" si="8"/>
        <v>102046738.66833334</v>
      </c>
      <c r="J52" s="252">
        <f t="shared" si="8"/>
        <v>110054040.65833333</v>
      </c>
      <c r="K52" s="252">
        <f t="shared" si="8"/>
        <v>103006114.50833333</v>
      </c>
      <c r="L52" s="252">
        <f t="shared" si="8"/>
        <v>108953386.84833331</v>
      </c>
      <c r="M52" s="252">
        <f t="shared" si="8"/>
        <v>105792718.43833335</v>
      </c>
      <c r="N52" s="252">
        <f t="shared" si="8"/>
        <v>110816200.94833334</v>
      </c>
      <c r="O52" s="252">
        <f t="shared" si="8"/>
        <v>187147965.17833331</v>
      </c>
      <c r="P52" s="219">
        <f>SUM(D52:O52)</f>
        <v>1333874966.95</v>
      </c>
      <c r="Q52" s="220">
        <f t="shared" si="3"/>
        <v>42.358684247380125</v>
      </c>
      <c r="R52" s="3"/>
      <c r="S52" s="3"/>
      <c r="T52" s="3"/>
    </row>
    <row r="53" spans="1:32" ht="14.25" thickTop="1" thickBot="1">
      <c r="A53" s="2"/>
      <c r="B53" s="2"/>
      <c r="C53" s="217" t="s">
        <v>126</v>
      </c>
      <c r="D53" s="252">
        <f t="shared" ref="D53:O53" si="9">D52-D81</f>
        <v>51143106.130000003</v>
      </c>
      <c r="E53" s="252">
        <f t="shared" si="9"/>
        <v>96391995.530000016</v>
      </c>
      <c r="F53" s="252">
        <f t="shared" si="9"/>
        <v>80169488.339999989</v>
      </c>
      <c r="G53" s="252">
        <f t="shared" si="9"/>
        <v>162882210.25999999</v>
      </c>
      <c r="H53" s="252">
        <f t="shared" si="9"/>
        <v>93252424.189999998</v>
      </c>
      <c r="I53" s="252">
        <f t="shared" si="9"/>
        <v>96429554.670000002</v>
      </c>
      <c r="J53" s="252">
        <f t="shared" si="9"/>
        <v>103062049.17</v>
      </c>
      <c r="K53" s="252">
        <f t="shared" si="9"/>
        <v>93837462.419999987</v>
      </c>
      <c r="L53" s="252">
        <f t="shared" si="9"/>
        <v>102904789.73999998</v>
      </c>
      <c r="M53" s="252">
        <f t="shared" si="9"/>
        <v>99413606.270000011</v>
      </c>
      <c r="N53" s="252">
        <f t="shared" si="9"/>
        <v>104402792.45</v>
      </c>
      <c r="O53" s="252">
        <f t="shared" si="9"/>
        <v>173942787.79999998</v>
      </c>
      <c r="P53" s="219">
        <f>SUM(D53:O53)</f>
        <v>1257832266.9699998</v>
      </c>
      <c r="Q53" s="220">
        <f t="shared" si="3"/>
        <v>39.943863670053979</v>
      </c>
      <c r="R53" s="3"/>
      <c r="S53" s="3"/>
      <c r="T53" s="3"/>
    </row>
    <row r="54" spans="1:32" ht="13.5" thickTop="1">
      <c r="A54" s="2"/>
      <c r="B54" s="2"/>
      <c r="C54" s="235" t="s">
        <v>63</v>
      </c>
      <c r="D54" s="253">
        <f>+D55+SUM(D61:D68)</f>
        <v>12595475.42</v>
      </c>
      <c r="E54" s="254">
        <f t="shared" ref="E54:O54" si="10">+E55+SUM(E61:E68)</f>
        <v>52056412.079999998</v>
      </c>
      <c r="F54" s="254">
        <f t="shared" si="10"/>
        <v>40691686.250000007</v>
      </c>
      <c r="G54" s="255">
        <f t="shared" si="10"/>
        <v>91155529.419999987</v>
      </c>
      <c r="H54" s="255">
        <f t="shared" si="10"/>
        <v>49651560.570000008</v>
      </c>
      <c r="I54" s="255">
        <f t="shared" si="10"/>
        <v>53492157.5</v>
      </c>
      <c r="J54" s="255">
        <f t="shared" si="10"/>
        <v>59241327.510000005</v>
      </c>
      <c r="K54" s="255">
        <f t="shared" si="10"/>
        <v>51445121.139999993</v>
      </c>
      <c r="L54" s="255">
        <f t="shared" si="10"/>
        <v>57526372.359999999</v>
      </c>
      <c r="M54" s="255">
        <f t="shared" si="10"/>
        <v>53189576.38000001</v>
      </c>
      <c r="N54" s="256">
        <f t="shared" si="10"/>
        <v>58530949.110000014</v>
      </c>
      <c r="O54" s="257">
        <f t="shared" si="10"/>
        <v>87426816.359999999</v>
      </c>
      <c r="P54" s="258">
        <f t="shared" si="2"/>
        <v>667002984.10000002</v>
      </c>
      <c r="Q54" s="259">
        <f t="shared" si="3"/>
        <v>21.181422168942522</v>
      </c>
      <c r="R54" s="3"/>
      <c r="S54" s="3"/>
      <c r="T54" s="3"/>
    </row>
    <row r="55" spans="1:32">
      <c r="A55" s="2"/>
      <c r="B55" s="2"/>
      <c r="C55" s="235" t="s">
        <v>64</v>
      </c>
      <c r="D55" s="260">
        <f>+SUM(D56:D60)</f>
        <v>4283.5</v>
      </c>
      <c r="E55" s="261">
        <f t="shared" ref="E55:O55" si="11">+SUM(E56:E60)</f>
        <v>31275360.899999995</v>
      </c>
      <c r="F55" s="261">
        <f t="shared" si="11"/>
        <v>27711888.080000009</v>
      </c>
      <c r="G55" s="255">
        <f t="shared" si="11"/>
        <v>47396528.219999991</v>
      </c>
      <c r="H55" s="255">
        <f t="shared" si="11"/>
        <v>26799661.280000005</v>
      </c>
      <c r="I55" s="255">
        <f t="shared" si="11"/>
        <v>32154932.089999996</v>
      </c>
      <c r="J55" s="255">
        <f t="shared" si="11"/>
        <v>35534328.460000016</v>
      </c>
      <c r="K55" s="255">
        <f t="shared" si="11"/>
        <v>35059305.25999999</v>
      </c>
      <c r="L55" s="255">
        <f t="shared" si="11"/>
        <v>21069030.100000005</v>
      </c>
      <c r="M55" s="255">
        <f t="shared" si="11"/>
        <v>31269261.440000009</v>
      </c>
      <c r="N55" s="255">
        <f t="shared" si="11"/>
        <v>40127527.99000001</v>
      </c>
      <c r="O55" s="257">
        <f t="shared" si="11"/>
        <v>46251200.310000002</v>
      </c>
      <c r="P55" s="258">
        <f t="shared" si="2"/>
        <v>374653307.63</v>
      </c>
      <c r="Q55" s="262">
        <f t="shared" si="3"/>
        <v>11.897532792315021</v>
      </c>
      <c r="R55" s="149"/>
      <c r="S55" s="3"/>
      <c r="T55" s="3"/>
    </row>
    <row r="56" spans="1:32">
      <c r="A56" s="2"/>
      <c r="B56" s="2"/>
      <c r="C56" s="229" t="s">
        <v>66</v>
      </c>
      <c r="D56" s="230">
        <v>2599.2600000000002</v>
      </c>
      <c r="E56" s="263">
        <v>20211919.549999993</v>
      </c>
      <c r="F56" s="263">
        <v>16943393.250000011</v>
      </c>
      <c r="G56" s="231">
        <v>32039859.959999982</v>
      </c>
      <c r="H56" s="231">
        <v>13787478.570000002</v>
      </c>
      <c r="I56" s="231">
        <v>19017121.489999998</v>
      </c>
      <c r="J56" s="231">
        <v>22124076.520000011</v>
      </c>
      <c r="K56" s="231">
        <v>19956577.359999999</v>
      </c>
      <c r="L56" s="231">
        <v>11218478.510000004</v>
      </c>
      <c r="M56" s="231">
        <v>18578252.529999997</v>
      </c>
      <c r="N56" s="263">
        <v>27550696.930000007</v>
      </c>
      <c r="O56" s="232">
        <v>21676411.999999993</v>
      </c>
      <c r="P56" s="264">
        <f t="shared" si="2"/>
        <v>223106865.92999998</v>
      </c>
      <c r="Q56" s="265">
        <f t="shared" si="3"/>
        <v>7.0850068570974907</v>
      </c>
      <c r="R56" s="149"/>
      <c r="S56" s="3"/>
      <c r="T56" s="3"/>
    </row>
    <row r="57" spans="1:32">
      <c r="A57" s="2"/>
      <c r="B57" s="2"/>
      <c r="C57" s="229" t="s">
        <v>68</v>
      </c>
      <c r="D57" s="230">
        <v>491.35</v>
      </c>
      <c r="E57" s="263">
        <v>2347250.9700000002</v>
      </c>
      <c r="F57" s="263">
        <v>1937857.879999999</v>
      </c>
      <c r="G57" s="231">
        <v>2940885.09</v>
      </c>
      <c r="H57" s="231">
        <v>2499706.9300000011</v>
      </c>
      <c r="I57" s="231">
        <v>2530637.1800000011</v>
      </c>
      <c r="J57" s="231">
        <v>2581751.27</v>
      </c>
      <c r="K57" s="231">
        <v>2885481.7499999991</v>
      </c>
      <c r="L57" s="231">
        <v>1987970.9600000007</v>
      </c>
      <c r="M57" s="231">
        <v>2458771.5499999998</v>
      </c>
      <c r="N57" s="263">
        <v>2453928.9400000009</v>
      </c>
      <c r="O57" s="232">
        <v>4773345.9300000025</v>
      </c>
      <c r="P57" s="264">
        <f t="shared" si="2"/>
        <v>29398079.800000008</v>
      </c>
      <c r="Q57" s="265">
        <f t="shared" si="3"/>
        <v>0.93356874563353465</v>
      </c>
      <c r="R57" s="149"/>
      <c r="S57" s="3"/>
      <c r="T57" s="3"/>
    </row>
    <row r="58" spans="1:32">
      <c r="A58" s="2"/>
      <c r="B58" s="2"/>
      <c r="C58" s="229" t="s">
        <v>70</v>
      </c>
      <c r="D58" s="230">
        <v>1119.19</v>
      </c>
      <c r="E58" s="263">
        <v>5216165.66</v>
      </c>
      <c r="F58" s="263">
        <v>5942266.790000001</v>
      </c>
      <c r="G58" s="231">
        <v>7728346.4700000035</v>
      </c>
      <c r="H58" s="231">
        <v>6647730.7200000007</v>
      </c>
      <c r="I58" s="231">
        <v>6688660.9299999997</v>
      </c>
      <c r="J58" s="231">
        <v>6770823.6500000013</v>
      </c>
      <c r="K58" s="231">
        <v>7481637.3799999999</v>
      </c>
      <c r="L58" s="231">
        <v>5178126.330000001</v>
      </c>
      <c r="M58" s="231">
        <v>6435139.7900000075</v>
      </c>
      <c r="N58" s="263">
        <v>6410443.3300000038</v>
      </c>
      <c r="O58" s="232">
        <v>12627525.43</v>
      </c>
      <c r="P58" s="264">
        <f t="shared" si="2"/>
        <v>77127985.670000017</v>
      </c>
      <c r="Q58" s="265">
        <f t="shared" si="3"/>
        <v>2.4492850323912361</v>
      </c>
      <c r="R58" s="149"/>
    </row>
    <row r="59" spans="1:32">
      <c r="A59" s="2"/>
      <c r="B59" s="2"/>
      <c r="C59" s="229" t="s">
        <v>72</v>
      </c>
      <c r="D59" s="230">
        <v>0</v>
      </c>
      <c r="E59" s="263">
        <v>3162904.910000002</v>
      </c>
      <c r="F59" s="263">
        <v>2865206.3099999991</v>
      </c>
      <c r="G59" s="231">
        <v>3997188.2799999984</v>
      </c>
      <c r="H59" s="231">
        <v>3536560.0999999987</v>
      </c>
      <c r="I59" s="231">
        <v>3622381.0299999984</v>
      </c>
      <c r="J59" s="231">
        <v>3633745.7499999991</v>
      </c>
      <c r="K59" s="231">
        <v>4403524.5499999961</v>
      </c>
      <c r="L59" s="231">
        <v>2335694.5800000005</v>
      </c>
      <c r="M59" s="231">
        <v>3432252.810000001</v>
      </c>
      <c r="N59" s="263">
        <v>3380796.5300000012</v>
      </c>
      <c r="O59" s="232">
        <v>6476158.1399999969</v>
      </c>
      <c r="P59" s="264">
        <f t="shared" si="2"/>
        <v>40846412.989999995</v>
      </c>
      <c r="Q59" s="265">
        <f t="shared" si="3"/>
        <v>1.2971233086694187</v>
      </c>
      <c r="R59" s="149"/>
    </row>
    <row r="60" spans="1:32">
      <c r="A60" s="2"/>
      <c r="B60" s="2"/>
      <c r="C60" s="229" t="s">
        <v>129</v>
      </c>
      <c r="D60" s="230">
        <v>73.7</v>
      </c>
      <c r="E60" s="263">
        <v>337119.80999999994</v>
      </c>
      <c r="F60" s="263">
        <v>23163.85</v>
      </c>
      <c r="G60" s="231">
        <v>690248.42000000039</v>
      </c>
      <c r="H60" s="231">
        <v>328184.96000000008</v>
      </c>
      <c r="I60" s="231">
        <v>296131.45999999996</v>
      </c>
      <c r="J60" s="231">
        <v>423931.27000000008</v>
      </c>
      <c r="K60" s="231">
        <v>332084.21999999997</v>
      </c>
      <c r="L60" s="231">
        <v>348759.72</v>
      </c>
      <c r="M60" s="231">
        <v>364844.76000000007</v>
      </c>
      <c r="N60" s="263">
        <v>331662.25999999995</v>
      </c>
      <c r="O60" s="232">
        <v>697758.80999999994</v>
      </c>
      <c r="P60" s="264">
        <f t="shared" si="2"/>
        <v>4173963.24</v>
      </c>
      <c r="Q60" s="265">
        <f t="shared" si="3"/>
        <v>0.13254884852334076</v>
      </c>
    </row>
    <row r="61" spans="1:32">
      <c r="A61" s="2"/>
      <c r="B61" s="2"/>
      <c r="C61" s="235" t="s">
        <v>75</v>
      </c>
      <c r="D61" s="253">
        <v>66647.16</v>
      </c>
      <c r="E61" s="254">
        <v>788157.97</v>
      </c>
      <c r="F61" s="254">
        <v>633801.75</v>
      </c>
      <c r="G61" s="255">
        <v>809278.41</v>
      </c>
      <c r="H61" s="255">
        <v>1013373</v>
      </c>
      <c r="I61" s="255">
        <v>1001254.5199999999</v>
      </c>
      <c r="J61" s="255">
        <v>858111.12</v>
      </c>
      <c r="K61" s="255">
        <v>816983.11</v>
      </c>
      <c r="L61" s="255">
        <v>949692.86</v>
      </c>
      <c r="M61" s="255">
        <v>879601.00999999989</v>
      </c>
      <c r="N61" s="254">
        <v>850889.92000000016</v>
      </c>
      <c r="O61" s="257">
        <v>1395838.9800000004</v>
      </c>
      <c r="P61" s="266">
        <f t="shared" si="2"/>
        <v>10063629.810000001</v>
      </c>
      <c r="Q61" s="267">
        <f t="shared" si="3"/>
        <v>0.31958176595744681</v>
      </c>
    </row>
    <row r="62" spans="1:32" s="1" customFormat="1">
      <c r="C62" s="268" t="s">
        <v>77</v>
      </c>
      <c r="D62" s="253">
        <v>2447085.2899999996</v>
      </c>
      <c r="E62" s="254">
        <v>12316061.990000002</v>
      </c>
      <c r="F62" s="254">
        <v>6447490.9200000009</v>
      </c>
      <c r="G62" s="255">
        <v>20731269.760000002</v>
      </c>
      <c r="H62" s="255">
        <v>14005575.880000003</v>
      </c>
      <c r="I62" s="255">
        <v>9936772.3299999982</v>
      </c>
      <c r="J62" s="255">
        <v>15905437.179999998</v>
      </c>
      <c r="K62" s="255">
        <v>10181392.100000003</v>
      </c>
      <c r="L62" s="255">
        <v>12815792.629999997</v>
      </c>
      <c r="M62" s="255">
        <v>12976547.299999997</v>
      </c>
      <c r="N62" s="254">
        <v>12157338.050000001</v>
      </c>
      <c r="O62" s="257">
        <v>20569842.799999997</v>
      </c>
      <c r="P62" s="266">
        <f t="shared" si="2"/>
        <v>150490606.23000002</v>
      </c>
      <c r="Q62" s="241">
        <f t="shared" si="3"/>
        <v>4.7789967046681499</v>
      </c>
      <c r="R62" s="11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35" t="s">
        <v>79</v>
      </c>
      <c r="D63" s="253">
        <v>23785.52</v>
      </c>
      <c r="E63" s="254">
        <v>418011.27</v>
      </c>
      <c r="F63" s="254">
        <v>1323223.27</v>
      </c>
      <c r="G63" s="255">
        <v>2902402</v>
      </c>
      <c r="H63" s="255">
        <v>2532098.79</v>
      </c>
      <c r="I63" s="255">
        <v>2724742.96</v>
      </c>
      <c r="J63" s="255">
        <v>1558173.97</v>
      </c>
      <c r="K63" s="255">
        <v>422105.83999999997</v>
      </c>
      <c r="L63" s="255">
        <v>2144478.7599999998</v>
      </c>
      <c r="M63" s="255">
        <v>4139379.72</v>
      </c>
      <c r="N63" s="254">
        <v>1284256.96</v>
      </c>
      <c r="O63" s="257">
        <v>3070853.92</v>
      </c>
      <c r="P63" s="266">
        <f t="shared" si="2"/>
        <v>22543512.980000004</v>
      </c>
      <c r="Q63" s="267">
        <f t="shared" si="3"/>
        <v>0.71589434677675468</v>
      </c>
      <c r="R63" s="139"/>
    </row>
    <row r="64" spans="1:32" s="1" customFormat="1">
      <c r="C64" s="268" t="s">
        <v>80</v>
      </c>
      <c r="D64" s="253">
        <v>3792025.5500000003</v>
      </c>
      <c r="E64" s="254">
        <v>1655265.05</v>
      </c>
      <c r="F64" s="254">
        <v>2651578.2199999997</v>
      </c>
      <c r="G64" s="255">
        <v>14134841.26</v>
      </c>
      <c r="H64" s="255">
        <v>2024043.4900000002</v>
      </c>
      <c r="I64" s="255">
        <v>4869387.8</v>
      </c>
      <c r="J64" s="255">
        <v>1340729.6100000001</v>
      </c>
      <c r="K64" s="255">
        <v>2600709.6799999997</v>
      </c>
      <c r="L64" s="255">
        <v>18177726.709999997</v>
      </c>
      <c r="M64" s="255">
        <v>791829.85</v>
      </c>
      <c r="N64" s="254">
        <v>800162.89999999991</v>
      </c>
      <c r="O64" s="257">
        <v>4021554.42</v>
      </c>
      <c r="P64" s="266">
        <f t="shared" si="2"/>
        <v>56859854.539999999</v>
      </c>
      <c r="Q64" s="241">
        <f t="shared" si="3"/>
        <v>1.805647968879009</v>
      </c>
      <c r="R64" s="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18">
      <c r="A65" s="2"/>
      <c r="B65" s="2"/>
      <c r="C65" s="235" t="s">
        <v>82</v>
      </c>
      <c r="D65" s="253">
        <v>85943.950000000012</v>
      </c>
      <c r="E65" s="254">
        <v>745704.3600000001</v>
      </c>
      <c r="F65" s="254">
        <v>326504.72999999992</v>
      </c>
      <c r="G65" s="255">
        <v>1093390.1000000003</v>
      </c>
      <c r="H65" s="255">
        <v>695307.59000000032</v>
      </c>
      <c r="I65" s="255">
        <v>531135.4099999998</v>
      </c>
      <c r="J65" s="255">
        <v>546641.87</v>
      </c>
      <c r="K65" s="255">
        <v>504210.03</v>
      </c>
      <c r="L65" s="255">
        <v>513677.69000000012</v>
      </c>
      <c r="M65" s="255">
        <v>395979.89999999991</v>
      </c>
      <c r="N65" s="254">
        <v>684569.8</v>
      </c>
      <c r="O65" s="257">
        <v>987182.15000000014</v>
      </c>
      <c r="P65" s="266">
        <f t="shared" si="2"/>
        <v>7110247.580000001</v>
      </c>
      <c r="Q65" s="267">
        <f t="shared" si="3"/>
        <v>0.22579382597650052</v>
      </c>
      <c r="R65" s="3"/>
    </row>
    <row r="66" spans="1:18">
      <c r="A66" s="2"/>
      <c r="B66" s="2"/>
      <c r="C66" s="235" t="s">
        <v>84</v>
      </c>
      <c r="D66" s="253">
        <v>6141587.4900000002</v>
      </c>
      <c r="E66" s="254">
        <v>3764809.78</v>
      </c>
      <c r="F66" s="254">
        <v>925768.61</v>
      </c>
      <c r="G66" s="255">
        <v>2150317.9900000002</v>
      </c>
      <c r="H66" s="255">
        <v>1550691.25</v>
      </c>
      <c r="I66" s="255">
        <v>1420818.93</v>
      </c>
      <c r="J66" s="255">
        <v>2033075.22</v>
      </c>
      <c r="K66" s="255">
        <v>644463.29</v>
      </c>
      <c r="L66" s="255">
        <v>860528.81</v>
      </c>
      <c r="M66" s="255">
        <v>870099.62</v>
      </c>
      <c r="N66" s="254">
        <v>753201.53</v>
      </c>
      <c r="O66" s="257">
        <v>4738055.78</v>
      </c>
      <c r="P66" s="266">
        <f t="shared" si="2"/>
        <v>25853418.300000001</v>
      </c>
      <c r="Q66" s="267">
        <f t="shared" si="3"/>
        <v>0.82100407430930455</v>
      </c>
      <c r="R66" s="3"/>
    </row>
    <row r="67" spans="1:18">
      <c r="A67" s="2"/>
      <c r="B67" s="2"/>
      <c r="C67" s="235" t="s">
        <v>130</v>
      </c>
      <c r="D67" s="253">
        <v>16247.87</v>
      </c>
      <c r="E67" s="254">
        <v>731931.54999999993</v>
      </c>
      <c r="F67" s="254">
        <v>369799.56</v>
      </c>
      <c r="G67" s="255">
        <v>659056.07000000007</v>
      </c>
      <c r="H67" s="255">
        <v>434464.89999999997</v>
      </c>
      <c r="I67" s="255">
        <v>427473.23</v>
      </c>
      <c r="J67" s="255">
        <v>545542.24</v>
      </c>
      <c r="K67" s="255">
        <v>716976.32999999973</v>
      </c>
      <c r="L67" s="255">
        <v>441913.8</v>
      </c>
      <c r="M67" s="255">
        <v>516815.02</v>
      </c>
      <c r="N67" s="254">
        <v>455379.84000000008</v>
      </c>
      <c r="O67" s="257">
        <v>730595.15000000014</v>
      </c>
      <c r="P67" s="266">
        <f t="shared" si="2"/>
        <v>6046195.5600000005</v>
      </c>
      <c r="Q67" s="267">
        <f t="shared" si="3"/>
        <v>0.19200366973642427</v>
      </c>
      <c r="R67" s="3"/>
    </row>
    <row r="68" spans="1:18" ht="12.75" customHeight="1">
      <c r="A68" s="2"/>
      <c r="B68" s="2"/>
      <c r="C68" s="235" t="s">
        <v>86</v>
      </c>
      <c r="D68" s="253">
        <v>17869.09</v>
      </c>
      <c r="E68" s="254">
        <v>361109.21</v>
      </c>
      <c r="F68" s="254">
        <v>301631.11</v>
      </c>
      <c r="G68" s="255">
        <v>1278445.6100000001</v>
      </c>
      <c r="H68" s="255">
        <v>596344.39</v>
      </c>
      <c r="I68" s="255">
        <v>425640.23</v>
      </c>
      <c r="J68" s="255">
        <v>919287.84000000008</v>
      </c>
      <c r="K68" s="255">
        <v>498975.50000000006</v>
      </c>
      <c r="L68" s="255">
        <v>553531</v>
      </c>
      <c r="M68" s="255">
        <v>1350062.52</v>
      </c>
      <c r="N68" s="254">
        <v>1417622.12</v>
      </c>
      <c r="O68" s="257">
        <v>5661692.8500000006</v>
      </c>
      <c r="P68" s="266">
        <f t="shared" si="2"/>
        <v>13382211.470000001</v>
      </c>
      <c r="Q68" s="267">
        <f t="shared" si="3"/>
        <v>0.42496702032391243</v>
      </c>
      <c r="R68" s="3"/>
    </row>
    <row r="69" spans="1:18">
      <c r="A69" s="2"/>
      <c r="B69" s="2"/>
      <c r="C69" s="235" t="s">
        <v>87</v>
      </c>
      <c r="D69" s="253">
        <f>+SUM(D70:D74)</f>
        <v>37234260.75</v>
      </c>
      <c r="E69" s="254">
        <f t="shared" ref="E69:O69" si="12">+SUM(E70:E74)</f>
        <v>40396294.500000007</v>
      </c>
      <c r="F69" s="254">
        <f t="shared" si="12"/>
        <v>35626046.939999998</v>
      </c>
      <c r="G69" s="255">
        <f t="shared" si="12"/>
        <v>43775263.219999991</v>
      </c>
      <c r="H69" s="255">
        <f t="shared" si="12"/>
        <v>40867515.959999993</v>
      </c>
      <c r="I69" s="255">
        <f t="shared" si="12"/>
        <v>39071905.920000002</v>
      </c>
      <c r="J69" s="255">
        <f t="shared" si="12"/>
        <v>40978773.030000001</v>
      </c>
      <c r="K69" s="255">
        <f t="shared" si="12"/>
        <v>39982532.369999997</v>
      </c>
      <c r="L69" s="255">
        <f t="shared" si="12"/>
        <v>40349549.839999996</v>
      </c>
      <c r="M69" s="255">
        <f t="shared" si="12"/>
        <v>40556328.559999995</v>
      </c>
      <c r="N69" s="254">
        <f t="shared" si="12"/>
        <v>40339878.769999996</v>
      </c>
      <c r="O69" s="257">
        <f t="shared" si="12"/>
        <v>42455256.619999997</v>
      </c>
      <c r="P69" s="258">
        <f t="shared" si="2"/>
        <v>481633606.48000002</v>
      </c>
      <c r="Q69" s="259">
        <f t="shared" si="3"/>
        <v>15.294811256906954</v>
      </c>
      <c r="R69" s="3"/>
    </row>
    <row r="70" spans="1:18">
      <c r="A70" s="2"/>
      <c r="B70" s="2"/>
      <c r="C70" s="229" t="s">
        <v>89</v>
      </c>
      <c r="D70" s="230">
        <v>4880739.1300000008</v>
      </c>
      <c r="E70" s="263">
        <v>5464431.5300000003</v>
      </c>
      <c r="F70" s="263">
        <v>5071540.8299999991</v>
      </c>
      <c r="G70" s="269">
        <v>5114262.4700000007</v>
      </c>
      <c r="H70" s="231">
        <v>5127234.6900000004</v>
      </c>
      <c r="I70" s="231">
        <v>5352636.95</v>
      </c>
      <c r="J70" s="231">
        <v>5472666.7700000005</v>
      </c>
      <c r="K70" s="231">
        <v>5393033.8800000008</v>
      </c>
      <c r="L70" s="231">
        <v>5945077.8899999997</v>
      </c>
      <c r="M70" s="231">
        <v>5754938.6399999987</v>
      </c>
      <c r="N70" s="263">
        <v>5713396.9199999999</v>
      </c>
      <c r="O70" s="232">
        <v>5898676.7699999996</v>
      </c>
      <c r="P70" s="264">
        <f t="shared" si="2"/>
        <v>65188636.470000014</v>
      </c>
      <c r="Q70" s="265">
        <f t="shared" si="3"/>
        <v>2.0701377094315658</v>
      </c>
      <c r="R70" s="3"/>
    </row>
    <row r="71" spans="1:18">
      <c r="A71" s="2"/>
      <c r="B71" s="2"/>
      <c r="C71" s="229" t="s">
        <v>91</v>
      </c>
      <c r="D71" s="230">
        <v>1736584.53</v>
      </c>
      <c r="E71" s="263">
        <v>1660250.14</v>
      </c>
      <c r="F71" s="263">
        <v>1473771.4300000002</v>
      </c>
      <c r="G71" s="231">
        <v>1382169.35</v>
      </c>
      <c r="H71" s="231">
        <v>1498835.8599999999</v>
      </c>
      <c r="I71" s="231">
        <v>1233240.1499999999</v>
      </c>
      <c r="J71" s="231">
        <v>1101163.56</v>
      </c>
      <c r="K71" s="231">
        <v>771327.97</v>
      </c>
      <c r="L71" s="231">
        <v>1170345.77</v>
      </c>
      <c r="M71" s="231">
        <v>982048.69</v>
      </c>
      <c r="N71" s="263">
        <v>981764.53</v>
      </c>
      <c r="O71" s="232">
        <v>2138916.16</v>
      </c>
      <c r="P71" s="264">
        <f t="shared" si="2"/>
        <v>16130418.139999999</v>
      </c>
      <c r="Q71" s="265">
        <f t="shared" si="3"/>
        <v>0.51223938202604002</v>
      </c>
    </row>
    <row r="72" spans="1:18">
      <c r="A72" s="2"/>
      <c r="B72" s="2"/>
      <c r="C72" s="229" t="s">
        <v>93</v>
      </c>
      <c r="D72" s="230">
        <v>30358548.720000003</v>
      </c>
      <c r="E72" s="263">
        <v>31864788.480000004</v>
      </c>
      <c r="F72" s="263">
        <v>28018969.609999999</v>
      </c>
      <c r="G72" s="231">
        <v>35356384.349999994</v>
      </c>
      <c r="H72" s="231">
        <v>31736646.849999994</v>
      </c>
      <c r="I72" s="231">
        <v>31408284.820000004</v>
      </c>
      <c r="J72" s="231">
        <v>31647148.099999998</v>
      </c>
      <c r="K72" s="231">
        <v>31679934.049999997</v>
      </c>
      <c r="L72" s="231">
        <v>31593887.719999995</v>
      </c>
      <c r="M72" s="231">
        <v>31763390.189999998</v>
      </c>
      <c r="N72" s="231">
        <v>31604023.609999999</v>
      </c>
      <c r="O72" s="232">
        <v>31930090.09</v>
      </c>
      <c r="P72" s="264">
        <f t="shared" si="2"/>
        <v>378962096.58999991</v>
      </c>
      <c r="Q72" s="265">
        <f t="shared" si="3"/>
        <v>12.034363181644963</v>
      </c>
    </row>
    <row r="73" spans="1:18">
      <c r="A73" s="2"/>
      <c r="B73" s="2"/>
      <c r="C73" s="229" t="s">
        <v>95</v>
      </c>
      <c r="D73" s="230">
        <v>168399.48</v>
      </c>
      <c r="E73" s="263">
        <v>814363.46</v>
      </c>
      <c r="F73" s="263">
        <v>741766.67</v>
      </c>
      <c r="G73" s="231">
        <v>1080265.98</v>
      </c>
      <c r="H73" s="231">
        <v>1810921.59</v>
      </c>
      <c r="I73" s="231">
        <v>658447.02</v>
      </c>
      <c r="J73" s="231">
        <v>2020707.95</v>
      </c>
      <c r="K73" s="231">
        <v>1077249.07</v>
      </c>
      <c r="L73" s="231">
        <v>1120011.27</v>
      </c>
      <c r="M73" s="231">
        <v>1238335.1599999999</v>
      </c>
      <c r="N73" s="231">
        <v>1417252.98</v>
      </c>
      <c r="O73" s="232">
        <v>1349685.24</v>
      </c>
      <c r="P73" s="264">
        <f t="shared" si="2"/>
        <v>13497405.870000001</v>
      </c>
      <c r="Q73" s="265">
        <f t="shared" si="3"/>
        <v>0.42862514671324237</v>
      </c>
    </row>
    <row r="74" spans="1:18">
      <c r="A74" s="2"/>
      <c r="B74" s="2"/>
      <c r="C74" s="229" t="s">
        <v>97</v>
      </c>
      <c r="D74" s="230">
        <v>89988.89</v>
      </c>
      <c r="E74" s="263">
        <v>592460.8899999999</v>
      </c>
      <c r="F74" s="263">
        <v>319998.40000000002</v>
      </c>
      <c r="G74" s="231">
        <v>842181.07000000007</v>
      </c>
      <c r="H74" s="231">
        <v>693876.97</v>
      </c>
      <c r="I74" s="231">
        <v>419296.98000000004</v>
      </c>
      <c r="J74" s="231">
        <v>737086.65</v>
      </c>
      <c r="K74" s="231">
        <v>1060987.3999999999</v>
      </c>
      <c r="L74" s="231">
        <v>520227.19</v>
      </c>
      <c r="M74" s="231">
        <v>817615.87999999989</v>
      </c>
      <c r="N74" s="231">
        <v>623440.73</v>
      </c>
      <c r="O74" s="232">
        <v>1137888.3599999999</v>
      </c>
      <c r="P74" s="264">
        <f t="shared" si="2"/>
        <v>7855049.4100000001</v>
      </c>
      <c r="Q74" s="265">
        <f t="shared" si="3"/>
        <v>0.24944583709114004</v>
      </c>
    </row>
    <row r="75" spans="1:18" ht="15.75" customHeight="1">
      <c r="A75" s="2"/>
      <c r="B75" s="2"/>
      <c r="C75" s="270" t="s">
        <v>100</v>
      </c>
      <c r="D75" s="253">
        <f>+SUM(D76:D80)</f>
        <v>442338.09</v>
      </c>
      <c r="E75" s="254">
        <f t="shared" ref="E75:O75" si="13">+SUM(E76:E80)</f>
        <v>2805739.4299999997</v>
      </c>
      <c r="F75" s="254">
        <f t="shared" si="13"/>
        <v>992842.58</v>
      </c>
      <c r="G75" s="255">
        <f t="shared" si="13"/>
        <v>4069831.04</v>
      </c>
      <c r="H75" s="255">
        <f t="shared" si="13"/>
        <v>2468513.6399999997</v>
      </c>
      <c r="I75" s="255">
        <f t="shared" si="13"/>
        <v>2427947.75</v>
      </c>
      <c r="J75" s="255">
        <f t="shared" si="13"/>
        <v>2319910.83</v>
      </c>
      <c r="K75" s="255">
        <f t="shared" si="13"/>
        <v>2060764.41</v>
      </c>
      <c r="L75" s="255">
        <f t="shared" si="13"/>
        <v>2677803.0700000003</v>
      </c>
      <c r="M75" s="255">
        <f t="shared" si="13"/>
        <v>2974174.89</v>
      </c>
      <c r="N75" s="255">
        <f t="shared" si="13"/>
        <v>2032800.4700000002</v>
      </c>
      <c r="O75" s="257">
        <f t="shared" si="13"/>
        <v>6239525.4100000001</v>
      </c>
      <c r="P75" s="258">
        <f t="shared" si="2"/>
        <v>31512191.609999999</v>
      </c>
      <c r="Q75" s="259">
        <f t="shared" si="3"/>
        <v>1.0007047192759606</v>
      </c>
    </row>
    <row r="76" spans="1:18">
      <c r="A76" s="2"/>
      <c r="B76" s="2"/>
      <c r="C76" s="229" t="s">
        <v>102</v>
      </c>
      <c r="D76" s="230">
        <v>180794.57</v>
      </c>
      <c r="E76" s="263">
        <v>973625.26</v>
      </c>
      <c r="F76" s="263">
        <v>286908.56999999995</v>
      </c>
      <c r="G76" s="231">
        <v>1612546.99</v>
      </c>
      <c r="H76" s="231">
        <v>1303321.6299999999</v>
      </c>
      <c r="I76" s="231">
        <v>886080.96</v>
      </c>
      <c r="J76" s="231">
        <v>1106414.21</v>
      </c>
      <c r="K76" s="231">
        <v>436602.5</v>
      </c>
      <c r="L76" s="231">
        <v>1185849.8700000001</v>
      </c>
      <c r="M76" s="231">
        <v>1032204.8999999999</v>
      </c>
      <c r="N76" s="231">
        <v>681492.05</v>
      </c>
      <c r="O76" s="232">
        <v>3781227.46</v>
      </c>
      <c r="P76" s="264">
        <f t="shared" si="2"/>
        <v>13467068.969999999</v>
      </c>
      <c r="Q76" s="265">
        <f t="shared" si="3"/>
        <v>0.42766176468720229</v>
      </c>
    </row>
    <row r="77" spans="1:18">
      <c r="A77" s="2"/>
      <c r="B77" s="2"/>
      <c r="C77" s="229" t="s">
        <v>104</v>
      </c>
      <c r="D77" s="230">
        <v>253000</v>
      </c>
      <c r="E77" s="263">
        <v>532747.41999999993</v>
      </c>
      <c r="F77" s="263">
        <v>293479.06</v>
      </c>
      <c r="G77" s="231">
        <v>834504.14</v>
      </c>
      <c r="H77" s="231">
        <v>293789.06</v>
      </c>
      <c r="I77" s="231">
        <v>273109.06</v>
      </c>
      <c r="J77" s="231">
        <v>321292.39</v>
      </c>
      <c r="K77" s="231">
        <v>264742.39</v>
      </c>
      <c r="L77" s="231">
        <v>434992.39</v>
      </c>
      <c r="M77" s="231">
        <v>278192.39</v>
      </c>
      <c r="N77" s="231">
        <v>205427.01</v>
      </c>
      <c r="O77" s="232">
        <v>604477.73</v>
      </c>
      <c r="P77" s="264">
        <f t="shared" si="2"/>
        <v>4589753.040000001</v>
      </c>
      <c r="Q77" s="265">
        <f t="shared" si="3"/>
        <v>0.14575271641791046</v>
      </c>
    </row>
    <row r="78" spans="1:18">
      <c r="A78" s="2"/>
      <c r="B78" s="2"/>
      <c r="C78" s="229" t="s">
        <v>106</v>
      </c>
      <c r="D78" s="230">
        <v>8543.52</v>
      </c>
      <c r="E78" s="263">
        <v>1289866.75</v>
      </c>
      <c r="F78" s="263">
        <v>408004.95000000007</v>
      </c>
      <c r="G78" s="231">
        <v>1609014.91</v>
      </c>
      <c r="H78" s="231">
        <v>864201.95</v>
      </c>
      <c r="I78" s="231">
        <v>971963.56</v>
      </c>
      <c r="J78" s="231">
        <v>875604.23</v>
      </c>
      <c r="K78" s="231">
        <v>887463.7</v>
      </c>
      <c r="L78" s="231">
        <v>1047260.81</v>
      </c>
      <c r="M78" s="231">
        <v>1654802.6</v>
      </c>
      <c r="N78" s="231">
        <v>1143581.4100000001</v>
      </c>
      <c r="O78" s="232">
        <v>1848040.2200000002</v>
      </c>
      <c r="P78" s="264">
        <f t="shared" si="2"/>
        <v>12608348.610000001</v>
      </c>
      <c r="Q78" s="265">
        <f t="shared" si="3"/>
        <v>0.40039214385519217</v>
      </c>
    </row>
    <row r="79" spans="1:18">
      <c r="A79" s="2"/>
      <c r="B79" s="2"/>
      <c r="C79" s="229" t="s">
        <v>108</v>
      </c>
      <c r="D79" s="230">
        <v>0</v>
      </c>
      <c r="E79" s="263">
        <v>9500</v>
      </c>
      <c r="F79" s="263">
        <v>4450</v>
      </c>
      <c r="G79" s="231">
        <v>13765</v>
      </c>
      <c r="H79" s="231">
        <v>7201</v>
      </c>
      <c r="I79" s="231">
        <v>296794.17</v>
      </c>
      <c r="J79" s="231">
        <v>16600</v>
      </c>
      <c r="K79" s="231">
        <v>471955.82</v>
      </c>
      <c r="L79" s="231">
        <v>9700</v>
      </c>
      <c r="M79" s="231">
        <v>8975</v>
      </c>
      <c r="N79" s="231">
        <v>2300</v>
      </c>
      <c r="O79" s="232">
        <v>5780</v>
      </c>
      <c r="P79" s="264">
        <f t="shared" si="2"/>
        <v>847020.99</v>
      </c>
      <c r="Q79" s="265">
        <f t="shared" si="3"/>
        <v>2.6898094315655763E-2</v>
      </c>
    </row>
    <row r="80" spans="1:18" ht="13.5" thickBot="1">
      <c r="A80" s="2"/>
      <c r="B80" s="2"/>
      <c r="C80" s="271" t="s">
        <v>109</v>
      </c>
      <c r="D80" s="272">
        <v>0</v>
      </c>
      <c r="E80" s="273">
        <v>0</v>
      </c>
      <c r="F80" s="273">
        <v>0</v>
      </c>
      <c r="G80" s="274">
        <v>0</v>
      </c>
      <c r="H80" s="274">
        <v>0</v>
      </c>
      <c r="I80" s="274">
        <v>0</v>
      </c>
      <c r="J80" s="274">
        <v>0</v>
      </c>
      <c r="K80" s="274">
        <v>0</v>
      </c>
      <c r="L80" s="274">
        <v>0</v>
      </c>
      <c r="M80" s="274">
        <v>0</v>
      </c>
      <c r="N80" s="274">
        <v>0</v>
      </c>
      <c r="O80" s="275">
        <v>0</v>
      </c>
      <c r="P80" s="276">
        <f t="shared" si="2"/>
        <v>0</v>
      </c>
      <c r="Q80" s="277">
        <f t="shared" si="3"/>
        <v>0</v>
      </c>
    </row>
    <row r="81" spans="1:18" ht="14.25" thickTop="1" thickBot="1">
      <c r="A81" s="2"/>
      <c r="B81" s="2"/>
      <c r="C81" s="217" t="s">
        <v>131</v>
      </c>
      <c r="D81" s="278">
        <v>3647841.5483333301</v>
      </c>
      <c r="E81" s="279">
        <v>4652109.2883333303</v>
      </c>
      <c r="F81" s="279">
        <v>2640519.9183333302</v>
      </c>
      <c r="G81" s="280">
        <v>4790209.8383333301</v>
      </c>
      <c r="H81" s="280">
        <v>6487896.6583333295</v>
      </c>
      <c r="I81" s="280">
        <v>5617183.9983333303</v>
      </c>
      <c r="J81" s="280">
        <v>6991991.4883333305</v>
      </c>
      <c r="K81" s="281">
        <v>9168652.088333331</v>
      </c>
      <c r="L81" s="281">
        <v>6048597.1083333297</v>
      </c>
      <c r="M81" s="281">
        <v>6379112.1683333293</v>
      </c>
      <c r="N81" s="282">
        <v>6413408.4983333303</v>
      </c>
      <c r="O81" s="283">
        <v>13205177.37833333</v>
      </c>
      <c r="P81" s="284">
        <f t="shared" si="2"/>
        <v>76042699.979999959</v>
      </c>
      <c r="Q81" s="285">
        <f t="shared" si="3"/>
        <v>2.4148205773261338</v>
      </c>
    </row>
    <row r="82" spans="1:18" ht="13.5" thickTop="1">
      <c r="A82" s="2"/>
      <c r="B82" s="2"/>
      <c r="C82" s="229" t="s">
        <v>111</v>
      </c>
      <c r="D82" s="230">
        <v>0</v>
      </c>
      <c r="E82" s="263">
        <v>327340.79999999999</v>
      </c>
      <c r="F82" s="263">
        <v>125713</v>
      </c>
      <c r="G82" s="231">
        <v>160911</v>
      </c>
      <c r="H82" s="231">
        <v>139637</v>
      </c>
      <c r="I82" s="231">
        <v>154669</v>
      </c>
      <c r="J82" s="231">
        <v>30000</v>
      </c>
      <c r="K82" s="231">
        <v>50000</v>
      </c>
      <c r="L82" s="231">
        <v>214389</v>
      </c>
      <c r="M82" s="231">
        <v>139389</v>
      </c>
      <c r="N82" s="231">
        <v>45000</v>
      </c>
      <c r="O82" s="232">
        <v>388584.89</v>
      </c>
      <c r="P82" s="286">
        <f t="shared" si="2"/>
        <v>1775633.69</v>
      </c>
      <c r="Q82" s="287">
        <f t="shared" si="3"/>
        <v>5.6387224198158142E-2</v>
      </c>
    </row>
    <row r="83" spans="1:18" ht="13.5" thickBot="1">
      <c r="A83" s="2"/>
      <c r="B83" s="2"/>
      <c r="C83" s="271" t="s">
        <v>118</v>
      </c>
      <c r="D83" s="272">
        <v>871031.87</v>
      </c>
      <c r="E83" s="273">
        <v>806208.72</v>
      </c>
      <c r="F83" s="273">
        <v>2733199.57</v>
      </c>
      <c r="G83" s="274">
        <v>292935.40000000002</v>
      </c>
      <c r="H83" s="274">
        <v>125197.02</v>
      </c>
      <c r="I83" s="274">
        <v>1282874.5</v>
      </c>
      <c r="J83" s="274">
        <v>492037.8</v>
      </c>
      <c r="K83" s="274">
        <v>299044.5</v>
      </c>
      <c r="L83" s="274">
        <v>2136675.4700000002</v>
      </c>
      <c r="M83" s="274">
        <v>2009396.54</v>
      </c>
      <c r="N83" s="274">
        <v>3454164.1</v>
      </c>
      <c r="O83" s="275">
        <v>3575252.97</v>
      </c>
      <c r="P83" s="276">
        <f t="shared" si="2"/>
        <v>18078018.460000001</v>
      </c>
      <c r="Q83" s="277">
        <f t="shared" si="3"/>
        <v>0.57408759796760878</v>
      </c>
    </row>
    <row r="84" spans="1:18" ht="14.25" thickTop="1" thickBot="1">
      <c r="A84" s="2"/>
      <c r="B84" s="2"/>
      <c r="C84" s="271" t="s">
        <v>113</v>
      </c>
      <c r="D84" s="288">
        <v>0</v>
      </c>
      <c r="E84" s="289">
        <v>0</v>
      </c>
      <c r="F84" s="289">
        <v>0</v>
      </c>
      <c r="G84" s="289">
        <v>23427740.18</v>
      </c>
      <c r="H84" s="290">
        <v>0</v>
      </c>
      <c r="I84" s="290">
        <v>0</v>
      </c>
      <c r="J84" s="290">
        <v>0</v>
      </c>
      <c r="K84" s="290">
        <v>0</v>
      </c>
      <c r="L84" s="290">
        <v>0</v>
      </c>
      <c r="M84" s="290">
        <v>544740.9</v>
      </c>
      <c r="N84" s="290">
        <v>0</v>
      </c>
      <c r="O84" s="291">
        <v>747351.55</v>
      </c>
      <c r="P84" s="292">
        <f>SUM(D84:O84)</f>
        <v>24719832.629999999</v>
      </c>
      <c r="Q84" s="265">
        <f t="shared" si="3"/>
        <v>0.78500579961892658</v>
      </c>
    </row>
    <row r="85" spans="1:18" ht="14.25" thickTop="1" thickBot="1">
      <c r="A85" s="2"/>
      <c r="B85" s="2"/>
      <c r="C85" s="271" t="str">
        <f>IF(MasterSheet!$A$1=1,MasterSheet!C134,MasterSheet!B136)</f>
        <v>Neto povećanje obaveza</v>
      </c>
      <c r="D85" s="230">
        <v>0</v>
      </c>
      <c r="E85" s="263">
        <v>0</v>
      </c>
      <c r="F85" s="263">
        <v>0</v>
      </c>
      <c r="G85" s="263">
        <v>0</v>
      </c>
      <c r="H85" s="263">
        <v>0</v>
      </c>
      <c r="I85" s="263">
        <v>0</v>
      </c>
      <c r="J85" s="263">
        <v>0</v>
      </c>
      <c r="K85" s="263">
        <v>0</v>
      </c>
      <c r="L85" s="263">
        <v>0</v>
      </c>
      <c r="M85" s="263">
        <v>0</v>
      </c>
      <c r="N85" s="293">
        <v>0</v>
      </c>
      <c r="O85" s="294">
        <v>33110000</v>
      </c>
      <c r="P85" s="264">
        <v>33114247.129999999</v>
      </c>
      <c r="Q85" s="295">
        <f t="shared" ref="Q85:Q97" si="14">+P85/$D$14*100</f>
        <v>1.0515797754842806</v>
      </c>
    </row>
    <row r="86" spans="1:18" ht="14.25" thickTop="1" thickBot="1">
      <c r="A86" s="2"/>
      <c r="B86" s="2"/>
      <c r="C86" s="217" t="s">
        <v>132</v>
      </c>
      <c r="D86" s="252">
        <f t="shared" ref="D86:O86" si="15">D19-D52</f>
        <v>-5947753.9583333358</v>
      </c>
      <c r="E86" s="252">
        <f t="shared" si="15"/>
        <v>-32820022.268333346</v>
      </c>
      <c r="F86" s="252">
        <f t="shared" si="15"/>
        <v>-6135770.598333329</v>
      </c>
      <c r="G86" s="252">
        <f t="shared" si="15"/>
        <v>-68246269.688333318</v>
      </c>
      <c r="H86" s="252">
        <f t="shared" si="15"/>
        <v>-12724144.50833331</v>
      </c>
      <c r="I86" s="252">
        <f t="shared" si="15"/>
        <v>-5846029.598333329</v>
      </c>
      <c r="J86" s="252">
        <f t="shared" si="15"/>
        <v>21859563.51166667</v>
      </c>
      <c r="K86" s="252">
        <f t="shared" si="15"/>
        <v>5625718.9316666722</v>
      </c>
      <c r="L86" s="252">
        <f t="shared" si="15"/>
        <v>-12807263.608333319</v>
      </c>
      <c r="M86" s="252">
        <f t="shared" si="15"/>
        <v>-5998781.5683333576</v>
      </c>
      <c r="N86" s="252">
        <f t="shared" si="15"/>
        <v>-24980449.248333335</v>
      </c>
      <c r="O86" s="252">
        <f t="shared" si="15"/>
        <v>-59799195.858333319</v>
      </c>
      <c r="P86" s="219">
        <f>SUM(D86:O86)</f>
        <v>-207820398.45999995</v>
      </c>
      <c r="Q86" s="220">
        <f t="shared" si="14"/>
        <v>-6.5995680679580806</v>
      </c>
    </row>
    <row r="87" spans="1:18" ht="14.25" thickTop="1" thickBot="1">
      <c r="A87" s="2"/>
      <c r="B87" s="2"/>
      <c r="C87" s="217" t="s">
        <v>133</v>
      </c>
      <c r="D87" s="252">
        <f t="shared" ref="D87:O87" si="16">D86+D64</f>
        <v>-2155728.4083333355</v>
      </c>
      <c r="E87" s="252">
        <f t="shared" si="16"/>
        <v>-31164757.218333345</v>
      </c>
      <c r="F87" s="252">
        <f t="shared" si="16"/>
        <v>-3484192.3783333292</v>
      </c>
      <c r="G87" s="252">
        <f t="shared" si="16"/>
        <v>-54111428.42833332</v>
      </c>
      <c r="H87" s="252">
        <f t="shared" si="16"/>
        <v>-10700101.01833331</v>
      </c>
      <c r="I87" s="252">
        <f t="shared" si="16"/>
        <v>-976641.79833332915</v>
      </c>
      <c r="J87" s="252">
        <f t="shared" si="16"/>
        <v>23200293.12166667</v>
      </c>
      <c r="K87" s="252">
        <f t="shared" si="16"/>
        <v>8226428.6116666719</v>
      </c>
      <c r="L87" s="252">
        <f t="shared" si="16"/>
        <v>5370463.1016666777</v>
      </c>
      <c r="M87" s="252">
        <f t="shared" si="16"/>
        <v>-5206951.7183333579</v>
      </c>
      <c r="N87" s="252">
        <f t="shared" si="16"/>
        <v>-24180286.348333336</v>
      </c>
      <c r="O87" s="252">
        <f t="shared" si="16"/>
        <v>-55777641.438333318</v>
      </c>
      <c r="P87" s="219">
        <f t="shared" ref="P87:P97" si="17">SUM(D87:O87)</f>
        <v>-150960543.92000002</v>
      </c>
      <c r="Q87" s="220">
        <f t="shared" si="14"/>
        <v>-4.7939200990790738</v>
      </c>
    </row>
    <row r="88" spans="1:18" ht="14.25" thickTop="1" thickBot="1">
      <c r="A88" s="2"/>
      <c r="B88" s="2"/>
      <c r="C88" s="217" t="s">
        <v>0</v>
      </c>
      <c r="D88" s="252">
        <f>SUM(D89:D91)</f>
        <v>13393778.481666669</v>
      </c>
      <c r="E88" s="252">
        <f t="shared" ref="E88:O88" si="18">SUM(E89:E91)</f>
        <v>7931376.3816666696</v>
      </c>
      <c r="F88" s="252">
        <f t="shared" si="18"/>
        <v>5479049.1716666697</v>
      </c>
      <c r="G88" s="252">
        <f t="shared" si="18"/>
        <v>9481547.571666671</v>
      </c>
      <c r="H88" s="252">
        <f t="shared" si="18"/>
        <v>9087396.4316666704</v>
      </c>
      <c r="I88" s="252">
        <f>SUM(I89:I91)</f>
        <v>16855930.841666669</v>
      </c>
      <c r="J88" s="252">
        <f t="shared" si="18"/>
        <v>11096833.961666636</v>
      </c>
      <c r="K88" s="252">
        <f t="shared" si="18"/>
        <v>16052010.385000011</v>
      </c>
      <c r="L88" s="252">
        <f t="shared" si="18"/>
        <v>10336425.921666671</v>
      </c>
      <c r="M88" s="252">
        <f t="shared" si="18"/>
        <v>2490252.3516666703</v>
      </c>
      <c r="N88" s="252">
        <f t="shared" si="18"/>
        <v>3405411.31</v>
      </c>
      <c r="O88" s="252">
        <f t="shared" si="18"/>
        <v>12528992.050000001</v>
      </c>
      <c r="P88" s="219">
        <f t="shared" si="17"/>
        <v>118139004.86</v>
      </c>
      <c r="Q88" s="220">
        <f t="shared" si="14"/>
        <v>3.7516355941568755</v>
      </c>
    </row>
    <row r="89" spans="1:18" ht="13.5" thickTop="1">
      <c r="A89" s="2"/>
      <c r="B89" s="2"/>
      <c r="C89" s="229" t="s">
        <v>135</v>
      </c>
      <c r="D89" s="296">
        <v>2925169.8816666706</v>
      </c>
      <c r="E89" s="297">
        <v>3793803.74166667</v>
      </c>
      <c r="F89" s="297">
        <v>2696344.3316666698</v>
      </c>
      <c r="G89" s="297">
        <v>7364641.0916666705</v>
      </c>
      <c r="H89" s="297">
        <v>7256897.4416666701</v>
      </c>
      <c r="I89" s="297">
        <v>5683355.8416666705</v>
      </c>
      <c r="J89" s="297">
        <v>5470687.9416666701</v>
      </c>
      <c r="K89" s="297">
        <v>15481062.16500001</v>
      </c>
      <c r="L89" s="297">
        <v>6689890.78166667</v>
      </c>
      <c r="M89" s="297">
        <v>1199915.75166667</v>
      </c>
      <c r="N89" s="297">
        <v>870919.5</v>
      </c>
      <c r="O89" s="298">
        <v>1203417.48</v>
      </c>
      <c r="P89" s="264">
        <f t="shared" si="17"/>
        <v>60636105.950000033</v>
      </c>
      <c r="Q89" s="265">
        <f t="shared" si="14"/>
        <v>1.9255670355668477</v>
      </c>
    </row>
    <row r="90" spans="1:18">
      <c r="A90" s="2"/>
      <c r="B90" s="2"/>
      <c r="C90" s="229" t="s">
        <v>137</v>
      </c>
      <c r="D90" s="230">
        <v>10468608.6</v>
      </c>
      <c r="E90" s="263">
        <v>4137572.64</v>
      </c>
      <c r="F90" s="263">
        <v>2782704.84</v>
      </c>
      <c r="G90" s="263">
        <v>2116906.48</v>
      </c>
      <c r="H90" s="263">
        <v>1830498.99</v>
      </c>
      <c r="I90" s="263">
        <v>11172575</v>
      </c>
      <c r="J90" s="263">
        <v>2998058.5</v>
      </c>
      <c r="K90" s="263">
        <v>570948.22</v>
      </c>
      <c r="L90" s="263">
        <v>3646535.14</v>
      </c>
      <c r="M90" s="263">
        <v>1290336.6000000001</v>
      </c>
      <c r="N90" s="263">
        <v>2534491.81</v>
      </c>
      <c r="O90" s="299">
        <v>11325574.57</v>
      </c>
      <c r="P90" s="264">
        <f t="shared" si="17"/>
        <v>54874811.390000001</v>
      </c>
      <c r="Q90" s="265">
        <f t="shared" si="14"/>
        <v>1.7426107141949827</v>
      </c>
    </row>
    <row r="91" spans="1:18" ht="13.5" thickBot="1">
      <c r="A91" s="2"/>
      <c r="B91" s="2"/>
      <c r="C91" s="229" t="s">
        <v>116</v>
      </c>
      <c r="D91" s="272">
        <v>0</v>
      </c>
      <c r="E91" s="273">
        <v>0</v>
      </c>
      <c r="F91" s="273">
        <v>0</v>
      </c>
      <c r="G91" s="273">
        <v>0</v>
      </c>
      <c r="H91" s="273">
        <v>0</v>
      </c>
      <c r="I91" s="273">
        <v>0</v>
      </c>
      <c r="J91" s="273">
        <v>2628087.5199999656</v>
      </c>
      <c r="K91" s="273">
        <v>0</v>
      </c>
      <c r="L91" s="273">
        <v>0</v>
      </c>
      <c r="M91" s="273">
        <v>0</v>
      </c>
      <c r="N91" s="273">
        <v>0</v>
      </c>
      <c r="O91" s="300">
        <v>0</v>
      </c>
      <c r="P91" s="264">
        <f t="shared" si="17"/>
        <v>2628087.5199999656</v>
      </c>
      <c r="Q91" s="265">
        <f t="shared" si="14"/>
        <v>8.3457844395044958E-2</v>
      </c>
    </row>
    <row r="92" spans="1:18" ht="14.25" thickTop="1" thickBot="1">
      <c r="A92" s="2"/>
      <c r="B92" s="2"/>
      <c r="C92" s="217" t="s">
        <v>141</v>
      </c>
      <c r="D92" s="252">
        <f t="shared" ref="D92:O92" si="19">D86-D88</f>
        <v>-19341532.440000005</v>
      </c>
      <c r="E92" s="252">
        <f t="shared" si="19"/>
        <v>-40751398.650000013</v>
      </c>
      <c r="F92" s="252">
        <f t="shared" si="19"/>
        <v>-11614819.77</v>
      </c>
      <c r="G92" s="252">
        <f t="shared" si="19"/>
        <v>-77727817.25999999</v>
      </c>
      <c r="H92" s="252">
        <f t="shared" si="19"/>
        <v>-21811540.939999983</v>
      </c>
      <c r="I92" s="252">
        <f t="shared" si="19"/>
        <v>-22701960.439999998</v>
      </c>
      <c r="J92" s="252">
        <f t="shared" si="19"/>
        <v>10762729.550000034</v>
      </c>
      <c r="K92" s="252">
        <f t="shared" si="19"/>
        <v>-10426291.453333339</v>
      </c>
      <c r="L92" s="252">
        <f t="shared" si="19"/>
        <v>-23143689.52999999</v>
      </c>
      <c r="M92" s="252">
        <f t="shared" si="19"/>
        <v>-8489033.9200000279</v>
      </c>
      <c r="N92" s="252">
        <f t="shared" si="19"/>
        <v>-28385860.558333334</v>
      </c>
      <c r="O92" s="252">
        <f t="shared" si="19"/>
        <v>-72328187.908333316</v>
      </c>
      <c r="P92" s="219">
        <f>SUM(D92:O92)</f>
        <v>-325959403.31999999</v>
      </c>
      <c r="Q92" s="220">
        <f t="shared" si="14"/>
        <v>-10.351203662114957</v>
      </c>
    </row>
    <row r="93" spans="1:18" ht="14.25" thickTop="1" thickBot="1">
      <c r="A93" s="2"/>
      <c r="B93" s="2"/>
      <c r="C93" s="217" t="s">
        <v>121</v>
      </c>
      <c r="D93" s="252">
        <f t="shared" ref="D93" si="20">SUM(D94:D97)</f>
        <v>19341532.440000005</v>
      </c>
      <c r="E93" s="252">
        <f t="shared" ref="E93:O93" si="21">SUM(E94:E97)</f>
        <v>40751398.650000013</v>
      </c>
      <c r="F93" s="252">
        <f t="shared" si="21"/>
        <v>11614819.77</v>
      </c>
      <c r="G93" s="252">
        <f t="shared" si="21"/>
        <v>77727817.25999999</v>
      </c>
      <c r="H93" s="252">
        <f t="shared" si="21"/>
        <v>21811540.939999983</v>
      </c>
      <c r="I93" s="252">
        <f t="shared" si="21"/>
        <v>22701960.439999998</v>
      </c>
      <c r="J93" s="252">
        <f t="shared" si="21"/>
        <v>-10762729.550000027</v>
      </c>
      <c r="K93" s="252">
        <f t="shared" si="21"/>
        <v>10426291.453333341</v>
      </c>
      <c r="L93" s="252">
        <f t="shared" si="21"/>
        <v>23143689.52999999</v>
      </c>
      <c r="M93" s="252">
        <f t="shared" si="21"/>
        <v>8489033.9200000279</v>
      </c>
      <c r="N93" s="252">
        <f t="shared" si="21"/>
        <v>28385860.558333337</v>
      </c>
      <c r="O93" s="252">
        <f t="shared" si="21"/>
        <v>72328187.908333316</v>
      </c>
      <c r="P93" s="219">
        <f t="shared" si="17"/>
        <v>325959403.31999999</v>
      </c>
      <c r="Q93" s="220">
        <f t="shared" si="14"/>
        <v>10.351203662114957</v>
      </c>
    </row>
    <row r="94" spans="1:18" ht="13.5" thickTop="1">
      <c r="A94" s="2"/>
      <c r="B94" s="2"/>
      <c r="C94" s="229" t="s">
        <v>144</v>
      </c>
      <c r="D94" s="230">
        <v>10091646</v>
      </c>
      <c r="E94" s="263">
        <v>1500000</v>
      </c>
      <c r="F94" s="263">
        <v>5000000</v>
      </c>
      <c r="G94" s="301">
        <v>13979930</v>
      </c>
      <c r="H94" s="231">
        <v>0</v>
      </c>
      <c r="I94" s="231">
        <v>3689700</v>
      </c>
      <c r="J94" s="231">
        <v>8374900</v>
      </c>
      <c r="K94" s="231">
        <v>0</v>
      </c>
      <c r="L94" s="231">
        <v>0</v>
      </c>
      <c r="M94" s="231">
        <v>1308000</v>
      </c>
      <c r="N94" s="231">
        <v>0</v>
      </c>
      <c r="O94" s="299">
        <v>19510199.850000001</v>
      </c>
      <c r="P94" s="264">
        <f t="shared" si="17"/>
        <v>63454375.850000001</v>
      </c>
      <c r="Q94" s="265">
        <f t="shared" si="14"/>
        <v>2.015064333121626</v>
      </c>
      <c r="R94" s="6"/>
    </row>
    <row r="95" spans="1:18">
      <c r="A95" s="2"/>
      <c r="B95" s="2"/>
      <c r="C95" s="229" t="s">
        <v>122</v>
      </c>
      <c r="D95" s="230">
        <v>17753.55</v>
      </c>
      <c r="E95" s="263">
        <v>59500471.32</v>
      </c>
      <c r="F95" s="263">
        <v>308302.08000000002</v>
      </c>
      <c r="G95" s="231">
        <v>94423805.219999999</v>
      </c>
      <c r="H95" s="231">
        <v>185718.5</v>
      </c>
      <c r="I95" s="231">
        <v>257737.36</v>
      </c>
      <c r="J95" s="231">
        <v>97281898.599999994</v>
      </c>
      <c r="K95" s="231">
        <v>547054.86</v>
      </c>
      <c r="L95" s="231">
        <v>703927.59</v>
      </c>
      <c r="M95" s="231">
        <v>1587510.4</v>
      </c>
      <c r="N95" s="231">
        <v>1242648.76</v>
      </c>
      <c r="O95" s="299">
        <v>2072547.73</v>
      </c>
      <c r="P95" s="264">
        <f>SUM(D95:O95)</f>
        <v>258129375.97</v>
      </c>
      <c r="Q95" s="265">
        <f t="shared" si="14"/>
        <v>8.1971856452842182</v>
      </c>
    </row>
    <row r="96" spans="1:18">
      <c r="A96" s="2"/>
      <c r="B96" s="2"/>
      <c r="C96" s="229" t="s">
        <v>330</v>
      </c>
      <c r="D96" s="230">
        <v>103661.6</v>
      </c>
      <c r="E96" s="263">
        <v>231003.75</v>
      </c>
      <c r="F96" s="263">
        <v>52105.86</v>
      </c>
      <c r="G96" s="231">
        <v>555000.79</v>
      </c>
      <c r="H96" s="231">
        <v>299888.71999999997</v>
      </c>
      <c r="I96" s="231">
        <v>122462.67</v>
      </c>
      <c r="J96" s="231">
        <v>27365.52</v>
      </c>
      <c r="K96" s="231">
        <v>3199.35</v>
      </c>
      <c r="L96" s="231">
        <v>47613.4</v>
      </c>
      <c r="M96" s="231">
        <v>1116739.67</v>
      </c>
      <c r="N96" s="231">
        <v>216183.91</v>
      </c>
      <c r="O96" s="299">
        <v>699285.45</v>
      </c>
      <c r="P96" s="264">
        <f t="shared" si="17"/>
        <v>3474510.6900000004</v>
      </c>
      <c r="Q96" s="265">
        <f t="shared" si="14"/>
        <v>0.11033695427119722</v>
      </c>
    </row>
    <row r="97" spans="1:17" ht="13.5" thickBot="1">
      <c r="A97" s="2"/>
      <c r="B97" s="2"/>
      <c r="C97" s="302" t="s">
        <v>125</v>
      </c>
      <c r="D97" s="303">
        <f t="shared" ref="D97:O97" si="22">-D92-SUM(D94:D96)</f>
        <v>9128471.2900000047</v>
      </c>
      <c r="E97" s="304">
        <f t="shared" si="22"/>
        <v>-20480076.419999987</v>
      </c>
      <c r="F97" s="304">
        <f t="shared" si="22"/>
        <v>6254411.8299999991</v>
      </c>
      <c r="G97" s="305">
        <f t="shared" si="22"/>
        <v>-31230918.750000015</v>
      </c>
      <c r="H97" s="305">
        <f t="shared" si="22"/>
        <v>21325933.719999984</v>
      </c>
      <c r="I97" s="305">
        <f t="shared" si="22"/>
        <v>18632060.409999996</v>
      </c>
      <c r="J97" s="305">
        <f t="shared" si="22"/>
        <v>-116446893.67000002</v>
      </c>
      <c r="K97" s="305">
        <f t="shared" si="22"/>
        <v>9876037.2433333397</v>
      </c>
      <c r="L97" s="305">
        <f t="shared" si="22"/>
        <v>22392148.539999992</v>
      </c>
      <c r="M97" s="305">
        <f t="shared" si="22"/>
        <v>4476783.8500000276</v>
      </c>
      <c r="N97" s="305">
        <f t="shared" si="22"/>
        <v>26927027.888333336</v>
      </c>
      <c r="O97" s="306">
        <f t="shared" si="22"/>
        <v>50046154.878333315</v>
      </c>
      <c r="P97" s="307">
        <f t="shared" si="17"/>
        <v>901140.80999997258</v>
      </c>
      <c r="Q97" s="308">
        <f t="shared" si="14"/>
        <v>2.8616729437915926E-2</v>
      </c>
    </row>
    <row r="98" spans="1:17" ht="13.5" thickTop="1">
      <c r="A98" s="2"/>
      <c r="B98" s="2"/>
      <c r="C98" s="309" t="s">
        <v>267</v>
      </c>
      <c r="D98" s="310"/>
      <c r="E98" s="311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</row>
    <row r="99" spans="1:1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</sheetData>
  <mergeCells count="5">
    <mergeCell ref="D8:P8"/>
    <mergeCell ref="D9:P9"/>
    <mergeCell ref="C17:C18"/>
    <mergeCell ref="D17:Q17"/>
    <mergeCell ref="D14:Q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5"/>
  <dimension ref="A1:AF153"/>
  <sheetViews>
    <sheetView topLeftCell="A55" workbookViewId="0">
      <selection activeCell="B1" sqref="B1:B1048576"/>
    </sheetView>
  </sheetViews>
  <sheetFormatPr defaultRowHeight="12.75"/>
  <cols>
    <col min="3" max="3" width="54.7109375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574" t="str">
        <f>IF(MasterSheet!$A$1=1, MasterSheet!C5,MasterSheet!B5)</f>
        <v>CRNA GORA</v>
      </c>
      <c r="H8" s="574"/>
      <c r="I8" s="57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574" t="str">
        <f>IF(MasterSheet!$A$1=1, MasterSheet!C6,MasterSheet!B6)</f>
        <v>MINISTARSTVO FINANSIJA</v>
      </c>
      <c r="G9" s="574"/>
      <c r="H9" s="574"/>
      <c r="I9" s="574"/>
      <c r="J9" s="57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578">
        <f>+'2012 - execution '!D14</f>
        <v>3149000000</v>
      </c>
      <c r="E14" s="578"/>
      <c r="F14" s="578"/>
      <c r="G14" s="578"/>
      <c r="H14" s="578"/>
      <c r="I14" s="578"/>
      <c r="J14" s="578"/>
      <c r="K14" s="578"/>
      <c r="L14" s="578"/>
      <c r="M14" s="578"/>
      <c r="N14" s="578"/>
      <c r="O14" s="578"/>
      <c r="P14" s="579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595" t="s">
        <v>402</v>
      </c>
      <c r="D17" s="592">
        <v>2012</v>
      </c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4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596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>
        <v>2012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49090469.247314483</v>
      </c>
      <c r="E19" s="35">
        <f t="shared" ref="E19:O19" si="0">+E20+E28+E33+E38+E45+E50</f>
        <v>67723340.679999977</v>
      </c>
      <c r="F19" s="35">
        <f t="shared" si="0"/>
        <v>76230494.38000001</v>
      </c>
      <c r="G19" s="35">
        <f t="shared" si="0"/>
        <v>95056928.31688787</v>
      </c>
      <c r="H19" s="35">
        <f t="shared" si="0"/>
        <v>95751882.955327958</v>
      </c>
      <c r="I19" s="35">
        <f t="shared" si="0"/>
        <v>104234267.11657566</v>
      </c>
      <c r="J19" s="35">
        <f t="shared" si="0"/>
        <v>118066917.09975642</v>
      </c>
      <c r="K19" s="36">
        <f t="shared" si="0"/>
        <v>117316712.64636129</v>
      </c>
      <c r="L19" s="36">
        <f t="shared" si="0"/>
        <v>111323542.91336422</v>
      </c>
      <c r="M19" s="36">
        <f t="shared" si="0"/>
        <v>97362840.285213619</v>
      </c>
      <c r="N19" s="36">
        <f t="shared" si="0"/>
        <v>91299112.713989705</v>
      </c>
      <c r="O19" s="49">
        <f t="shared" si="0"/>
        <v>126600464.29134272</v>
      </c>
      <c r="P19" s="112">
        <f>+SUM(D19:O19)</f>
        <v>1150056972.6461337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35884139.43</v>
      </c>
      <c r="E20" s="26">
        <f t="shared" ref="E20:O20" si="1">+SUM(E21:E27)</f>
        <v>38790866.019999996</v>
      </c>
      <c r="F20" s="26">
        <f t="shared" si="1"/>
        <v>44749384.840000004</v>
      </c>
      <c r="G20" s="26">
        <f t="shared" si="1"/>
        <v>59809575.521334693</v>
      </c>
      <c r="H20" s="26">
        <f t="shared" si="1"/>
        <v>59954132.231166467</v>
      </c>
      <c r="I20" s="26">
        <f t="shared" si="1"/>
        <v>66594825.407146081</v>
      </c>
      <c r="J20" s="26">
        <f t="shared" si="1"/>
        <v>74656350.874309167</v>
      </c>
      <c r="K20" s="27">
        <f t="shared" si="1"/>
        <v>80900011.372522965</v>
      </c>
      <c r="L20" s="27">
        <f t="shared" si="1"/>
        <v>76427271.044919074</v>
      </c>
      <c r="M20" s="27">
        <f t="shared" si="1"/>
        <v>60689628.398465954</v>
      </c>
      <c r="N20" s="27">
        <f t="shared" si="1"/>
        <v>57540714.64723257</v>
      </c>
      <c r="O20" s="50">
        <f t="shared" si="1"/>
        <v>69616717.594397381</v>
      </c>
      <c r="P20" s="28">
        <f t="shared" ref="P20:P81" si="2">+SUM(D20:O20)</f>
        <v>725613617.3814944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2584361.34</v>
      </c>
      <c r="E21" s="30">
        <v>5333687.79</v>
      </c>
      <c r="F21" s="30">
        <v>6340026.6100000003</v>
      </c>
      <c r="G21" s="30">
        <v>6899643.1454624813</v>
      </c>
      <c r="H21" s="30">
        <v>6600971.8524795119</v>
      </c>
      <c r="I21" s="30">
        <v>7114020.48814948</v>
      </c>
      <c r="J21" s="30">
        <v>8215100.6202326622</v>
      </c>
      <c r="K21" s="31">
        <v>6740386.7046623118</v>
      </c>
      <c r="L21" s="31">
        <v>6726627.2033528583</v>
      </c>
      <c r="M21" s="31">
        <v>7521228.2862954009</v>
      </c>
      <c r="N21" s="31">
        <v>6865054.8126747478</v>
      </c>
      <c r="O21" s="51">
        <v>10553909.375907566</v>
      </c>
      <c r="P21" s="32">
        <f t="shared" si="2"/>
        <v>81495018.229217038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405891.15</v>
      </c>
      <c r="E22" s="30">
        <v>434576.57</v>
      </c>
      <c r="F22" s="30">
        <v>4545996.0599999996</v>
      </c>
      <c r="G22" s="30">
        <v>12775632.6306853</v>
      </c>
      <c r="H22" s="30">
        <v>4034745.26468893</v>
      </c>
      <c r="I22" s="30">
        <v>4038531.2986496501</v>
      </c>
      <c r="J22" s="30">
        <v>4096624.1645811498</v>
      </c>
      <c r="K22" s="31">
        <v>4106517.31189611</v>
      </c>
      <c r="L22" s="31">
        <v>3531850.6365874051</v>
      </c>
      <c r="M22" s="31">
        <v>2866253.0291905645</v>
      </c>
      <c r="N22" s="31">
        <v>2210022.150889725</v>
      </c>
      <c r="O22" s="51">
        <v>3827334.67535508</v>
      </c>
      <c r="P22" s="32">
        <f t="shared" si="2"/>
        <v>46873974.942523912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77264.789999999994</v>
      </c>
      <c r="E23" s="30">
        <v>98564.160000000003</v>
      </c>
      <c r="F23" s="30">
        <v>177064.83</v>
      </c>
      <c r="G23" s="30">
        <v>90009.811791237225</v>
      </c>
      <c r="H23" s="30">
        <v>116008.39646101542</v>
      </c>
      <c r="I23" s="30">
        <v>121085.57673450338</v>
      </c>
      <c r="J23" s="30">
        <v>103764.9934183138</v>
      </c>
      <c r="K23" s="31">
        <v>135318.93016237771</v>
      </c>
      <c r="L23" s="31">
        <v>125345.73569109281</v>
      </c>
      <c r="M23" s="31">
        <v>152102.71025805321</v>
      </c>
      <c r="N23" s="31">
        <v>149405.7751982155</v>
      </c>
      <c r="O23" s="51">
        <v>128911.89908753893</v>
      </c>
      <c r="P23" s="32">
        <f t="shared" si="2"/>
        <v>1474847.6088023479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21196163.460000001</v>
      </c>
      <c r="E24" s="30">
        <v>21324767.77</v>
      </c>
      <c r="F24" s="30">
        <v>23762618.34</v>
      </c>
      <c r="G24" s="30">
        <v>24674166.005451169</v>
      </c>
      <c r="H24" s="30">
        <v>30277340.189314827</v>
      </c>
      <c r="I24" s="30">
        <v>36331542.321197756</v>
      </c>
      <c r="J24" s="30">
        <v>39251330.15294154</v>
      </c>
      <c r="K24" s="31">
        <v>46581355.607926205</v>
      </c>
      <c r="L24" s="31">
        <v>41560282.748583443</v>
      </c>
      <c r="M24" s="31">
        <v>30962039.26754114</v>
      </c>
      <c r="N24" s="31">
        <v>29798326.476192769</v>
      </c>
      <c r="O24" s="51">
        <v>35500610.184197843</v>
      </c>
      <c r="P24" s="32">
        <f t="shared" si="2"/>
        <v>381220542.52334666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9267303.6799999997</v>
      </c>
      <c r="E25" s="30">
        <v>9083966.1199999992</v>
      </c>
      <c r="F25" s="30">
        <v>6379102.2800000003</v>
      </c>
      <c r="G25" s="30">
        <v>11244037.765928697</v>
      </c>
      <c r="H25" s="30">
        <v>14079291.317961704</v>
      </c>
      <c r="I25" s="30">
        <v>13784865.076531049</v>
      </c>
      <c r="J25" s="30">
        <v>17843487.435989011</v>
      </c>
      <c r="K25" s="31">
        <v>17698521.140411217</v>
      </c>
      <c r="L25" s="31">
        <v>19479265.326254725</v>
      </c>
      <c r="M25" s="31">
        <v>14959094.680419376</v>
      </c>
      <c r="N25" s="31">
        <v>14431052.556645213</v>
      </c>
      <c r="O25" s="51">
        <v>14810367.692904683</v>
      </c>
      <c r="P25" s="32">
        <f t="shared" si="2"/>
        <v>163060355.07304567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2099688</v>
      </c>
      <c r="E26" s="30">
        <v>2267285.1800000002</v>
      </c>
      <c r="F26" s="30">
        <v>3241532.58</v>
      </c>
      <c r="G26" s="30">
        <v>3763688.0048280312</v>
      </c>
      <c r="H26" s="30">
        <v>4479283.9786286028</v>
      </c>
      <c r="I26" s="30">
        <v>4779150.3767327284</v>
      </c>
      <c r="J26" s="30">
        <v>4793105.3140469501</v>
      </c>
      <c r="K26" s="31">
        <v>5232685.6134309592</v>
      </c>
      <c r="L26" s="31">
        <v>4621116.9066925542</v>
      </c>
      <c r="M26" s="31">
        <v>3871649.5325242481</v>
      </c>
      <c r="N26" s="31">
        <v>3733363.4369399128</v>
      </c>
      <c r="O26" s="51">
        <v>4457745.9807347255</v>
      </c>
      <c r="P26" s="32">
        <f t="shared" si="2"/>
        <v>47340294.904558711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253467.01</v>
      </c>
      <c r="E27" s="30">
        <v>248018.43</v>
      </c>
      <c r="F27" s="30">
        <v>303044.14</v>
      </c>
      <c r="G27" s="30">
        <v>362398.15718777996</v>
      </c>
      <c r="H27" s="30">
        <v>366491.23163187504</v>
      </c>
      <c r="I27" s="30">
        <v>425630.26915091689</v>
      </c>
      <c r="J27" s="30">
        <v>352938.19309954374</v>
      </c>
      <c r="K27" s="31">
        <v>405226.0640337792</v>
      </c>
      <c r="L27" s="31">
        <v>382782.48775700358</v>
      </c>
      <c r="M27" s="31">
        <v>357260.89223716373</v>
      </c>
      <c r="N27" s="31">
        <v>353489.43869199126</v>
      </c>
      <c r="O27" s="51">
        <v>337837.78620994627</v>
      </c>
      <c r="P27" s="32">
        <f t="shared" si="2"/>
        <v>4148584.0999999996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9731156.040000001</v>
      </c>
      <c r="E28" s="26">
        <f t="shared" ref="E28:O28" si="3">+SUM(E29:E32)</f>
        <v>25137844.68</v>
      </c>
      <c r="F28" s="26">
        <f t="shared" si="3"/>
        <v>26888282.780000001</v>
      </c>
      <c r="G28" s="26">
        <f t="shared" si="3"/>
        <v>30174901.864837062</v>
      </c>
      <c r="H28" s="26">
        <f t="shared" si="3"/>
        <v>28251560.707096413</v>
      </c>
      <c r="I28" s="26">
        <f t="shared" si="3"/>
        <v>31316530.87041501</v>
      </c>
      <c r="J28" s="26">
        <f t="shared" si="3"/>
        <v>36931561.181749575</v>
      </c>
      <c r="K28" s="27">
        <f t="shared" si="3"/>
        <v>29709846.394185983</v>
      </c>
      <c r="L28" s="27">
        <f t="shared" si="3"/>
        <v>29419650.784605835</v>
      </c>
      <c r="M28" s="27">
        <f t="shared" si="3"/>
        <v>27738827.858062901</v>
      </c>
      <c r="N28" s="27">
        <f t="shared" si="3"/>
        <v>27626752.80655561</v>
      </c>
      <c r="O28" s="50">
        <f t="shared" si="3"/>
        <v>49065769.605793335</v>
      </c>
      <c r="P28" s="28">
        <f t="shared" si="2"/>
        <v>351992685.57330179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5695801.6600000001</v>
      </c>
      <c r="E29" s="30">
        <v>15441279.77</v>
      </c>
      <c r="F29" s="30">
        <v>15437035.58</v>
      </c>
      <c r="G29" s="30">
        <v>18484245.241564374</v>
      </c>
      <c r="H29" s="30">
        <v>17770132.816178389</v>
      </c>
      <c r="I29" s="30">
        <v>18627623.482507117</v>
      </c>
      <c r="J29" s="30">
        <v>22432831.167018</v>
      </c>
      <c r="K29" s="31">
        <v>18507817.88908077</v>
      </c>
      <c r="L29" s="31">
        <v>17927346.679670043</v>
      </c>
      <c r="M29" s="31">
        <v>15791755.400115408</v>
      </c>
      <c r="N29" s="31">
        <v>15509040.496979561</v>
      </c>
      <c r="O29" s="51">
        <v>30183681.739635807</v>
      </c>
      <c r="P29" s="32">
        <f t="shared" si="2"/>
        <v>211808591.92274943</v>
      </c>
      <c r="Q29" s="5"/>
      <c r="R29" s="13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3347397.46</v>
      </c>
      <c r="E30" s="30">
        <v>8394380.3000000007</v>
      </c>
      <c r="F30" s="30">
        <v>9781009.6899999995</v>
      </c>
      <c r="G30" s="30">
        <v>10210111.779957371</v>
      </c>
      <c r="H30" s="30">
        <v>9223399.1775990929</v>
      </c>
      <c r="I30" s="30">
        <v>10633262.673842419</v>
      </c>
      <c r="J30" s="30">
        <v>12379390.241026372</v>
      </c>
      <c r="K30" s="31">
        <v>9832882.7879704498</v>
      </c>
      <c r="L30" s="31">
        <v>10128619.60888489</v>
      </c>
      <c r="M30" s="31">
        <v>9667721.9172335733</v>
      </c>
      <c r="N30" s="31">
        <v>10404774.096872106</v>
      </c>
      <c r="O30" s="51">
        <v>16203671.827901902</v>
      </c>
      <c r="P30" s="32">
        <f t="shared" si="2"/>
        <v>120206621.56128818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261820.11</v>
      </c>
      <c r="E31" s="30">
        <v>670649.61</v>
      </c>
      <c r="F31" s="30">
        <v>810598.01</v>
      </c>
      <c r="G31" s="30">
        <v>998492.13752230862</v>
      </c>
      <c r="H31" s="30">
        <v>877381.50342924136</v>
      </c>
      <c r="I31" s="30">
        <v>1513064.0375214359</v>
      </c>
      <c r="J31" s="30">
        <v>1145734.1238778001</v>
      </c>
      <c r="K31" s="31">
        <v>928882.6409355331</v>
      </c>
      <c r="L31" s="31">
        <v>925847.20714586624</v>
      </c>
      <c r="M31" s="31">
        <v>1124020.9347312516</v>
      </c>
      <c r="N31" s="31">
        <v>518497.140110565</v>
      </c>
      <c r="O31" s="51">
        <v>1290905.1883541213</v>
      </c>
      <c r="P31" s="32">
        <f t="shared" si="2"/>
        <v>11065892.643628124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426136.81</v>
      </c>
      <c r="E32" s="30">
        <v>631535</v>
      </c>
      <c r="F32" s="30">
        <v>859639.5</v>
      </c>
      <c r="G32" s="30">
        <v>482052.70579300536</v>
      </c>
      <c r="H32" s="30">
        <v>380647.20988968899</v>
      </c>
      <c r="I32" s="30">
        <v>542580.67654403497</v>
      </c>
      <c r="J32" s="30">
        <v>973605.6498274093</v>
      </c>
      <c r="K32" s="31">
        <v>440263.07619923091</v>
      </c>
      <c r="L32" s="31">
        <v>437837.28890503506</v>
      </c>
      <c r="M32" s="31">
        <v>1155329.6059826692</v>
      </c>
      <c r="N32" s="31">
        <v>1194441.0725933802</v>
      </c>
      <c r="O32" s="51">
        <v>1387510.8499015067</v>
      </c>
      <c r="P32" s="32">
        <f t="shared" si="2"/>
        <v>8911579.4456359595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1157748.0273144848</v>
      </c>
      <c r="E33" s="26">
        <f t="shared" ref="E33:O33" si="4">+SUM(E34:E37)</f>
        <v>802553.01</v>
      </c>
      <c r="F33" s="26">
        <f t="shared" si="4"/>
        <v>1028373.58</v>
      </c>
      <c r="G33" s="26">
        <f t="shared" si="4"/>
        <v>1689109.847851604</v>
      </c>
      <c r="H33" s="26">
        <f t="shared" si="4"/>
        <v>2799824.8997433251</v>
      </c>
      <c r="I33" s="26">
        <f t="shared" si="4"/>
        <v>2941388.8289866522</v>
      </c>
      <c r="J33" s="26">
        <f t="shared" si="4"/>
        <v>2767670.6173512251</v>
      </c>
      <c r="K33" s="27">
        <f t="shared" si="4"/>
        <v>3019996.1538047213</v>
      </c>
      <c r="L33" s="27">
        <f t="shared" si="4"/>
        <v>2805146.207217061</v>
      </c>
      <c r="M33" s="27">
        <f t="shared" si="4"/>
        <v>2672236.0550296372</v>
      </c>
      <c r="N33" s="27">
        <f t="shared" si="4"/>
        <v>2631987.7001344641</v>
      </c>
      <c r="O33" s="50">
        <f t="shared" si="4"/>
        <v>2773099.8066372396</v>
      </c>
      <c r="P33" s="28">
        <f t="shared" si="2"/>
        <v>27089134.734070413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669702.69756564009</v>
      </c>
      <c r="E34" s="30">
        <v>514488.16</v>
      </c>
      <c r="F34" s="30">
        <v>683989.8</v>
      </c>
      <c r="G34" s="30">
        <v>1119481.2460152011</v>
      </c>
      <c r="H34" s="30">
        <v>1182651.5193698509</v>
      </c>
      <c r="I34" s="30">
        <v>1242789.2554271924</v>
      </c>
      <c r="J34" s="30">
        <v>1049947.6896450392</v>
      </c>
      <c r="K34" s="31">
        <v>1199052.07047481</v>
      </c>
      <c r="L34" s="31">
        <v>1029504.0962408101</v>
      </c>
      <c r="M34" s="31">
        <v>951733.82764699298</v>
      </c>
      <c r="N34" s="31">
        <v>955537.31299001421</v>
      </c>
      <c r="O34" s="51">
        <v>977576.33247074706</v>
      </c>
      <c r="P34" s="32">
        <f t="shared" si="2"/>
        <v>11576454.007846298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448577.75176327256</v>
      </c>
      <c r="E35" s="30">
        <v>252773.36</v>
      </c>
      <c r="F35" s="30">
        <v>319795.43</v>
      </c>
      <c r="G35" s="30">
        <v>431391.02357466321</v>
      </c>
      <c r="H35" s="30">
        <v>408596.23006008938</v>
      </c>
      <c r="I35" s="30">
        <v>432932.29827326466</v>
      </c>
      <c r="J35" s="30">
        <v>360058.83565197239</v>
      </c>
      <c r="K35" s="31">
        <v>298534.551709291</v>
      </c>
      <c r="L35" s="31">
        <v>366480.4193458588</v>
      </c>
      <c r="M35" s="31">
        <v>397041.12981746282</v>
      </c>
      <c r="N35" s="31">
        <v>394899.31904399244</v>
      </c>
      <c r="O35" s="51">
        <v>463925.92911660351</v>
      </c>
      <c r="P35" s="32">
        <f t="shared" si="2"/>
        <v>4575006.278356472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4255.2776430082668</v>
      </c>
      <c r="E36" s="30">
        <v>5374.77</v>
      </c>
      <c r="F36" s="30">
        <v>5399.35</v>
      </c>
      <c r="G36" s="30">
        <v>12735.730956291767</v>
      </c>
      <c r="H36" s="30">
        <v>15890.281741399323</v>
      </c>
      <c r="I36" s="30">
        <v>46484.026257342812</v>
      </c>
      <c r="J36" s="30">
        <v>113799.73141277127</v>
      </c>
      <c r="K36" s="31">
        <v>196723.80202430388</v>
      </c>
      <c r="L36" s="31">
        <v>99640.714607125366</v>
      </c>
      <c r="M36" s="31">
        <v>41043.681967885328</v>
      </c>
      <c r="N36" s="31">
        <v>15621.399052826671</v>
      </c>
      <c r="O36" s="51">
        <v>17507.43652182513</v>
      </c>
      <c r="P36" s="32">
        <f t="shared" si="2"/>
        <v>574476.20218477992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35212.300342563933</v>
      </c>
      <c r="E37" s="30">
        <v>29916.720000000001</v>
      </c>
      <c r="F37" s="30">
        <v>19189</v>
      </c>
      <c r="G37" s="30">
        <v>125501.84730544793</v>
      </c>
      <c r="H37" s="30">
        <v>1192686.8685719853</v>
      </c>
      <c r="I37" s="30">
        <v>1219183.2490288524</v>
      </c>
      <c r="J37" s="30">
        <v>1243864.3606414422</v>
      </c>
      <c r="K37" s="31">
        <v>1325685.7295963163</v>
      </c>
      <c r="L37" s="31">
        <v>1309520.9770232667</v>
      </c>
      <c r="M37" s="31">
        <v>1282417.4155972959</v>
      </c>
      <c r="N37" s="31">
        <v>1265929.6690476309</v>
      </c>
      <c r="O37" s="51">
        <v>1314090.1085280636</v>
      </c>
      <c r="P37" s="32">
        <f t="shared" si="2"/>
        <v>10363198.245682865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839122.82</v>
      </c>
      <c r="E38" s="26">
        <f t="shared" ref="E38:O38" si="5">+SUM(E39:E44)</f>
        <v>792117.05</v>
      </c>
      <c r="F38" s="26">
        <f t="shared" si="5"/>
        <v>742715.4</v>
      </c>
      <c r="G38" s="26">
        <f t="shared" si="5"/>
        <v>1301707.0104430066</v>
      </c>
      <c r="H38" s="26">
        <f t="shared" si="5"/>
        <v>2311222.3007926596</v>
      </c>
      <c r="I38" s="26">
        <f t="shared" si="5"/>
        <v>1118015.8995321407</v>
      </c>
      <c r="J38" s="26">
        <f t="shared" si="5"/>
        <v>1377128.244789782</v>
      </c>
      <c r="K38" s="27">
        <f t="shared" si="5"/>
        <v>1220692.8725631372</v>
      </c>
      <c r="L38" s="27">
        <f t="shared" si="5"/>
        <v>1095139.8697426463</v>
      </c>
      <c r="M38" s="27">
        <f t="shared" si="5"/>
        <v>1965591.7890931712</v>
      </c>
      <c r="N38" s="27">
        <f t="shared" si="5"/>
        <v>1043402.4813424207</v>
      </c>
      <c r="O38" s="50">
        <f t="shared" si="5"/>
        <v>1644215.9155997415</v>
      </c>
      <c r="P38" s="28">
        <f t="shared" si="2"/>
        <v>15451071.653898705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55049.09</v>
      </c>
      <c r="E39" s="30">
        <v>17306.62</v>
      </c>
      <c r="F39" s="30">
        <v>16879.599999999999</v>
      </c>
      <c r="G39" s="30">
        <v>309763.84096257715</v>
      </c>
      <c r="H39" s="30">
        <v>279013.71592666203</v>
      </c>
      <c r="I39" s="30">
        <v>398888.85070302931</v>
      </c>
      <c r="J39" s="30">
        <v>284973.01342663105</v>
      </c>
      <c r="K39" s="31">
        <v>342367.87144499319</v>
      </c>
      <c r="L39" s="31">
        <v>327310.54110957368</v>
      </c>
      <c r="M39" s="31">
        <v>319858.27719186351</v>
      </c>
      <c r="N39" s="31">
        <v>279280.09299900749</v>
      </c>
      <c r="O39" s="51">
        <v>368771.64432610344</v>
      </c>
      <c r="P39" s="32">
        <f t="shared" si="2"/>
        <v>2999463.1580904406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45159</v>
      </c>
      <c r="E40" s="30">
        <v>65694.95</v>
      </c>
      <c r="F40" s="30">
        <v>71910.320000000007</v>
      </c>
      <c r="G40" s="30">
        <v>95484.339537086067</v>
      </c>
      <c r="H40" s="30">
        <v>95484.339537086067</v>
      </c>
      <c r="I40" s="30">
        <v>95484.339537086067</v>
      </c>
      <c r="J40" s="30">
        <v>95484.339537086067</v>
      </c>
      <c r="K40" s="31">
        <v>95484.339537086067</v>
      </c>
      <c r="L40" s="31">
        <v>95484.339537086067</v>
      </c>
      <c r="M40" s="31">
        <v>95484.339537086067</v>
      </c>
      <c r="N40" s="31">
        <v>95484.339537086067</v>
      </c>
      <c r="O40" s="51">
        <v>95484.339537086067</v>
      </c>
      <c r="P40" s="32">
        <f t="shared" si="2"/>
        <v>1042123.3258337748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178437.34</v>
      </c>
      <c r="E41" s="30">
        <v>1601.92</v>
      </c>
      <c r="F41" s="30">
        <v>9698.7999999999993</v>
      </c>
      <c r="G41" s="30">
        <v>141504.99939744329</v>
      </c>
      <c r="H41" s="30">
        <v>141504.99939744329</v>
      </c>
      <c r="I41" s="30">
        <v>141504.99939744329</v>
      </c>
      <c r="J41" s="30">
        <v>141504.99939744329</v>
      </c>
      <c r="K41" s="31">
        <v>141504.99939744329</v>
      </c>
      <c r="L41" s="31">
        <v>141504.99939744329</v>
      </c>
      <c r="M41" s="31">
        <v>141504.99939744329</v>
      </c>
      <c r="N41" s="31">
        <v>141504.99939744329</v>
      </c>
      <c r="O41" s="51">
        <v>141504.99939744329</v>
      </c>
      <c r="P41" s="32">
        <f t="shared" si="2"/>
        <v>1463283.0545769897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206077.15</v>
      </c>
      <c r="E42" s="30">
        <v>279371.71000000002</v>
      </c>
      <c r="F42" s="30">
        <v>313567.45</v>
      </c>
      <c r="G42" s="30">
        <v>57524.68711496226</v>
      </c>
      <c r="H42" s="30">
        <v>1298804.1898441419</v>
      </c>
      <c r="I42" s="30">
        <v>68352.918112544663</v>
      </c>
      <c r="J42" s="30">
        <v>55576.139532327797</v>
      </c>
      <c r="K42" s="31">
        <v>193691.27846575619</v>
      </c>
      <c r="L42" s="31">
        <v>182617.46701051402</v>
      </c>
      <c r="M42" s="31">
        <v>166919.30026882727</v>
      </c>
      <c r="N42" s="31">
        <v>108666.61947892298</v>
      </c>
      <c r="O42" s="51">
        <v>266314.79083468847</v>
      </c>
      <c r="P42" s="32">
        <f t="shared" si="2"/>
        <v>3197483.7006626856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245088</v>
      </c>
      <c r="E43" s="30">
        <v>217809.7</v>
      </c>
      <c r="F43" s="30">
        <v>213761.85</v>
      </c>
      <c r="G43" s="30">
        <v>196710.48991102431</v>
      </c>
      <c r="H43" s="30">
        <v>295418.76689994137</v>
      </c>
      <c r="I43" s="30">
        <v>219166.94959957179</v>
      </c>
      <c r="J43" s="30">
        <v>244522.45931992665</v>
      </c>
      <c r="K43" s="31">
        <v>278186.66683583241</v>
      </c>
      <c r="L43" s="31">
        <v>171190.03729971327</v>
      </c>
      <c r="M43" s="31">
        <v>648792.36177756009</v>
      </c>
      <c r="N43" s="31">
        <v>192204.43879678732</v>
      </c>
      <c r="O43" s="51">
        <v>204363.29001997915</v>
      </c>
      <c r="P43" s="32">
        <f t="shared" si="2"/>
        <v>3127215.0104603367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109312.24</v>
      </c>
      <c r="E44" s="30">
        <v>210332.15</v>
      </c>
      <c r="F44" s="30">
        <v>116897.38</v>
      </c>
      <c r="G44" s="30">
        <v>500718.65351991355</v>
      </c>
      <c r="H44" s="30">
        <v>200996.28918738462</v>
      </c>
      <c r="I44" s="30">
        <v>194617.84218246568</v>
      </c>
      <c r="J44" s="30">
        <v>555067.29357636697</v>
      </c>
      <c r="K44" s="31">
        <v>169457.71688202597</v>
      </c>
      <c r="L44" s="31">
        <v>177032.48538831607</v>
      </c>
      <c r="M44" s="31">
        <v>593032.51092039107</v>
      </c>
      <c r="N44" s="31">
        <v>226261.99113317349</v>
      </c>
      <c r="O44" s="51">
        <v>567776.85148444085</v>
      </c>
      <c r="P44" s="32">
        <f t="shared" si="2"/>
        <v>3621503.4042744781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990627.4600000002</v>
      </c>
      <c r="E45" s="26">
        <f t="shared" ref="E45:O45" si="6">+SUM(E46:E49)</f>
        <v>1891043.85</v>
      </c>
      <c r="F45" s="26">
        <f t="shared" si="6"/>
        <v>2485962.0700000003</v>
      </c>
      <c r="G45" s="26">
        <f t="shared" si="6"/>
        <v>1735450.6438601564</v>
      </c>
      <c r="H45" s="26">
        <f t="shared" si="6"/>
        <v>2217758.4453191785</v>
      </c>
      <c r="I45" s="26">
        <f t="shared" si="6"/>
        <v>2057071.1919965199</v>
      </c>
      <c r="J45" s="26">
        <f t="shared" si="6"/>
        <v>2036293.6199941358</v>
      </c>
      <c r="K45" s="27">
        <f t="shared" si="6"/>
        <v>1993610.0165978931</v>
      </c>
      <c r="L45" s="27">
        <f t="shared" si="6"/>
        <v>1319250.1888861335</v>
      </c>
      <c r="M45" s="27">
        <f t="shared" si="6"/>
        <v>3996269.3648696048</v>
      </c>
      <c r="N45" s="27">
        <f t="shared" si="6"/>
        <v>2008962.2379183236</v>
      </c>
      <c r="O45" s="50">
        <f t="shared" si="6"/>
        <v>3009138.3781972951</v>
      </c>
      <c r="P45" s="28">
        <f t="shared" si="2"/>
        <v>25741437.467639241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150875.69</v>
      </c>
      <c r="E46" s="30">
        <v>279636.31</v>
      </c>
      <c r="F46" s="30">
        <v>417534.63</v>
      </c>
      <c r="G46" s="30">
        <v>149220.17263419394</v>
      </c>
      <c r="H46" s="30">
        <v>163843.8409354756</v>
      </c>
      <c r="I46" s="30">
        <v>273714.32072320936</v>
      </c>
      <c r="J46" s="30">
        <v>351423.27187671443</v>
      </c>
      <c r="K46" s="31">
        <v>197426.7956329266</v>
      </c>
      <c r="L46" s="31">
        <v>87810.154813937435</v>
      </c>
      <c r="M46" s="31">
        <v>2546048.1959137395</v>
      </c>
      <c r="N46" s="31">
        <v>420293.26089019596</v>
      </c>
      <c r="O46" s="51">
        <v>769533.61759751663</v>
      </c>
      <c r="P46" s="32">
        <f t="shared" si="2"/>
        <v>5807360.2610179093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394898.64</v>
      </c>
      <c r="E47" s="30">
        <v>492027.45</v>
      </c>
      <c r="F47" s="30">
        <v>704590.7</v>
      </c>
      <c r="G47" s="30">
        <v>467918.21784815041</v>
      </c>
      <c r="H47" s="30">
        <v>517536.66538872255</v>
      </c>
      <c r="I47" s="30">
        <v>615234.27021931775</v>
      </c>
      <c r="J47" s="30">
        <v>796312.28853367199</v>
      </c>
      <c r="K47" s="31">
        <v>980713.96668353933</v>
      </c>
      <c r="L47" s="31">
        <v>475748.20842334238</v>
      </c>
      <c r="M47" s="31">
        <v>463431.04003891215</v>
      </c>
      <c r="N47" s="31">
        <v>572302.52061439876</v>
      </c>
      <c r="O47" s="51">
        <v>739360.43348674255</v>
      </c>
      <c r="P47" s="32">
        <f t="shared" si="2"/>
        <v>7220074.4012367986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100875.57</v>
      </c>
      <c r="E48" s="30">
        <v>108799.21</v>
      </c>
      <c r="F48" s="30">
        <v>185279.53</v>
      </c>
      <c r="G48" s="30">
        <v>197585.47473803375</v>
      </c>
      <c r="H48" s="30">
        <v>205676.25987261714</v>
      </c>
      <c r="I48" s="31">
        <v>276328.87456216844</v>
      </c>
      <c r="J48" s="30">
        <v>218638.22353695356</v>
      </c>
      <c r="K48" s="31">
        <v>224648.70576521172</v>
      </c>
      <c r="L48" s="31">
        <v>200722.69649261201</v>
      </c>
      <c r="M48" s="31">
        <v>175912.60248423199</v>
      </c>
      <c r="N48" s="31">
        <v>180666.60183785288</v>
      </c>
      <c r="O48" s="51">
        <v>228916.94282851758</v>
      </c>
      <c r="P48" s="32">
        <f t="shared" si="2"/>
        <v>2304050.6921181995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343977.56</v>
      </c>
      <c r="E49" s="30">
        <v>1010580.88</v>
      </c>
      <c r="F49" s="30">
        <v>1178557.21</v>
      </c>
      <c r="G49" s="30">
        <v>920726.77863977838</v>
      </c>
      <c r="H49" s="30">
        <v>1330701.6791223635</v>
      </c>
      <c r="I49" s="31">
        <v>891793.72649182426</v>
      </c>
      <c r="J49" s="30">
        <v>669919.83604679583</v>
      </c>
      <c r="K49" s="31">
        <v>590820.54851621552</v>
      </c>
      <c r="L49" s="31">
        <v>554969.12915624178</v>
      </c>
      <c r="M49" s="31">
        <v>810877.52643272129</v>
      </c>
      <c r="N49" s="31">
        <v>835699.85457587591</v>
      </c>
      <c r="O49" s="51">
        <v>1271327.3842845184</v>
      </c>
      <c r="P49" s="32">
        <f t="shared" si="2"/>
        <v>10409952.113266336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487675.47</v>
      </c>
      <c r="E50" s="46">
        <v>308916.07</v>
      </c>
      <c r="F50" s="46">
        <v>335775.71</v>
      </c>
      <c r="G50" s="46">
        <v>346183.42856134439</v>
      </c>
      <c r="H50" s="46">
        <v>217384.37120992178</v>
      </c>
      <c r="I50" s="46">
        <v>206434.91849926775</v>
      </c>
      <c r="J50" s="46">
        <v>297912.56156254647</v>
      </c>
      <c r="K50" s="45">
        <v>472555.836686589</v>
      </c>
      <c r="L50" s="46">
        <v>257084.81799346188</v>
      </c>
      <c r="M50" s="46">
        <v>300286.81969236297</v>
      </c>
      <c r="N50" s="46">
        <v>447292.84080632549</v>
      </c>
      <c r="O50" s="52">
        <v>491522.9907177118</v>
      </c>
      <c r="P50" s="47">
        <f t="shared" si="2"/>
        <v>4169025.8357295315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+D53+D67+D73+D79+D80+D81</f>
        <v>53061054.049999997</v>
      </c>
      <c r="E51" s="60">
        <f t="shared" ref="E51:O51" si="7">+E53+E67+E73+E79+E80+E81</f>
        <v>99613025.839999989</v>
      </c>
      <c r="F51" s="60">
        <f t="shared" si="7"/>
        <v>81372572.209999993</v>
      </c>
      <c r="G51" s="60">
        <f t="shared" si="7"/>
        <v>142810163.60999998</v>
      </c>
      <c r="H51" s="60">
        <f t="shared" si="7"/>
        <v>98306431.900000006</v>
      </c>
      <c r="I51" s="60">
        <f t="shared" si="7"/>
        <v>108798787.33714285</v>
      </c>
      <c r="J51" s="60">
        <f t="shared" si="7"/>
        <v>108798787.33714285</v>
      </c>
      <c r="K51" s="60">
        <f t="shared" si="7"/>
        <v>108798787.33714285</v>
      </c>
      <c r="L51" s="60">
        <f t="shared" si="7"/>
        <v>108798787.33714285</v>
      </c>
      <c r="M51" s="60">
        <f t="shared" si="7"/>
        <v>108798787.33714285</v>
      </c>
      <c r="N51" s="60">
        <f t="shared" si="7"/>
        <v>108798787.33714285</v>
      </c>
      <c r="O51" s="86">
        <f t="shared" si="7"/>
        <v>108798787.33714285</v>
      </c>
      <c r="P51" s="84">
        <f>+SUM(D51:O51)</f>
        <v>1236754758.9699998</v>
      </c>
      <c r="Q51" s="139"/>
      <c r="R51" s="89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+D51-D79</f>
        <v>50837403.969999999</v>
      </c>
      <c r="E52" s="60">
        <f t="shared" si="8"/>
        <v>96041867.899999991</v>
      </c>
      <c r="F52" s="60">
        <f t="shared" si="8"/>
        <v>79872481.739999995</v>
      </c>
      <c r="G52" s="60">
        <f t="shared" si="8"/>
        <v>138183188.01999998</v>
      </c>
      <c r="H52" s="60">
        <f t="shared" si="8"/>
        <v>92662882.120000005</v>
      </c>
      <c r="I52" s="60">
        <f t="shared" si="8"/>
        <v>100343766.75857143</v>
      </c>
      <c r="J52" s="60">
        <f t="shared" si="8"/>
        <v>100343766.75857143</v>
      </c>
      <c r="K52" s="60">
        <f t="shared" si="8"/>
        <v>100343766.75857143</v>
      </c>
      <c r="L52" s="60">
        <f t="shared" si="8"/>
        <v>100343766.75857143</v>
      </c>
      <c r="M52" s="60">
        <f t="shared" si="8"/>
        <v>100343766.75857143</v>
      </c>
      <c r="N52" s="60">
        <f t="shared" si="8"/>
        <v>100343766.75857143</v>
      </c>
      <c r="O52" s="86">
        <f t="shared" si="8"/>
        <v>100343766.75857143</v>
      </c>
      <c r="P52" s="84">
        <f>+SUM(D52:O52)</f>
        <v>1160004191.0599997</v>
      </c>
      <c r="Q52" s="2"/>
      <c r="R52" s="89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</f>
        <v>12289773.26</v>
      </c>
      <c r="E53" s="64">
        <f t="shared" ref="E53:O53" si="9">+E54+E60+E61+E62+E63+E64+E65+E66</f>
        <v>51706209.769999988</v>
      </c>
      <c r="F53" s="63">
        <f t="shared" si="9"/>
        <v>40394679.650000013</v>
      </c>
      <c r="G53" s="65">
        <f t="shared" si="9"/>
        <v>89884247.359999985</v>
      </c>
      <c r="H53" s="65">
        <f t="shared" si="9"/>
        <v>49061336.000000007</v>
      </c>
      <c r="I53" s="65">
        <f t="shared" si="9"/>
        <v>57078484.642857134</v>
      </c>
      <c r="J53" s="65">
        <f t="shared" si="9"/>
        <v>57078484.642857134</v>
      </c>
      <c r="K53" s="65">
        <f t="shared" si="9"/>
        <v>57078484.642857134</v>
      </c>
      <c r="L53" s="65">
        <f t="shared" si="9"/>
        <v>57078484.642857134</v>
      </c>
      <c r="M53" s="64">
        <f t="shared" si="9"/>
        <v>57078484.642857134</v>
      </c>
      <c r="N53" s="63">
        <f t="shared" si="9"/>
        <v>57078484.642857134</v>
      </c>
      <c r="O53" s="62">
        <f t="shared" si="9"/>
        <v>57078484.642857134</v>
      </c>
      <c r="P53" s="106">
        <f t="shared" si="2"/>
        <v>642885638.53999996</v>
      </c>
      <c r="Q53" s="2"/>
      <c r="R53" s="89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v>4283.5</v>
      </c>
      <c r="E54" s="64">
        <v>31275360.899999995</v>
      </c>
      <c r="F54" s="63">
        <v>27711888.080000009</v>
      </c>
      <c r="G54" s="65">
        <v>47396528.219999991</v>
      </c>
      <c r="H54" s="65">
        <v>26799661.280000005</v>
      </c>
      <c r="I54" s="65">
        <v>34924084.149999999</v>
      </c>
      <c r="J54" s="65">
        <v>34924084.149999999</v>
      </c>
      <c r="K54" s="65">
        <v>34924084.149999999</v>
      </c>
      <c r="L54" s="65">
        <v>34924084.149999999</v>
      </c>
      <c r="M54" s="64">
        <v>34924084.149999999</v>
      </c>
      <c r="N54" s="63">
        <v>34924084.149999999</v>
      </c>
      <c r="O54" s="62">
        <v>34924084.149999999</v>
      </c>
      <c r="P54" s="106">
        <f t="shared" si="2"/>
        <v>377656311.02999991</v>
      </c>
      <c r="Q54" s="65"/>
      <c r="R54" s="89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2599.2600000000002</v>
      </c>
      <c r="E55" s="31">
        <v>20211919.549999993</v>
      </c>
      <c r="F55" s="30">
        <v>16943393.250000011</v>
      </c>
      <c r="G55" s="30">
        <v>32039859.959999982</v>
      </c>
      <c r="H55" s="30">
        <v>13787478.570000002</v>
      </c>
      <c r="I55" s="31">
        <v>20094038.312857144</v>
      </c>
      <c r="J55" s="30">
        <v>20094038.312857144</v>
      </c>
      <c r="K55" s="31">
        <v>20094038.312857144</v>
      </c>
      <c r="L55" s="31">
        <v>20094038.312857144</v>
      </c>
      <c r="M55" s="31">
        <v>20094038.312857144</v>
      </c>
      <c r="N55" s="31">
        <v>20094038.312857144</v>
      </c>
      <c r="O55" s="51">
        <v>20094038.312857144</v>
      </c>
      <c r="P55" s="67">
        <f t="shared" si="2"/>
        <v>223643518.78000003</v>
      </c>
      <c r="Q55" s="65"/>
      <c r="R55" s="89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491.35</v>
      </c>
      <c r="E56" s="30">
        <v>2347250.9700000002</v>
      </c>
      <c r="F56" s="30">
        <v>1937857.879999999</v>
      </c>
      <c r="G56" s="30">
        <v>2940885.09</v>
      </c>
      <c r="H56" s="30">
        <v>2499706.9300000011</v>
      </c>
      <c r="I56" s="31">
        <v>2913782.1799999988</v>
      </c>
      <c r="J56" s="30">
        <v>2913782.1799999988</v>
      </c>
      <c r="K56" s="31">
        <v>2913782.1799999988</v>
      </c>
      <c r="L56" s="31">
        <v>2913782.1799999988</v>
      </c>
      <c r="M56" s="31">
        <v>2913782.1799999988</v>
      </c>
      <c r="N56" s="31">
        <v>2913782.1799999988</v>
      </c>
      <c r="O56" s="51">
        <v>2913782.1799999988</v>
      </c>
      <c r="P56" s="67">
        <f t="shared" si="2"/>
        <v>30122667.479999997</v>
      </c>
      <c r="Q56" s="65"/>
      <c r="R56" s="89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1119.19</v>
      </c>
      <c r="E57" s="30">
        <v>5216165.66</v>
      </c>
      <c r="F57" s="30">
        <v>5942266.790000001</v>
      </c>
      <c r="G57" s="30">
        <v>7728346.4700000035</v>
      </c>
      <c r="H57" s="30">
        <v>6647730.7200000007</v>
      </c>
      <c r="I57" s="31">
        <v>7582738.9814285692</v>
      </c>
      <c r="J57" s="30">
        <v>7582738.9814285692</v>
      </c>
      <c r="K57" s="31">
        <v>7582738.9814285692</v>
      </c>
      <c r="L57" s="31">
        <v>7582738.9814285692</v>
      </c>
      <c r="M57" s="31">
        <v>7582738.9814285692</v>
      </c>
      <c r="N57" s="31">
        <v>7582738.9814285692</v>
      </c>
      <c r="O57" s="51">
        <v>7582738.9814285692</v>
      </c>
      <c r="P57" s="67">
        <f t="shared" si="2"/>
        <v>78614801.699999988</v>
      </c>
      <c r="Q57" s="65"/>
      <c r="R57" s="89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0</v>
      </c>
      <c r="E58" s="30">
        <v>3162904.910000002</v>
      </c>
      <c r="F58" s="30">
        <v>2865206.3099999991</v>
      </c>
      <c r="G58" s="30">
        <v>3997188.2799999984</v>
      </c>
      <c r="H58" s="30">
        <v>3536560.0999999987</v>
      </c>
      <c r="I58" s="31">
        <v>3904515.1714285724</v>
      </c>
      <c r="J58" s="30">
        <v>3904515.1714285724</v>
      </c>
      <c r="K58" s="31">
        <v>3904515.1714285724</v>
      </c>
      <c r="L58" s="31">
        <v>3904515.1714285724</v>
      </c>
      <c r="M58" s="31">
        <v>3904515.1714285724</v>
      </c>
      <c r="N58" s="31">
        <v>3904515.1714285724</v>
      </c>
      <c r="O58" s="51">
        <v>3904515.1714285724</v>
      </c>
      <c r="P58" s="67">
        <f t="shared" si="2"/>
        <v>40893465.800000012</v>
      </c>
      <c r="Q58" s="65"/>
      <c r="R58" s="8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73.7</v>
      </c>
      <c r="E59" s="30">
        <v>337119.80999999994</v>
      </c>
      <c r="F59" s="30">
        <v>23163.85</v>
      </c>
      <c r="G59" s="30">
        <v>690248.42000000039</v>
      </c>
      <c r="H59" s="30">
        <v>328184.96000000008</v>
      </c>
      <c r="I59" s="31">
        <v>429009.5042857143</v>
      </c>
      <c r="J59" s="30">
        <v>429009.5042857143</v>
      </c>
      <c r="K59" s="31">
        <v>429009.5042857143</v>
      </c>
      <c r="L59" s="31">
        <v>429009.5042857143</v>
      </c>
      <c r="M59" s="31">
        <v>429009.5042857143</v>
      </c>
      <c r="N59" s="31">
        <v>429009.5042857143</v>
      </c>
      <c r="O59" s="51">
        <v>429009.5042857143</v>
      </c>
      <c r="P59" s="67">
        <f t="shared" si="2"/>
        <v>4381857.2699999996</v>
      </c>
      <c r="Q59" s="65"/>
      <c r="R59" s="89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66647.16</v>
      </c>
      <c r="E60" s="64">
        <v>788157.97</v>
      </c>
      <c r="F60" s="64">
        <v>633801.75</v>
      </c>
      <c r="G60" s="65">
        <v>809278.41</v>
      </c>
      <c r="H60" s="65">
        <v>1013373</v>
      </c>
      <c r="I60" s="65">
        <v>1019016.9242857142</v>
      </c>
      <c r="J60" s="65">
        <v>1019016.9242857142</v>
      </c>
      <c r="K60" s="65">
        <v>1019016.9242857142</v>
      </c>
      <c r="L60" s="65">
        <v>1019016.9242857142</v>
      </c>
      <c r="M60" s="64">
        <v>1019016.9242857142</v>
      </c>
      <c r="N60" s="63">
        <v>1019016.9242857142</v>
      </c>
      <c r="O60" s="62">
        <v>1019016.9242857142</v>
      </c>
      <c r="P60" s="67">
        <f t="shared" si="2"/>
        <v>10444376.76</v>
      </c>
      <c r="Q60" s="2"/>
      <c r="R60" s="89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 i usluge</v>
      </c>
      <c r="D61" s="61">
        <v>2307585.9699999997</v>
      </c>
      <c r="E61" s="64">
        <v>12324934.280000001</v>
      </c>
      <c r="F61" s="64">
        <v>6452115.4300000016</v>
      </c>
      <c r="G61" s="65">
        <v>20738433.310000002</v>
      </c>
      <c r="H61" s="65">
        <v>14011695.699999999</v>
      </c>
      <c r="I61" s="65">
        <v>12293045.851428572</v>
      </c>
      <c r="J61" s="65">
        <v>12293045.851428572</v>
      </c>
      <c r="K61" s="65">
        <v>12293045.851428572</v>
      </c>
      <c r="L61" s="65">
        <v>12293045.851428572</v>
      </c>
      <c r="M61" s="64">
        <v>12293045.851428572</v>
      </c>
      <c r="N61" s="63">
        <v>12293045.851428572</v>
      </c>
      <c r="O61" s="62">
        <v>12293045.851428572</v>
      </c>
      <c r="P61" s="67">
        <f t="shared" si="2"/>
        <v>141886085.64999998</v>
      </c>
      <c r="Q61" s="2"/>
      <c r="R61" s="8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IF(MasterSheet!$A$1=1,MasterSheet!C380,MasterSheet!B380)</f>
        <v>Tekuće održavanje</v>
      </c>
      <c r="D62" s="61">
        <v>26607.390000000003</v>
      </c>
      <c r="E62" s="64">
        <v>420045.88000000006</v>
      </c>
      <c r="F62" s="64">
        <v>1323223.27</v>
      </c>
      <c r="G62" s="65">
        <v>2902402</v>
      </c>
      <c r="H62" s="65">
        <v>2532098.79</v>
      </c>
      <c r="I62" s="65">
        <v>2281609.7628571419</v>
      </c>
      <c r="J62" s="65">
        <v>2281609.7628571419</v>
      </c>
      <c r="K62" s="65">
        <v>2281609.7628571419</v>
      </c>
      <c r="L62" s="65">
        <v>2281609.7628571419</v>
      </c>
      <c r="M62" s="64">
        <v>2281609.7628571419</v>
      </c>
      <c r="N62" s="63">
        <v>2281609.7628571419</v>
      </c>
      <c r="O62" s="62">
        <v>2281609.7628571419</v>
      </c>
      <c r="P62" s="67">
        <f t="shared" si="2"/>
        <v>23175645.669999998</v>
      </c>
      <c r="Q62" s="2"/>
      <c r="R62" s="89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IF(MasterSheet!$A$1=1,MasterSheet!C381,MasterSheet!B381)</f>
        <v>Kamate</v>
      </c>
      <c r="D63" s="61">
        <v>3640898.93</v>
      </c>
      <c r="E63" s="64">
        <v>1655265.05</v>
      </c>
      <c r="F63" s="64">
        <v>2651578.2199999997</v>
      </c>
      <c r="G63" s="65">
        <v>14134841.26</v>
      </c>
      <c r="H63" s="65">
        <v>2024043.4900000002</v>
      </c>
      <c r="I63" s="65">
        <v>4399802.1057142848</v>
      </c>
      <c r="J63" s="65">
        <v>4399802.1057142848</v>
      </c>
      <c r="K63" s="65">
        <v>4399802.1057142848</v>
      </c>
      <c r="L63" s="65">
        <v>4399802.1057142848</v>
      </c>
      <c r="M63" s="64">
        <v>4399802.1057142848</v>
      </c>
      <c r="N63" s="63">
        <v>4399802.1057142848</v>
      </c>
      <c r="O63" s="62">
        <v>4399802.1057142848</v>
      </c>
      <c r="P63" s="67">
        <f t="shared" si="2"/>
        <v>54905241.68999999</v>
      </c>
      <c r="Q63" s="2"/>
      <c r="R63" s="89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IF(MasterSheet!$A$1=1,MasterSheet!C382,MasterSheet!B382)</f>
        <v>Renta</v>
      </c>
      <c r="D64" s="61">
        <v>85943.950000000012</v>
      </c>
      <c r="E64" s="64">
        <v>745704.3600000001</v>
      </c>
      <c r="F64" s="64">
        <v>326504.72999999992</v>
      </c>
      <c r="G64" s="65">
        <v>1093390.1000000003</v>
      </c>
      <c r="H64" s="65">
        <v>695307.59000000032</v>
      </c>
      <c r="I64" s="65">
        <v>682299.50428571412</v>
      </c>
      <c r="J64" s="65">
        <v>682299.50428571412</v>
      </c>
      <c r="K64" s="65">
        <v>682299.50428571412</v>
      </c>
      <c r="L64" s="65">
        <v>682299.50428571412</v>
      </c>
      <c r="M64" s="64">
        <v>682299.50428571412</v>
      </c>
      <c r="N64" s="63">
        <v>682299.50428571412</v>
      </c>
      <c r="O64" s="62">
        <v>682299.50428571412</v>
      </c>
      <c r="P64" s="67">
        <f t="shared" si="2"/>
        <v>7722947.2599999979</v>
      </c>
      <c r="Q64" s="2"/>
      <c r="R64" s="89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IF(MasterSheet!$A$1=1,MasterSheet!C383,MasterSheet!B383)</f>
        <v>Subvencije</v>
      </c>
      <c r="D65" s="61">
        <v>6141587.4900000002</v>
      </c>
      <c r="E65" s="64">
        <v>3764809.78</v>
      </c>
      <c r="F65" s="64">
        <v>925768.61</v>
      </c>
      <c r="G65" s="65">
        <v>2150317.9900000002</v>
      </c>
      <c r="H65" s="65">
        <v>1550691.25</v>
      </c>
      <c r="I65" s="65">
        <v>880974.98571428529</v>
      </c>
      <c r="J65" s="65">
        <v>880974.98571428529</v>
      </c>
      <c r="K65" s="65">
        <v>880974.98571428529</v>
      </c>
      <c r="L65" s="65">
        <v>880974.98571428529</v>
      </c>
      <c r="M65" s="64">
        <v>880974.98571428529</v>
      </c>
      <c r="N65" s="63">
        <v>880974.98571428529</v>
      </c>
      <c r="O65" s="62">
        <v>880974.98571428529</v>
      </c>
      <c r="P65" s="67">
        <f t="shared" si="2"/>
        <v>20700000.02</v>
      </c>
      <c r="Q65" s="2"/>
      <c r="R65" s="89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IF(MasterSheet!$A$1=1,MasterSheet!C384,MasterSheet!B384)</f>
        <v>Ostali izdaci</v>
      </c>
      <c r="D66" s="61">
        <v>16218.87</v>
      </c>
      <c r="E66" s="64">
        <v>731931.54999999993</v>
      </c>
      <c r="F66" s="105">
        <v>369799.56</v>
      </c>
      <c r="G66" s="65">
        <v>659056.07000000007</v>
      </c>
      <c r="H66" s="65">
        <v>434464.89999999997</v>
      </c>
      <c r="I66" s="65">
        <v>597651.35857142857</v>
      </c>
      <c r="J66" s="65">
        <v>597651.35857142857</v>
      </c>
      <c r="K66" s="65">
        <v>597651.35857142857</v>
      </c>
      <c r="L66" s="65">
        <v>597651.35857142857</v>
      </c>
      <c r="M66" s="64">
        <v>597651.35857142857</v>
      </c>
      <c r="N66" s="63">
        <v>597651.35857142857</v>
      </c>
      <c r="O66" s="62">
        <v>597651.35857142857</v>
      </c>
      <c r="P66" s="67">
        <f t="shared" si="2"/>
        <v>6395030.4600000018</v>
      </c>
      <c r="Q66" s="2"/>
      <c r="R66" s="89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tr">
        <f>IF(MasterSheet!$A$1=1,MasterSheet!C386,MasterSheet!B386)</f>
        <v>Transferi za socijalnu zaštitu</v>
      </c>
      <c r="D67" s="61">
        <f>+SUM(D68:D72)</f>
        <v>37234260.75</v>
      </c>
      <c r="E67" s="64">
        <f t="shared" ref="E67" si="10">+SUM(E68:E72)</f>
        <v>40396294.500000007</v>
      </c>
      <c r="F67" s="63">
        <f t="shared" ref="F67:O67" si="11">+SUM(F68:F72)</f>
        <v>35626046.939999998</v>
      </c>
      <c r="G67" s="65">
        <f t="shared" si="11"/>
        <v>43775263.219999991</v>
      </c>
      <c r="H67" s="65">
        <f t="shared" si="11"/>
        <v>40868198.459999993</v>
      </c>
      <c r="I67" s="65">
        <f t="shared" si="11"/>
        <v>39997496.841428578</v>
      </c>
      <c r="J67" s="65">
        <f t="shared" si="11"/>
        <v>39997496.841428578</v>
      </c>
      <c r="K67" s="65">
        <f t="shared" si="11"/>
        <v>39997496.841428578</v>
      </c>
      <c r="L67" s="65">
        <f t="shared" si="11"/>
        <v>39997496.841428578</v>
      </c>
      <c r="M67" s="64">
        <f t="shared" si="11"/>
        <v>39997496.841428578</v>
      </c>
      <c r="N67" s="63">
        <f t="shared" si="11"/>
        <v>39997496.841428578</v>
      </c>
      <c r="O67" s="62">
        <f t="shared" si="11"/>
        <v>39997496.841428578</v>
      </c>
      <c r="P67" s="106">
        <f t="shared" si="2"/>
        <v>477882541.76000005</v>
      </c>
      <c r="Q67" s="2"/>
      <c r="R67" s="89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56" t="str">
        <f>IF(MasterSheet!$A$1=1,MasterSheet!C387,MasterSheet!B387)</f>
        <v>Prava iz oblasti socijalne zaštite</v>
      </c>
      <c r="D68" s="29">
        <v>4880739.1300000008</v>
      </c>
      <c r="E68" s="30">
        <v>5464431.5300000003</v>
      </c>
      <c r="F68" s="30">
        <v>5071540.8299999991</v>
      </c>
      <c r="G68" s="30">
        <v>5114262.4700000007</v>
      </c>
      <c r="H68" s="30">
        <v>5127234.6900000004</v>
      </c>
      <c r="I68" s="31">
        <v>4827470.1899999985</v>
      </c>
      <c r="J68" s="30">
        <v>4827470.1899999985</v>
      </c>
      <c r="K68" s="31">
        <v>4827470.1899999985</v>
      </c>
      <c r="L68" s="31">
        <v>4827470.1899999985</v>
      </c>
      <c r="M68" s="31">
        <v>4827470.1899999985</v>
      </c>
      <c r="N68" s="31">
        <v>4827470.1899999985</v>
      </c>
      <c r="O68" s="51">
        <v>4827470.1899999985</v>
      </c>
      <c r="P68" s="67">
        <f t="shared" si="2"/>
        <v>59450499.979999989</v>
      </c>
      <c r="Q68" s="2"/>
      <c r="R68" s="89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IF(MasterSheet!$A$1=1,MasterSheet!C388,MasterSheet!B388)</f>
        <v>Sredstva za tehnološke viškove</v>
      </c>
      <c r="D69" s="29">
        <v>1736584.53</v>
      </c>
      <c r="E69" s="31">
        <v>1660250.14</v>
      </c>
      <c r="F69" s="30">
        <v>1473771.4300000002</v>
      </c>
      <c r="G69" s="30">
        <v>1382169.35</v>
      </c>
      <c r="H69" s="30">
        <v>1498835.8599999999</v>
      </c>
      <c r="I69" s="31">
        <v>1599707.6357142855</v>
      </c>
      <c r="J69" s="30">
        <v>1599707.6357142855</v>
      </c>
      <c r="K69" s="31">
        <v>1599707.6357142855</v>
      </c>
      <c r="L69" s="31">
        <v>1599707.6357142855</v>
      </c>
      <c r="M69" s="31">
        <v>1599707.6357142855</v>
      </c>
      <c r="N69" s="31">
        <v>1599707.6357142855</v>
      </c>
      <c r="O69" s="51">
        <v>1599707.6357142855</v>
      </c>
      <c r="P69" s="67">
        <f t="shared" si="2"/>
        <v>18949564.759999994</v>
      </c>
      <c r="Q69" s="2"/>
      <c r="R69" s="89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IF(MasterSheet!$A$1=1,MasterSheet!C389,MasterSheet!B389)</f>
        <v>Prava iz oblasti penzijskog i invalidskog osiguranja</v>
      </c>
      <c r="D70" s="29">
        <v>30358548.720000003</v>
      </c>
      <c r="E70" s="30">
        <v>31864788.480000004</v>
      </c>
      <c r="F70" s="30">
        <v>28018969.609999999</v>
      </c>
      <c r="G70" s="30">
        <v>35356384.349999994</v>
      </c>
      <c r="H70" s="30">
        <v>31736646.849999994</v>
      </c>
      <c r="I70" s="31">
        <v>31534591.274285723</v>
      </c>
      <c r="J70" s="30">
        <v>31534591.274285723</v>
      </c>
      <c r="K70" s="31">
        <v>31534591.274285723</v>
      </c>
      <c r="L70" s="31">
        <v>31534591.274285723</v>
      </c>
      <c r="M70" s="31">
        <v>31534591.274285723</v>
      </c>
      <c r="N70" s="31">
        <v>31534591.274285723</v>
      </c>
      <c r="O70" s="51">
        <v>31534591.274285723</v>
      </c>
      <c r="P70" s="67">
        <f t="shared" si="2"/>
        <v>378077476.93000013</v>
      </c>
      <c r="Q70" s="2"/>
      <c r="R70" s="89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IF(MasterSheet!$A$1=1,MasterSheet!C390,MasterSheet!B390)</f>
        <v>Ostala prava iz oblasti zdravstvene zaštite</v>
      </c>
      <c r="D71" s="29">
        <v>168399.48</v>
      </c>
      <c r="E71" s="30">
        <v>814363.46</v>
      </c>
      <c r="F71" s="30">
        <v>741766.67</v>
      </c>
      <c r="G71" s="30">
        <v>1080265.98</v>
      </c>
      <c r="H71" s="30">
        <v>1810921.59</v>
      </c>
      <c r="I71" s="31">
        <v>1359183.2557142861</v>
      </c>
      <c r="J71" s="30">
        <v>1359183.2557142861</v>
      </c>
      <c r="K71" s="31">
        <v>1359183.2557142861</v>
      </c>
      <c r="L71" s="31">
        <v>1359183.2557142861</v>
      </c>
      <c r="M71" s="31">
        <v>1359183.2557142861</v>
      </c>
      <c r="N71" s="31">
        <v>1359183.2557142861</v>
      </c>
      <c r="O71" s="51">
        <v>1359183.2557142861</v>
      </c>
      <c r="P71" s="67">
        <f t="shared" si="2"/>
        <v>14129999.970000003</v>
      </c>
      <c r="Q71" s="2"/>
      <c r="R71" s="89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IF(MasterSheet!$A$1=1,MasterSheet!C391,MasterSheet!B391)</f>
        <v>Ostala prava iz oblasti zdravstvenog osiguranja</v>
      </c>
      <c r="D72" s="29">
        <v>89988.89</v>
      </c>
      <c r="E72" s="31">
        <v>592460.8899999999</v>
      </c>
      <c r="F72" s="30">
        <v>319998.40000000002</v>
      </c>
      <c r="G72" s="30">
        <v>842181.07000000007</v>
      </c>
      <c r="H72" s="30">
        <v>694559.47</v>
      </c>
      <c r="I72" s="31">
        <v>676544.48571428563</v>
      </c>
      <c r="J72" s="30">
        <v>676544.48571428563</v>
      </c>
      <c r="K72" s="31">
        <v>676544.48571428563</v>
      </c>
      <c r="L72" s="31">
        <v>676544.48571428563</v>
      </c>
      <c r="M72" s="31">
        <v>676544.48571428563</v>
      </c>
      <c r="N72" s="31">
        <v>676544.48571428563</v>
      </c>
      <c r="O72" s="51">
        <v>676544.48571428563</v>
      </c>
      <c r="P72" s="67">
        <f t="shared" si="2"/>
        <v>7275000.1199999992</v>
      </c>
      <c r="Q72" s="2"/>
      <c r="R72" s="89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25.5">
      <c r="A73" s="2"/>
      <c r="B73" s="2"/>
      <c r="C73" s="58" t="str">
        <f>IF(MasterSheet!$A$1=1,MasterSheet!C392,MasterSheet!B392)</f>
        <v>Transferi institucijama pojedinicima nevladinom i javnom sektoru</v>
      </c>
      <c r="D73" s="61">
        <f>+SUM(D74:D78)</f>
        <v>442338.09</v>
      </c>
      <c r="E73" s="64">
        <f t="shared" ref="E73" si="12">+SUM(E74:E78)</f>
        <v>2805814.11</v>
      </c>
      <c r="F73" s="63">
        <f t="shared" ref="F73:O73" si="13">+SUM(F74:F78)</f>
        <v>992842.58</v>
      </c>
      <c r="G73" s="65">
        <f t="shared" si="13"/>
        <v>4069831.04</v>
      </c>
      <c r="H73" s="65">
        <f t="shared" si="13"/>
        <v>2468513.6399999997</v>
      </c>
      <c r="I73" s="65">
        <f t="shared" si="13"/>
        <v>2614002.2428571433</v>
      </c>
      <c r="J73" s="65">
        <f t="shared" si="13"/>
        <v>2614002.2428571433</v>
      </c>
      <c r="K73" s="65">
        <f t="shared" si="13"/>
        <v>2614002.2428571433</v>
      </c>
      <c r="L73" s="65">
        <f t="shared" si="13"/>
        <v>2614002.2428571433</v>
      </c>
      <c r="M73" s="64">
        <f t="shared" si="13"/>
        <v>2614002.2428571433</v>
      </c>
      <c r="N73" s="63">
        <f t="shared" si="13"/>
        <v>2614002.2428571433</v>
      </c>
      <c r="O73" s="62">
        <f t="shared" si="13"/>
        <v>2614002.2428571433</v>
      </c>
      <c r="P73" s="106">
        <f t="shared" si="2"/>
        <v>29077355.160000004</v>
      </c>
      <c r="Q73" s="55"/>
      <c r="R73" s="89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>
      <c r="A74" s="2"/>
      <c r="B74" s="2"/>
      <c r="C74" s="56" t="str">
        <f>IF(MasterSheet!$A$1=1,MasterSheet!C393,MasterSheet!B393)</f>
        <v>Transferi javnim institucijama</v>
      </c>
      <c r="D74" s="29">
        <v>180794.57</v>
      </c>
      <c r="E74" s="31">
        <v>973625.26</v>
      </c>
      <c r="F74" s="30">
        <v>286908.56999999995</v>
      </c>
      <c r="G74" s="30">
        <v>1612546.99</v>
      </c>
      <c r="H74" s="30">
        <v>1303321.6299999999</v>
      </c>
      <c r="I74" s="31">
        <v>1322417.8628571429</v>
      </c>
      <c r="J74" s="30">
        <v>1322417.8628571429</v>
      </c>
      <c r="K74" s="31">
        <v>1322417.8628571429</v>
      </c>
      <c r="L74" s="31">
        <v>1322417.8628571429</v>
      </c>
      <c r="M74" s="31">
        <v>1322417.8628571429</v>
      </c>
      <c r="N74" s="31">
        <v>1322417.8628571429</v>
      </c>
      <c r="O74" s="51">
        <v>1322417.8628571429</v>
      </c>
      <c r="P74" s="67">
        <f t="shared" si="2"/>
        <v>13614122.059999997</v>
      </c>
      <c r="Q74" s="2"/>
      <c r="R74" s="89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IF(MasterSheet!$A$1=1,MasterSheet!C394,MasterSheet!B394)</f>
        <v>Transferi nevladinim organizacijama</v>
      </c>
      <c r="D75" s="29">
        <v>253000</v>
      </c>
      <c r="E75" s="30">
        <v>532747.41999999993</v>
      </c>
      <c r="F75" s="30">
        <v>293479.06</v>
      </c>
      <c r="G75" s="30">
        <v>834504.14</v>
      </c>
      <c r="H75" s="30">
        <v>293789.06</v>
      </c>
      <c r="I75" s="31">
        <v>374501.85428571427</v>
      </c>
      <c r="J75" s="30">
        <v>374501.85428571427</v>
      </c>
      <c r="K75" s="31">
        <v>374501.85428571427</v>
      </c>
      <c r="L75" s="31">
        <v>374501.85428571427</v>
      </c>
      <c r="M75" s="31">
        <v>374501.85428571427</v>
      </c>
      <c r="N75" s="31">
        <v>374501.85428571427</v>
      </c>
      <c r="O75" s="51">
        <v>374501.85428571427</v>
      </c>
      <c r="P75" s="67">
        <f t="shared" si="2"/>
        <v>4829032.66</v>
      </c>
      <c r="Q75" s="2"/>
      <c r="R75" s="89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IF(MasterSheet!$A$1=1,MasterSheet!C395,MasterSheet!B395)</f>
        <v>Transferi pojedincima</v>
      </c>
      <c r="D76" s="29">
        <v>8543.52</v>
      </c>
      <c r="E76" s="30">
        <v>1289941.43</v>
      </c>
      <c r="F76" s="30">
        <v>408004.95000000007</v>
      </c>
      <c r="G76" s="30">
        <v>1609014.91</v>
      </c>
      <c r="H76" s="30">
        <v>864201.95</v>
      </c>
      <c r="I76" s="31">
        <v>800641.95857142902</v>
      </c>
      <c r="J76" s="30">
        <v>800641.95857142902</v>
      </c>
      <c r="K76" s="31">
        <v>800641.95857142902</v>
      </c>
      <c r="L76" s="31">
        <v>800641.95857142902</v>
      </c>
      <c r="M76" s="31">
        <v>800641.95857142902</v>
      </c>
      <c r="N76" s="31">
        <v>800641.95857142902</v>
      </c>
      <c r="O76" s="51">
        <v>800641.95857142902</v>
      </c>
      <c r="P76" s="67">
        <f t="shared" si="2"/>
        <v>9784200.4700000044</v>
      </c>
      <c r="Q76" s="2"/>
      <c r="R76" s="89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IF(MasterSheet!$A$1=1,MasterSheet!C396,MasterSheet!B396)</f>
        <v>Transferi opštinama</v>
      </c>
      <c r="D77" s="29">
        <v>0</v>
      </c>
      <c r="E77" s="30">
        <v>9500</v>
      </c>
      <c r="F77" s="30">
        <v>4450</v>
      </c>
      <c r="G77" s="30">
        <v>13765</v>
      </c>
      <c r="H77" s="30">
        <v>7201</v>
      </c>
      <c r="I77" s="31">
        <v>116440.56714285714</v>
      </c>
      <c r="J77" s="30">
        <v>116440.56714285714</v>
      </c>
      <c r="K77" s="31">
        <v>116440.56714285714</v>
      </c>
      <c r="L77" s="31">
        <v>116440.56714285714</v>
      </c>
      <c r="M77" s="31">
        <v>116440.56714285714</v>
      </c>
      <c r="N77" s="31">
        <v>116440.56714285714</v>
      </c>
      <c r="O77" s="51">
        <v>116440.56714285714</v>
      </c>
      <c r="P77" s="67">
        <f t="shared" si="2"/>
        <v>849999.96999999986</v>
      </c>
      <c r="Q77" s="2"/>
      <c r="R77" s="89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3.5" thickBot="1">
      <c r="A78" s="2"/>
      <c r="B78" s="2"/>
      <c r="C78" s="57" t="str">
        <f>IF(MasterSheet!$A$1=1,MasterSheet!C397,MasterSheet!B397)</f>
        <v>Transferi javnim preduzećima</v>
      </c>
      <c r="D78" s="68">
        <v>0</v>
      </c>
      <c r="E78" s="69">
        <v>0</v>
      </c>
      <c r="F78" s="69">
        <v>0</v>
      </c>
      <c r="G78" s="69">
        <v>0</v>
      </c>
      <c r="H78" s="69">
        <v>0</v>
      </c>
      <c r="I78" s="70">
        <v>0</v>
      </c>
      <c r="J78" s="69">
        <v>0</v>
      </c>
      <c r="K78" s="70">
        <v>0</v>
      </c>
      <c r="L78" s="70">
        <v>0</v>
      </c>
      <c r="M78" s="70">
        <v>0</v>
      </c>
      <c r="N78" s="70">
        <v>0</v>
      </c>
      <c r="O78" s="110">
        <v>0</v>
      </c>
      <c r="P78" s="107">
        <f t="shared" si="2"/>
        <v>0</v>
      </c>
      <c r="Q78" s="2"/>
      <c r="R78" s="89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4.25" thickTop="1" thickBot="1">
      <c r="A79" s="2"/>
      <c r="B79" s="2"/>
      <c r="C79" s="33" t="str">
        <f>IF(MasterSheet!$A$1=1,MasterSheet!C398,MasterSheet!B398)</f>
        <v>Kapitalni budžet</v>
      </c>
      <c r="D79" s="71">
        <v>2223650.08</v>
      </c>
      <c r="E79" s="71">
        <v>3571157.94</v>
      </c>
      <c r="F79" s="71">
        <v>1500090.4699999997</v>
      </c>
      <c r="G79" s="74">
        <v>4626975.59</v>
      </c>
      <c r="H79" s="74">
        <v>5643549.7799999993</v>
      </c>
      <c r="I79" s="74">
        <v>8455020.5785714295</v>
      </c>
      <c r="J79" s="74">
        <v>8455020.5785714295</v>
      </c>
      <c r="K79" s="74">
        <v>8455020.5785714295</v>
      </c>
      <c r="L79" s="74">
        <v>8455020.5785714295</v>
      </c>
      <c r="M79" s="72">
        <v>8455020.5785714295</v>
      </c>
      <c r="N79" s="73">
        <v>8455020.5785714295</v>
      </c>
      <c r="O79" s="111">
        <v>8455020.5785714295</v>
      </c>
      <c r="P79" s="108">
        <f t="shared" si="2"/>
        <v>76750567.910000011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3.5" thickTop="1">
      <c r="A80" s="2"/>
      <c r="B80" s="2"/>
      <c r="C80" s="56" t="str">
        <f>IF(MasterSheet!$A$1=1,MasterSheet!C399,MasterSheet!B399)</f>
        <v>Pozajmice i krediti</v>
      </c>
      <c r="D80" s="29">
        <v>0</v>
      </c>
      <c r="E80" s="30">
        <v>327340.79999999999</v>
      </c>
      <c r="F80" s="30">
        <v>125713</v>
      </c>
      <c r="G80" s="30">
        <v>160911</v>
      </c>
      <c r="H80" s="30">
        <v>139637</v>
      </c>
      <c r="I80" s="31">
        <v>135199.74857142859</v>
      </c>
      <c r="J80" s="30">
        <v>135199.74857142859</v>
      </c>
      <c r="K80" s="31">
        <v>135199.74857142859</v>
      </c>
      <c r="L80" s="31">
        <v>135199.74857142859</v>
      </c>
      <c r="M80" s="31">
        <v>135199.74857142859</v>
      </c>
      <c r="N80" s="31">
        <v>135199.74857142859</v>
      </c>
      <c r="O80" s="51">
        <v>135199.74857142859</v>
      </c>
      <c r="P80" s="109">
        <f t="shared" si="2"/>
        <v>1700000.0399999996</v>
      </c>
      <c r="Q80" s="2"/>
      <c r="R80" s="89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Bot="1">
      <c r="A81" s="2"/>
      <c r="B81" s="2"/>
      <c r="C81" s="57" t="str">
        <f>IF(MasterSheet!$A$1=1,MasterSheet!C400,MasterSheet!B400)</f>
        <v>Rezerve</v>
      </c>
      <c r="D81" s="68">
        <v>871031.87</v>
      </c>
      <c r="E81" s="69">
        <v>806208.72</v>
      </c>
      <c r="F81" s="69">
        <v>2733199.57</v>
      </c>
      <c r="G81" s="69">
        <v>292935.40000000002</v>
      </c>
      <c r="H81" s="69">
        <v>125197.02</v>
      </c>
      <c r="I81" s="70">
        <v>518583.28285714239</v>
      </c>
      <c r="J81" s="69">
        <v>518583.28285714239</v>
      </c>
      <c r="K81" s="70">
        <v>518583.28285714239</v>
      </c>
      <c r="L81" s="70">
        <v>518583.28285714239</v>
      </c>
      <c r="M81" s="70">
        <v>518583.28285714239</v>
      </c>
      <c r="N81" s="70">
        <v>518583.28285714239</v>
      </c>
      <c r="O81" s="110">
        <v>518583.28285714239</v>
      </c>
      <c r="P81" s="107">
        <f t="shared" si="2"/>
        <v>8458655.5599999968</v>
      </c>
      <c r="Q81" s="2"/>
      <c r="R81" s="89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4.25" thickTop="1" thickBot="1">
      <c r="A82" s="2"/>
      <c r="B82" s="2"/>
      <c r="C82" s="33" t="str">
        <f>IF(MasterSheet!$A$1=1,MasterSheet!C402,MasterSheet!B402)</f>
        <v>Suficit/ Deficit</v>
      </c>
      <c r="D82" s="60">
        <f t="shared" ref="D82:O82" si="14">+D19-D51</f>
        <v>-3970584.8026855141</v>
      </c>
      <c r="E82" s="60">
        <f t="shared" si="14"/>
        <v>-31889685.160000011</v>
      </c>
      <c r="F82" s="60">
        <f t="shared" si="14"/>
        <v>-5142077.8299999833</v>
      </c>
      <c r="G82" s="60">
        <f t="shared" si="14"/>
        <v>-47753235.293112114</v>
      </c>
      <c r="H82" s="60">
        <f t="shared" si="14"/>
        <v>-2554548.9446720481</v>
      </c>
      <c r="I82" s="60">
        <f t="shared" si="14"/>
        <v>-4564520.2205671966</v>
      </c>
      <c r="J82" s="60">
        <f t="shared" si="14"/>
        <v>9268129.7626135647</v>
      </c>
      <c r="K82" s="60">
        <f t="shared" si="14"/>
        <v>8517925.3092184365</v>
      </c>
      <c r="L82" s="60">
        <f t="shared" si="14"/>
        <v>2524755.5762213618</v>
      </c>
      <c r="M82" s="60">
        <f t="shared" si="14"/>
        <v>-11435947.051929235</v>
      </c>
      <c r="N82" s="60">
        <f t="shared" si="14"/>
        <v>-17499674.62315315</v>
      </c>
      <c r="O82" s="86">
        <f t="shared" si="14"/>
        <v>17801676.954199865</v>
      </c>
      <c r="P82" s="84">
        <f t="shared" ref="P82:P87" si="15">+SUM(D82:O82)</f>
        <v>-86697786.323866025</v>
      </c>
      <c r="Q82" s="2"/>
      <c r="R82" s="89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33" t="str">
        <f>IF(MasterSheet!$A$1=1,MasterSheet!C403,MasterSheet!B403)</f>
        <v>Primarni deficit</v>
      </c>
      <c r="D83" s="60">
        <f t="shared" ref="D83:O83" si="16">+D82+D63</f>
        <v>-329685.87268551392</v>
      </c>
      <c r="E83" s="60">
        <f t="shared" si="16"/>
        <v>-30234420.110000011</v>
      </c>
      <c r="F83" s="60">
        <f t="shared" si="16"/>
        <v>-2490499.6099999836</v>
      </c>
      <c r="G83" s="60">
        <f t="shared" si="16"/>
        <v>-33618394.033112116</v>
      </c>
      <c r="H83" s="60">
        <f t="shared" si="16"/>
        <v>-530505.45467204787</v>
      </c>
      <c r="I83" s="60">
        <f t="shared" si="16"/>
        <v>-164718.11485291179</v>
      </c>
      <c r="J83" s="60">
        <f t="shared" si="16"/>
        <v>13667931.868327849</v>
      </c>
      <c r="K83" s="60">
        <f t="shared" si="16"/>
        <v>12917727.41493272</v>
      </c>
      <c r="L83" s="60">
        <f t="shared" si="16"/>
        <v>6924557.6819356466</v>
      </c>
      <c r="M83" s="60">
        <f t="shared" si="16"/>
        <v>-7036144.9462149506</v>
      </c>
      <c r="N83" s="60">
        <f t="shared" si="16"/>
        <v>-13099872.517438866</v>
      </c>
      <c r="O83" s="86">
        <f t="shared" si="16"/>
        <v>22201479.059914149</v>
      </c>
      <c r="P83" s="84">
        <f t="shared" si="15"/>
        <v>-31792544.633866042</v>
      </c>
      <c r="Q83" s="2"/>
      <c r="R83" s="89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IF(MasterSheet!$A$1=1,MasterSheet!C404,MasterSheet!B404)</f>
        <v>Otplata duga</v>
      </c>
      <c r="D84" s="60">
        <f>+SUM(D85:D88)</f>
        <v>15701160.219999999</v>
      </c>
      <c r="E84" s="60">
        <f t="shared" ref="E84:O84" si="17">+SUM(E85:E88)</f>
        <v>11938455.789999999</v>
      </c>
      <c r="F84" s="60">
        <f t="shared" si="17"/>
        <v>9703814.5700000003</v>
      </c>
      <c r="G84" s="60">
        <f t="shared" si="17"/>
        <v>35322547.710000001</v>
      </c>
      <c r="H84" s="60">
        <f t="shared" si="17"/>
        <v>10712030.08</v>
      </c>
      <c r="I84" s="60">
        <f t="shared" si="17"/>
        <v>19277124.890000001</v>
      </c>
      <c r="J84" s="60">
        <f t="shared" si="17"/>
        <v>17836431.240000002</v>
      </c>
      <c r="K84" s="60">
        <f t="shared" si="17"/>
        <v>6875017.54</v>
      </c>
      <c r="L84" s="60">
        <f t="shared" si="17"/>
        <v>9630017.8300000001</v>
      </c>
      <c r="M84" s="60">
        <f t="shared" si="17"/>
        <v>8290389.5199999996</v>
      </c>
      <c r="N84" s="60">
        <f t="shared" si="17"/>
        <v>6948208.5899999999</v>
      </c>
      <c r="O84" s="86">
        <f t="shared" si="17"/>
        <v>19309526.120000012</v>
      </c>
      <c r="P84" s="84">
        <f>+SUM(D84:O84)</f>
        <v>171544724.10000002</v>
      </c>
      <c r="Q84" s="8"/>
      <c r="R84" s="89"/>
      <c r="S84" s="5"/>
      <c r="T84" s="5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3.5" thickTop="1">
      <c r="A85" s="2"/>
      <c r="B85" s="2"/>
      <c r="C85" s="56" t="str">
        <f>IF(MasterSheet!$A$1=1,MasterSheet!C405,MasterSheet!B405)</f>
        <v>Otplata duga rezidentima</v>
      </c>
      <c r="D85" s="29">
        <v>4367230.4400000004</v>
      </c>
      <c r="E85" s="30">
        <v>5235864.3</v>
      </c>
      <c r="F85" s="30">
        <v>4138404.89</v>
      </c>
      <c r="G85" s="30">
        <v>8806701.6500000004</v>
      </c>
      <c r="H85" s="30">
        <v>8698958</v>
      </c>
      <c r="I85" s="31">
        <v>2255304.21</v>
      </c>
      <c r="J85" s="30">
        <v>2557262.25</v>
      </c>
      <c r="K85" s="31">
        <v>847758.62</v>
      </c>
      <c r="L85" s="31">
        <v>2310313.6</v>
      </c>
      <c r="M85" s="31">
        <v>2623201.64</v>
      </c>
      <c r="N85" s="31">
        <v>863263.65</v>
      </c>
      <c r="O85" s="51">
        <v>6145172.4500000002</v>
      </c>
      <c r="P85" s="32">
        <f t="shared" si="15"/>
        <v>48849435.700000003</v>
      </c>
      <c r="Q85" s="2"/>
      <c r="R85" s="8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>
      <c r="A86" s="2"/>
      <c r="B86" s="2"/>
      <c r="C86" s="56" t="str">
        <f>IF(MasterSheet!$A$1=1,MasterSheet!C406,MasterSheet!B406)</f>
        <v>Otplata duga nerezidentima</v>
      </c>
      <c r="D86" s="29">
        <v>10468608.6</v>
      </c>
      <c r="E86" s="30">
        <v>4137572.64</v>
      </c>
      <c r="F86" s="30">
        <v>2782704.84</v>
      </c>
      <c r="G86" s="30">
        <v>2116906.48</v>
      </c>
      <c r="H86" s="30">
        <v>1830498.99</v>
      </c>
      <c r="I86" s="31">
        <v>11172575</v>
      </c>
      <c r="J86" s="30">
        <v>2629168.9900000002</v>
      </c>
      <c r="K86" s="31">
        <v>928013.22</v>
      </c>
      <c r="L86" s="31">
        <v>3570458.55</v>
      </c>
      <c r="M86" s="31">
        <v>2217942.19</v>
      </c>
      <c r="N86" s="31">
        <v>2735699.26</v>
      </c>
      <c r="O86" s="51">
        <v>9865107.9800000098</v>
      </c>
      <c r="P86" s="67">
        <f t="shared" si="15"/>
        <v>54455256.740000002</v>
      </c>
      <c r="Q86" s="2"/>
      <c r="R86" s="88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>
      <c r="A87" s="2"/>
      <c r="B87" s="2"/>
      <c r="C87" s="56" t="str">
        <f>IF(MasterSheet!$A$1=1,MasterSheet!C407,MasterSheet!B407)</f>
        <v>Otplata obaveza iz prethodnog perioda</v>
      </c>
      <c r="D87" s="29">
        <v>865321.18</v>
      </c>
      <c r="E87" s="30">
        <v>2565018.85</v>
      </c>
      <c r="F87" s="30">
        <v>2782704.84</v>
      </c>
      <c r="G87" s="30">
        <v>971199.4</v>
      </c>
      <c r="H87" s="30">
        <v>182573.09</v>
      </c>
      <c r="I87" s="31">
        <v>5849245.6799999997</v>
      </c>
      <c r="J87" s="30">
        <v>12650000</v>
      </c>
      <c r="K87" s="31">
        <v>5099245.7</v>
      </c>
      <c r="L87" s="31">
        <v>3749245.68</v>
      </c>
      <c r="M87" s="31">
        <v>3449245.69</v>
      </c>
      <c r="N87" s="31">
        <v>3349245.68</v>
      </c>
      <c r="O87" s="51">
        <v>3299245.69</v>
      </c>
      <c r="P87" s="32">
        <f t="shared" si="15"/>
        <v>44812291.479999997</v>
      </c>
      <c r="Q87" s="2"/>
      <c r="R87" s="8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3.5" thickBot="1">
      <c r="A88" s="2"/>
      <c r="B88" s="2"/>
      <c r="C88" s="57" t="str">
        <f>IF(MasterSheet!$A$1=1,MasterSheet!C408,MasterSheet!B408)</f>
        <v>Otplata garancija</v>
      </c>
      <c r="D88" s="29">
        <v>0</v>
      </c>
      <c r="E88" s="30">
        <v>0</v>
      </c>
      <c r="F88" s="30">
        <v>0</v>
      </c>
      <c r="G88" s="30">
        <v>23427740.18</v>
      </c>
      <c r="H88" s="30">
        <v>0</v>
      </c>
      <c r="I88" s="31">
        <v>0</v>
      </c>
      <c r="J88" s="30">
        <v>0</v>
      </c>
      <c r="K88" s="31">
        <v>0</v>
      </c>
      <c r="L88" s="31">
        <v>0</v>
      </c>
      <c r="M88" s="31">
        <v>0</v>
      </c>
      <c r="N88" s="31">
        <v>0</v>
      </c>
      <c r="O88" s="51">
        <v>0</v>
      </c>
      <c r="P88" s="32">
        <f t="shared" ref="P88:P95" si="18">+SUM(D88:O88)</f>
        <v>23427740.18</v>
      </c>
      <c r="Q88" s="2"/>
      <c r="R88" s="8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4.25" thickTop="1" thickBot="1">
      <c r="A89" s="2"/>
      <c r="B89" s="2"/>
      <c r="C89" s="33" t="str">
        <f>IF(MasterSheet!$A$1=1,MasterSheet!C409,MasterSheet!B409)</f>
        <v>Nedostajuća sredstva</v>
      </c>
      <c r="D89" s="60">
        <f t="shared" ref="D89:O89" si="19">+D82-D84</f>
        <v>-19671745.022685513</v>
      </c>
      <c r="E89" s="60">
        <f t="shared" si="19"/>
        <v>-43828140.95000001</v>
      </c>
      <c r="F89" s="60">
        <f t="shared" si="19"/>
        <v>-14845892.399999984</v>
      </c>
      <c r="G89" s="60">
        <f t="shared" si="19"/>
        <v>-83075783.003112108</v>
      </c>
      <c r="H89" s="60">
        <f t="shared" si="19"/>
        <v>-13266579.024672048</v>
      </c>
      <c r="I89" s="60">
        <f t="shared" si="19"/>
        <v>-23841645.110567197</v>
      </c>
      <c r="J89" s="60">
        <f t="shared" si="19"/>
        <v>-8568301.4773864374</v>
      </c>
      <c r="K89" s="60">
        <f t="shared" si="19"/>
        <v>1642907.7692184364</v>
      </c>
      <c r="L89" s="60">
        <f t="shared" si="19"/>
        <v>-7105262.2537786383</v>
      </c>
      <c r="M89" s="60">
        <f t="shared" si="19"/>
        <v>-19726336.571929235</v>
      </c>
      <c r="N89" s="60">
        <f t="shared" si="19"/>
        <v>-24447883.21315315</v>
      </c>
      <c r="O89" s="86">
        <f t="shared" si="19"/>
        <v>-1507849.1658001468</v>
      </c>
      <c r="P89" s="84">
        <f t="shared" si="18"/>
        <v>-258242510.42386606</v>
      </c>
      <c r="Q89" s="2"/>
      <c r="R89" s="89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IF(MasterSheet!$A$1=1,MasterSheet!C410,MasterSheet!B410)</f>
        <v>Finansiranje</v>
      </c>
      <c r="D90" s="60">
        <f>+SUM(D91:D95)</f>
        <v>19671745.022685513</v>
      </c>
      <c r="E90" s="60">
        <f t="shared" ref="E90:O90" si="20">+SUM(E91:E95)</f>
        <v>43828140.95000001</v>
      </c>
      <c r="F90" s="60">
        <f t="shared" si="20"/>
        <v>14845892.399999984</v>
      </c>
      <c r="G90" s="60">
        <f t="shared" si="20"/>
        <v>83075783.003112108</v>
      </c>
      <c r="H90" s="60">
        <f t="shared" si="20"/>
        <v>13266579.024672048</v>
      </c>
      <c r="I90" s="60">
        <f t="shared" si="20"/>
        <v>23841645.110567197</v>
      </c>
      <c r="J90" s="60">
        <f t="shared" si="20"/>
        <v>8568301.4773864299</v>
      </c>
      <c r="K90" s="60">
        <f t="shared" si="20"/>
        <v>-1642907.7692184364</v>
      </c>
      <c r="L90" s="60">
        <f t="shared" si="20"/>
        <v>7105262.2537786383</v>
      </c>
      <c r="M90" s="60">
        <f t="shared" si="20"/>
        <v>19726336.571929235</v>
      </c>
      <c r="N90" s="60">
        <f t="shared" si="20"/>
        <v>24447883.21315315</v>
      </c>
      <c r="O90" s="86">
        <f t="shared" si="20"/>
        <v>1507849.1658001468</v>
      </c>
      <c r="P90" s="84">
        <f t="shared" si="18"/>
        <v>258242510.42386603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3.5" thickTop="1">
      <c r="A91" s="2"/>
      <c r="B91" s="2"/>
      <c r="C91" s="56" t="str">
        <f>IF(MasterSheet!$A$1=1,MasterSheet!C411,MasterSheet!B411)</f>
        <v>Pozajmice i krediti iz domaćih izvora</v>
      </c>
      <c r="D91" s="29">
        <v>9940519.3800000008</v>
      </c>
      <c r="E91" s="30">
        <v>1500000</v>
      </c>
      <c r="F91" s="30">
        <v>5000000</v>
      </c>
      <c r="G91" s="30">
        <v>0</v>
      </c>
      <c r="H91" s="30">
        <v>0</v>
      </c>
      <c r="I91" s="31">
        <v>0</v>
      </c>
      <c r="J91" s="30">
        <v>0</v>
      </c>
      <c r="K91" s="31">
        <v>0</v>
      </c>
      <c r="L91" s="31">
        <v>0</v>
      </c>
      <c r="M91" s="31">
        <v>0</v>
      </c>
      <c r="N91" s="31">
        <v>0</v>
      </c>
      <c r="O91" s="51">
        <v>0</v>
      </c>
      <c r="P91" s="32">
        <f t="shared" si="18"/>
        <v>16440519.380000001</v>
      </c>
      <c r="Q91" s="2"/>
      <c r="R91" s="87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>
      <c r="A92" s="2"/>
      <c r="B92" s="2"/>
      <c r="C92" s="56" t="str">
        <f>IF(MasterSheet!$A$1=1,MasterSheet!C412,MasterSheet!B412)</f>
        <v>Pozajmice i krediti iz inostranih izvora</v>
      </c>
      <c r="D92" s="29">
        <v>17753.55</v>
      </c>
      <c r="E92" s="30">
        <v>59489562.469999999</v>
      </c>
      <c r="F92" s="30">
        <v>308302.08000000002</v>
      </c>
      <c r="G92" s="30">
        <v>98000000</v>
      </c>
      <c r="H92" s="30">
        <v>0</v>
      </c>
      <c r="I92" s="31">
        <v>0</v>
      </c>
      <c r="J92" s="30">
        <v>100000000</v>
      </c>
      <c r="K92" s="31">
        <v>0</v>
      </c>
      <c r="L92" s="31">
        <v>0</v>
      </c>
      <c r="M92" s="31">
        <v>0</v>
      </c>
      <c r="N92" s="31">
        <v>33986892.173866034</v>
      </c>
      <c r="O92" s="51">
        <v>0</v>
      </c>
      <c r="P92" s="32">
        <f t="shared" si="18"/>
        <v>291802510.27386606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IF(MasterSheet!$A$1=1,MasterSheet!C413,MasterSheet!B413)</f>
        <v>Donacije</v>
      </c>
      <c r="D93" s="29">
        <v>0</v>
      </c>
      <c r="E93" s="30">
        <v>0</v>
      </c>
      <c r="F93" s="30">
        <v>0</v>
      </c>
      <c r="G93" s="30">
        <v>0</v>
      </c>
      <c r="H93" s="30">
        <v>0</v>
      </c>
      <c r="I93" s="31">
        <v>0</v>
      </c>
      <c r="J93" s="30">
        <v>0</v>
      </c>
      <c r="K93" s="31">
        <v>0</v>
      </c>
      <c r="L93" s="31">
        <v>0</v>
      </c>
      <c r="M93" s="31">
        <v>0</v>
      </c>
      <c r="N93" s="31">
        <v>0</v>
      </c>
      <c r="O93" s="51">
        <v>0</v>
      </c>
      <c r="P93" s="32">
        <f t="shared" si="18"/>
        <v>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IF(MasterSheet!$A$1=1,MasterSheet!C414,MasterSheet!B414)</f>
        <v>Prihodi od privatizacije</v>
      </c>
      <c r="D94" s="29">
        <v>103661.6</v>
      </c>
      <c r="E94" s="31">
        <v>231003.75</v>
      </c>
      <c r="F94" s="31">
        <v>52105.86</v>
      </c>
      <c r="G94" s="30">
        <v>1068136.5322222221</v>
      </c>
      <c r="H94" s="30">
        <v>1068136.5322222221</v>
      </c>
      <c r="I94" s="31">
        <v>1068136.5322222221</v>
      </c>
      <c r="J94" s="30">
        <v>1068136.5322222221</v>
      </c>
      <c r="K94" s="31">
        <v>1068136.5322222221</v>
      </c>
      <c r="L94" s="31">
        <v>1068136.5322222221</v>
      </c>
      <c r="M94" s="31">
        <v>1068136.5322222221</v>
      </c>
      <c r="N94" s="31">
        <v>1068136.5322222221</v>
      </c>
      <c r="O94" s="51">
        <v>1068136.5322222221</v>
      </c>
      <c r="P94" s="32">
        <f t="shared" si="18"/>
        <v>10000000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3.5" thickBot="1">
      <c r="A95" s="2"/>
      <c r="B95" s="2"/>
      <c r="C95" s="59" t="str">
        <f>IF(MasterSheet!$A$1=1,MasterSheet!C415,MasterSheet!B415)</f>
        <v>Povećanje/smanjenje depozita</v>
      </c>
      <c r="D95" s="44">
        <f>-D89-SUM(D91:D94)</f>
        <v>9609810.4926855117</v>
      </c>
      <c r="E95" s="46">
        <f t="shared" ref="E95:O95" si="21">-E89-SUM(E91:E94)</f>
        <v>-17392425.269999988</v>
      </c>
      <c r="F95" s="46">
        <f t="shared" si="21"/>
        <v>9485484.4599999823</v>
      </c>
      <c r="G95" s="66">
        <f t="shared" si="21"/>
        <v>-15992353.529110119</v>
      </c>
      <c r="H95" s="66">
        <f t="shared" si="21"/>
        <v>12198442.492449826</v>
      </c>
      <c r="I95" s="66">
        <f t="shared" si="21"/>
        <v>22773508.578344975</v>
      </c>
      <c r="J95" s="66">
        <f t="shared" si="21"/>
        <v>-92499835.054835796</v>
      </c>
      <c r="K95" s="66">
        <f t="shared" si="21"/>
        <v>-2711044.3014406585</v>
      </c>
      <c r="L95" s="66">
        <f t="shared" si="21"/>
        <v>6037125.7215564158</v>
      </c>
      <c r="M95" s="66">
        <f t="shared" si="21"/>
        <v>18658200.039707012</v>
      </c>
      <c r="N95" s="66">
        <f t="shared" si="21"/>
        <v>-10607145.492935102</v>
      </c>
      <c r="O95" s="52">
        <f t="shared" si="21"/>
        <v>439712.63357792469</v>
      </c>
      <c r="P95" s="83">
        <f t="shared" si="18"/>
        <v>-60000519.230000019</v>
      </c>
      <c r="Q95" s="55"/>
      <c r="R95" s="6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Top="1">
      <c r="A96" s="2"/>
      <c r="B96" s="2"/>
      <c r="C96" s="54" t="str">
        <f>IF(MasterSheet!$A$1=1,MasterSheet!C416,MasterSheet!B416)</f>
        <v>Izvor: Ministarstvo finansija Crne Gore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1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</sheetData>
  <sheetProtection formatCells="0" formatColumns="0" formatRows="0" sort="0" autoFilter="0" pivotTables="0"/>
  <mergeCells count="5">
    <mergeCell ref="G8:I8"/>
    <mergeCell ref="F9:J9"/>
    <mergeCell ref="D14:P14"/>
    <mergeCell ref="C17:C18"/>
    <mergeCell ref="D17:P1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L154"/>
  <sheetViews>
    <sheetView topLeftCell="A10" zoomScale="85" zoomScaleNormal="85" workbookViewId="0">
      <selection activeCell="AA42" sqref="AA42:AA44"/>
    </sheetView>
  </sheetViews>
  <sheetFormatPr defaultRowHeight="12.75"/>
  <cols>
    <col min="1" max="1" width="9.140625" style="18" customWidth="1"/>
    <col min="2" max="2" width="1.7109375" style="18" customWidth="1"/>
    <col min="3" max="3" width="40.7109375" style="18" customWidth="1"/>
    <col min="4" max="4" width="7.5703125" style="18" bestFit="1" customWidth="1"/>
    <col min="5" max="5" width="9" style="18" customWidth="1"/>
    <col min="6" max="6" width="7.5703125" style="18" bestFit="1" customWidth="1"/>
    <col min="7" max="13" width="8.7109375" style="18" customWidth="1"/>
    <col min="14" max="14" width="8.42578125" style="18" customWidth="1"/>
    <col min="15" max="15" width="9.42578125" style="18" customWidth="1"/>
    <col min="16" max="16" width="10.140625" style="18" customWidth="1"/>
    <col min="17" max="17" width="7.42578125" style="18" customWidth="1"/>
    <col min="18" max="18" width="8.7109375" style="18" customWidth="1"/>
    <col min="19" max="19" width="7.42578125" style="18" customWidth="1"/>
    <col min="20" max="20" width="8.7109375" style="18" customWidth="1"/>
    <col min="21" max="21" width="7.42578125" style="18" customWidth="1"/>
    <col min="22" max="22" width="9.85546875" style="18" customWidth="1"/>
    <col min="23" max="23" width="7.42578125" style="18" customWidth="1"/>
    <col min="24" max="24" width="7.5703125" style="18" customWidth="1"/>
    <col min="25" max="25" width="7.42578125" style="18" customWidth="1"/>
    <col min="26" max="26" width="7.5703125" style="18" customWidth="1"/>
    <col min="27" max="27" width="7.42578125" style="18" customWidth="1"/>
    <col min="28" max="52" width="10.7109375" style="18" customWidth="1"/>
    <col min="53" max="53" width="13.85546875" style="164" customWidth="1"/>
    <col min="54" max="55" width="48.28515625" style="18" customWidth="1"/>
    <col min="56" max="131" width="9.140625" style="18" customWidth="1"/>
    <col min="132" max="132" width="12.7109375" style="18" customWidth="1"/>
    <col min="133" max="133" width="11.85546875" style="18" customWidth="1"/>
    <col min="134" max="139" width="9.140625" style="18" customWidth="1"/>
    <col min="140" max="140" width="9.140625" style="18" hidden="1" customWidth="1"/>
    <col min="141" max="141" width="10" style="18" hidden="1" customWidth="1"/>
    <col min="142" max="146" width="9.140625" style="18" hidden="1" customWidth="1"/>
    <col min="147" max="180" width="9.140625" style="18" customWidth="1"/>
    <col min="181" max="181" width="9.140625" style="18"/>
    <col min="182" max="182" width="11" style="18" bestFit="1" customWidth="1"/>
    <col min="183" max="183" width="17.42578125" style="18" bestFit="1" customWidth="1"/>
    <col min="184" max="184" width="9.140625" style="18"/>
    <col min="185" max="187" width="9.140625" style="18" hidden="1" customWidth="1"/>
    <col min="188" max="188" width="17.42578125" style="165" hidden="1" customWidth="1"/>
    <col min="189" max="189" width="9.140625" style="18" hidden="1" customWidth="1"/>
    <col min="190" max="190" width="11.5703125" style="18" hidden="1" customWidth="1"/>
    <col min="191" max="192" width="9.140625" style="18" hidden="1" customWidth="1"/>
    <col min="193" max="203" width="0" style="18" hidden="1" customWidth="1"/>
    <col min="204" max="205" width="9.140625" style="18"/>
    <col min="206" max="206" width="0" style="18" hidden="1" customWidth="1"/>
    <col min="207" max="16384" width="9.140625" style="18"/>
  </cols>
  <sheetData>
    <row r="1" spans="1:246">
      <c r="A1" s="5"/>
      <c r="B1" s="5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03"/>
      <c r="O1" s="603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BA1" s="18"/>
      <c r="BC1" s="164"/>
      <c r="GF1" s="18"/>
      <c r="GH1" s="165"/>
    </row>
    <row r="2" spans="1:246" ht="15" customHeight="1">
      <c r="A2" s="5"/>
      <c r="B2" s="5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627"/>
      <c r="O2" s="627"/>
      <c r="P2" s="11"/>
      <c r="Q2" s="11"/>
      <c r="R2" s="11"/>
      <c r="S2" s="11"/>
      <c r="T2" s="11"/>
      <c r="U2" s="11"/>
      <c r="V2" s="11"/>
      <c r="W2" s="11"/>
      <c r="X2" s="166"/>
      <c r="Y2" s="167"/>
      <c r="Z2" s="167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4"/>
      <c r="GF2" s="18"/>
      <c r="GH2" s="165"/>
    </row>
    <row r="3" spans="1:2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0"/>
      <c r="O3" s="100"/>
      <c r="P3" s="5"/>
      <c r="Q3" s="10"/>
      <c r="R3" s="10"/>
      <c r="S3" s="5"/>
      <c r="T3" s="5"/>
      <c r="U3" s="5"/>
      <c r="V3" s="5"/>
      <c r="W3" s="5"/>
      <c r="X3" s="5"/>
      <c r="Y3" s="5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64"/>
      <c r="GF3" s="18"/>
      <c r="GH3" s="172"/>
    </row>
    <row r="4" spans="1:2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3"/>
      <c r="O4" s="101"/>
      <c r="P4" s="5"/>
      <c r="Q4" s="10"/>
      <c r="R4" s="10"/>
      <c r="S4" s="5"/>
      <c r="T4" s="5"/>
      <c r="U4" s="5"/>
      <c r="V4" s="5"/>
      <c r="W4" s="5"/>
      <c r="X4" s="5"/>
      <c r="Y4" s="5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3"/>
      <c r="AZ4" s="173"/>
      <c r="BA4" s="173"/>
      <c r="BB4" s="173"/>
      <c r="BC4" s="174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75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</row>
    <row r="5" spans="1:2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3"/>
      <c r="O5" s="101"/>
      <c r="P5" s="5"/>
      <c r="Q5" s="10"/>
      <c r="R5" s="10"/>
      <c r="S5" s="5"/>
      <c r="T5" s="5"/>
      <c r="U5" s="5"/>
      <c r="V5" s="5"/>
      <c r="W5" s="5"/>
      <c r="X5" s="5"/>
      <c r="Y5" s="5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3"/>
      <c r="AZ5" s="173"/>
      <c r="BA5" s="173"/>
      <c r="BB5" s="173"/>
      <c r="BC5" s="174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75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</row>
    <row r="6" spans="1:2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02"/>
      <c r="O6" s="103"/>
      <c r="P6" s="10"/>
      <c r="Q6" s="10"/>
      <c r="R6" s="10"/>
      <c r="S6" s="5"/>
      <c r="T6" s="5"/>
      <c r="U6" s="5"/>
      <c r="V6" s="5"/>
      <c r="W6" s="5"/>
      <c r="X6" s="5"/>
      <c r="Y6" s="5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3"/>
      <c r="AZ6" s="173"/>
      <c r="BA6" s="173"/>
      <c r="BB6" s="173"/>
      <c r="BC6" s="174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75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</row>
    <row r="7" spans="1:246" ht="15">
      <c r="A7" s="5"/>
      <c r="B7" s="5"/>
      <c r="C7" s="5"/>
      <c r="D7" s="5"/>
      <c r="E7" s="5"/>
      <c r="F7" s="5"/>
      <c r="G7" s="5"/>
      <c r="H7" s="5"/>
      <c r="I7" s="574" t="str">
        <f>IF(MasterSheet!$A$1=1, MasterSheet!C5,MasterSheet!B5)</f>
        <v>CRNA GORA</v>
      </c>
      <c r="J7" s="574"/>
      <c r="K7" s="574"/>
      <c r="L7" s="4"/>
      <c r="M7" s="4"/>
      <c r="N7" s="5"/>
      <c r="O7" s="10"/>
      <c r="P7" s="10"/>
      <c r="Q7" s="5"/>
      <c r="R7" s="5"/>
      <c r="S7" s="5"/>
      <c r="T7" s="5"/>
      <c r="U7" s="5"/>
      <c r="V7" s="5"/>
      <c r="W7" s="5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3"/>
      <c r="AX7" s="173"/>
      <c r="AY7" s="173"/>
      <c r="AZ7" s="173"/>
      <c r="BA7" s="174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75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</row>
    <row r="8" spans="1:246" ht="15">
      <c r="A8" s="5"/>
      <c r="B8" s="5"/>
      <c r="C8" s="5"/>
      <c r="D8" s="5"/>
      <c r="E8" s="5"/>
      <c r="F8" s="5"/>
      <c r="G8" s="5"/>
      <c r="H8" s="574" t="str">
        <f>IF(MasterSheet!$A$1=1,MasterSheet!C6,MasterSheet!B6)</f>
        <v>MINISTARSTVO FINANSIJA</v>
      </c>
      <c r="I8" s="574"/>
      <c r="J8" s="574"/>
      <c r="K8" s="574"/>
      <c r="L8" s="574"/>
      <c r="M8" s="7"/>
      <c r="N8" s="5"/>
      <c r="O8" s="10"/>
      <c r="P8" s="10"/>
      <c r="Q8" s="5"/>
      <c r="R8" s="5"/>
      <c r="S8" s="5"/>
      <c r="T8" s="5"/>
      <c r="U8" s="5"/>
      <c r="V8" s="5"/>
      <c r="W8" s="5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3"/>
      <c r="AX8" s="173"/>
      <c r="AY8" s="173"/>
      <c r="AZ8" s="173"/>
      <c r="BA8" s="174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75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</row>
    <row r="9" spans="1:246" ht="15">
      <c r="A9" s="5"/>
      <c r="B9" s="5"/>
      <c r="C9" s="10"/>
      <c r="D9" s="5"/>
      <c r="E9" s="5"/>
      <c r="F9" s="5"/>
      <c r="G9" s="5"/>
      <c r="H9" s="5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3"/>
      <c r="AX9" s="173"/>
      <c r="AY9" s="173"/>
      <c r="AZ9" s="173"/>
      <c r="BA9" s="174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75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</row>
    <row r="10" spans="1:2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3"/>
      <c r="AX10" s="173"/>
      <c r="AY10" s="173"/>
      <c r="AZ10" s="173"/>
      <c r="BA10" s="174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75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</row>
    <row r="11" spans="1:24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3"/>
      <c r="AX11" s="173"/>
      <c r="AY11" s="173"/>
      <c r="AZ11" s="173"/>
      <c r="BA11" s="174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75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</row>
    <row r="12" spans="1:24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3"/>
      <c r="AX12" s="173"/>
      <c r="AY12" s="173"/>
      <c r="AZ12" s="173"/>
      <c r="BA12" s="174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75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</row>
    <row r="13" spans="1:24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3"/>
      <c r="AX13" s="173"/>
      <c r="AY13" s="173"/>
      <c r="AZ13" s="173"/>
      <c r="BA13" s="174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75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</row>
    <row r="14" spans="1:246" ht="13.5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3"/>
      <c r="AX14" s="173"/>
      <c r="AY14" s="173"/>
      <c r="AZ14" s="173"/>
      <c r="BA14" s="174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75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</row>
    <row r="15" spans="1:246" ht="16.5" customHeight="1" thickTop="1" thickBot="1">
      <c r="A15" s="5"/>
      <c r="B15" s="5"/>
      <c r="C15" s="92" t="s">
        <v>407</v>
      </c>
      <c r="D15" s="617">
        <v>3149000000</v>
      </c>
      <c r="E15" s="618"/>
      <c r="F15" s="619">
        <f>+'2013 - execution'!D14</f>
        <v>3335900000</v>
      </c>
      <c r="G15" s="620"/>
      <c r="H15" s="619">
        <f>+'2014 - plan'!D14</f>
        <v>3516000000</v>
      </c>
      <c r="I15" s="620">
        <v>0</v>
      </c>
      <c r="J15" s="619">
        <v>3730000000</v>
      </c>
      <c r="K15" s="620"/>
      <c r="L15" s="619">
        <v>3968000000</v>
      </c>
      <c r="M15" s="620"/>
      <c r="N15" s="5"/>
      <c r="O15" s="5"/>
      <c r="P15" s="10"/>
      <c r="Q15" s="5"/>
      <c r="R15" s="5"/>
      <c r="S15" s="5"/>
      <c r="T15" s="5"/>
      <c r="U15" s="5"/>
      <c r="V15" s="5"/>
      <c r="W15" s="5"/>
      <c r="X15" s="170"/>
      <c r="Y15" s="170"/>
      <c r="Z15" s="12"/>
      <c r="AA15" s="12"/>
      <c r="AB15" s="12"/>
      <c r="AC15" s="12"/>
      <c r="AD15" s="12"/>
      <c r="AE15" s="12"/>
      <c r="AF15" s="12"/>
      <c r="AG15" s="12"/>
      <c r="AH15" s="12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4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75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</row>
    <row r="16" spans="1:246" ht="16.5" customHeight="1" thickTop="1">
      <c r="A16" s="5"/>
      <c r="B16" s="5"/>
      <c r="C16" s="16"/>
      <c r="D16" s="17"/>
      <c r="E16" s="17"/>
      <c r="F16" s="14"/>
      <c r="G16" s="209"/>
      <c r="H16" s="209"/>
      <c r="I16" s="209"/>
      <c r="J16" s="209"/>
      <c r="K16" s="14"/>
      <c r="L16" s="14"/>
      <c r="M16" s="14"/>
      <c r="N16" s="5"/>
      <c r="O16" s="5"/>
      <c r="P16" s="5"/>
      <c r="Q16" s="5"/>
      <c r="R16" s="5"/>
      <c r="S16" s="5"/>
      <c r="T16" s="5"/>
      <c r="U16" s="5"/>
      <c r="V16" s="5"/>
      <c r="W16" s="5"/>
      <c r="X16" s="170"/>
      <c r="Y16" s="170"/>
      <c r="Z16" s="12"/>
      <c r="AA16" s="12"/>
      <c r="AB16" s="12"/>
      <c r="AC16" s="12"/>
      <c r="AD16" s="12"/>
      <c r="AE16" s="12"/>
      <c r="AF16" s="12"/>
      <c r="AG16" s="12"/>
      <c r="AH16" s="12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4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75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</row>
    <row r="17" spans="1:244" ht="17.25" customHeight="1" thickBot="1">
      <c r="A17" s="5"/>
      <c r="B17" s="13"/>
      <c r="C17" s="177"/>
      <c r="D17" s="207"/>
      <c r="E17" s="177"/>
      <c r="F17" s="208"/>
      <c r="G17" s="206"/>
      <c r="H17" s="206"/>
      <c r="I17" s="206"/>
      <c r="J17" s="210"/>
      <c r="K17" s="210"/>
      <c r="L17" s="163"/>
      <c r="M17" s="163"/>
      <c r="N17" s="5"/>
      <c r="O17" s="5"/>
      <c r="P17" s="5"/>
      <c r="Q17" s="5"/>
      <c r="R17" s="5"/>
      <c r="S17" s="5"/>
      <c r="T17" s="5"/>
      <c r="U17" s="5"/>
      <c r="V17" s="5"/>
      <c r="W17" s="5"/>
      <c r="X17" s="170"/>
      <c r="Y17" s="170"/>
      <c r="Z17" s="163"/>
      <c r="AA17" s="163"/>
      <c r="AB17" s="163"/>
      <c r="AC17" s="163"/>
      <c r="AD17" s="163"/>
      <c r="AE17" s="163"/>
      <c r="AF17" s="163"/>
      <c r="AG17" s="163"/>
      <c r="AH17" s="163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4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75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</row>
    <row r="18" spans="1:244" ht="17.25" customHeight="1" thickTop="1">
      <c r="A18" s="5"/>
      <c r="B18" s="13"/>
      <c r="C18" s="609" t="str">
        <f>IF(MasterSheet!$A$1=1,MasterSheet!C435,MasterSheet!B435)</f>
        <v>Stanje javnog duga, na kraju perioda</v>
      </c>
      <c r="D18" s="604" t="s">
        <v>389</v>
      </c>
      <c r="E18" s="604"/>
      <c r="F18" s="604" t="s">
        <v>398</v>
      </c>
      <c r="G18" s="604"/>
      <c r="H18" s="604">
        <v>2014</v>
      </c>
      <c r="I18" s="604"/>
      <c r="J18" s="604">
        <v>2015</v>
      </c>
      <c r="K18" s="604"/>
      <c r="L18" s="604">
        <v>2016</v>
      </c>
      <c r="M18" s="604"/>
      <c r="N18" s="5"/>
      <c r="O18" s="5"/>
      <c r="P18" s="5"/>
      <c r="Q18" s="5"/>
      <c r="R18" s="5"/>
      <c r="S18" s="5"/>
      <c r="T18" s="5"/>
      <c r="U18" s="5"/>
      <c r="V18" s="5"/>
      <c r="W18" s="5"/>
      <c r="X18" s="170"/>
      <c r="Y18" s="170"/>
      <c r="Z18" s="163"/>
      <c r="AA18" s="163"/>
      <c r="AB18" s="163"/>
      <c r="AC18" s="163"/>
      <c r="AD18" s="163"/>
      <c r="AE18" s="163"/>
      <c r="AF18" s="163"/>
      <c r="AG18" s="163"/>
      <c r="AH18" s="163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4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75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</row>
    <row r="19" spans="1:244" ht="16.5" customHeight="1" thickBot="1">
      <c r="A19" s="5"/>
      <c r="B19" s="5"/>
      <c r="C19" s="610"/>
      <c r="D19" s="96" t="str">
        <f>IF(MasterSheet!$A$1=1,MasterSheet!C258,MasterSheet!C257)</f>
        <v>mil. €</v>
      </c>
      <c r="E19" s="97" t="str">
        <f>IF(MasterSheet!$A$1=1,MasterSheet!D258,MasterSheet!D257)</f>
        <v xml:space="preserve"> % BDP</v>
      </c>
      <c r="F19" s="96" t="str">
        <f>IF(MasterSheet!$A$1=1,MasterSheet!E258,MasterSheet!E257)</f>
        <v>mil. €</v>
      </c>
      <c r="G19" s="97" t="str">
        <f>IF(MasterSheet!$A$1=1,MasterSheet!F258,MasterSheet!F257)</f>
        <v xml:space="preserve"> % BDP</v>
      </c>
      <c r="H19" s="96" t="str">
        <f>IF(MasterSheet!$A$1=1,MasterSheet!G258,MasterSheet!G257)</f>
        <v>mil. €</v>
      </c>
      <c r="I19" s="97" t="str">
        <f>IF(MasterSheet!$A$1=1,MasterSheet!H258,MasterSheet!H257)</f>
        <v xml:space="preserve"> % BDP</v>
      </c>
      <c r="J19" s="96" t="s">
        <v>153</v>
      </c>
      <c r="K19" s="97" t="s">
        <v>154</v>
      </c>
      <c r="L19" s="96" t="s">
        <v>153</v>
      </c>
      <c r="M19" s="97" t="s">
        <v>154</v>
      </c>
      <c r="N19" s="5"/>
      <c r="O19" s="10"/>
      <c r="P19" s="10"/>
      <c r="Q19" s="5"/>
      <c r="R19" s="5"/>
      <c r="S19" s="5"/>
      <c r="T19" s="5"/>
      <c r="U19" s="5"/>
      <c r="V19" s="5"/>
      <c r="W19" s="5"/>
      <c r="X19" s="170"/>
      <c r="Y19" s="170"/>
      <c r="Z19" s="100"/>
      <c r="AA19" s="100"/>
      <c r="AB19" s="100"/>
      <c r="AC19" s="100"/>
      <c r="AD19" s="100"/>
      <c r="AE19" s="100"/>
      <c r="AF19" s="100"/>
      <c r="AG19" s="100"/>
      <c r="AH19" s="100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4"/>
      <c r="BB19" s="625"/>
      <c r="BC19" s="626"/>
      <c r="BD19" s="626"/>
      <c r="BE19" s="626"/>
      <c r="BF19" s="626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75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</row>
    <row r="20" spans="1:244" ht="15" customHeight="1" thickTop="1" thickBot="1">
      <c r="A20" s="5"/>
      <c r="B20" s="5"/>
      <c r="C20" s="93" t="str">
        <f>IF(MasterSheet!$A$1=1,MasterSheet!$C$437,MasterSheet!$B$437)</f>
        <v>Ukupno javni dug</v>
      </c>
      <c r="D20" s="94">
        <f>SUM(D21:D22)</f>
        <v>1699500000</v>
      </c>
      <c r="E20" s="95">
        <f>D20/$D$15*100</f>
        <v>53.969514131470305</v>
      </c>
      <c r="F20" s="94">
        <f>+R31</f>
        <v>1873150000</v>
      </c>
      <c r="G20" s="157">
        <f t="shared" ref="G20:G22" si="0">+S31</f>
        <v>56.151263527084147</v>
      </c>
      <c r="H20" s="155">
        <v>2001300000</v>
      </c>
      <c r="I20" s="154">
        <f>+H20/H$15*100</f>
        <v>56.919795221843003</v>
      </c>
      <c r="J20" s="155">
        <v>2064000000</v>
      </c>
      <c r="K20" s="154">
        <f>+J20/J$15*100</f>
        <v>55.335120643431637</v>
      </c>
      <c r="L20" s="155">
        <v>2091600000</v>
      </c>
      <c r="M20" s="154">
        <f>+L20/L$15*100</f>
        <v>52.711693548387096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170"/>
      <c r="Y20" s="170"/>
      <c r="Z20" s="101"/>
      <c r="AA20" s="101"/>
      <c r="AB20" s="101"/>
      <c r="AC20" s="101"/>
      <c r="AD20" s="101"/>
      <c r="AE20" s="101"/>
      <c r="AF20" s="101"/>
      <c r="AG20" s="101"/>
      <c r="AH20" s="101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74"/>
      <c r="BB20" s="181"/>
      <c r="BC20" s="182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83"/>
      <c r="FW20" s="150"/>
      <c r="FX20" s="150"/>
      <c r="FY20" s="150"/>
      <c r="FZ20" s="150"/>
      <c r="GA20" s="150"/>
      <c r="GB20" s="150"/>
      <c r="GC20" s="150"/>
      <c r="GD20" s="150"/>
      <c r="GE20" s="150"/>
      <c r="GF20" s="175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</row>
    <row r="21" spans="1:244" ht="15" customHeight="1" thickTop="1">
      <c r="A21" s="5"/>
      <c r="B21" s="5"/>
      <c r="C21" s="104" t="str">
        <f>IF(MasterSheet!$A$1=1,MasterSheet!$C$438,MasterSheet!$B$438)</f>
        <v>Dug prema rezidentima</v>
      </c>
      <c r="D21" s="23">
        <v>404500000</v>
      </c>
      <c r="E21" s="22">
        <f>D21/$D$15*100</f>
        <v>12.845347729437917</v>
      </c>
      <c r="F21" s="152">
        <f t="shared" ref="F21:F22" si="1">+R32</f>
        <v>440130000</v>
      </c>
      <c r="G21" s="203">
        <f t="shared" si="0"/>
        <v>13.193740819568934</v>
      </c>
      <c r="H21" s="204">
        <v>388600000</v>
      </c>
      <c r="I21" s="203">
        <f t="shared" ref="I21:K22" si="2">+H21/H$15*100</f>
        <v>11.052332195676906</v>
      </c>
      <c r="J21" s="204">
        <v>332100000</v>
      </c>
      <c r="K21" s="203">
        <f t="shared" si="2"/>
        <v>8.9034852546916881</v>
      </c>
      <c r="L21" s="204">
        <v>282600000</v>
      </c>
      <c r="M21" s="200">
        <f t="shared" ref="M21" si="3">+L21/L$15*100</f>
        <v>7.1219758064516121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170"/>
      <c r="Y21" s="170"/>
      <c r="Z21" s="101"/>
      <c r="AA21" s="101"/>
      <c r="AB21" s="101"/>
      <c r="AC21" s="101"/>
      <c r="AD21" s="101"/>
      <c r="AE21" s="101"/>
      <c r="AF21" s="101"/>
      <c r="AG21" s="101"/>
      <c r="AH21" s="101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74"/>
      <c r="BB21" s="184"/>
      <c r="BC21" s="182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85"/>
      <c r="GB21" s="150"/>
      <c r="GC21" s="150"/>
      <c r="GD21" s="150"/>
      <c r="GE21" s="150"/>
      <c r="GF21" s="175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  <c r="II21" s="150"/>
      <c r="IJ21" s="150"/>
    </row>
    <row r="22" spans="1:244" ht="15" customHeight="1" thickBot="1">
      <c r="A22" s="5"/>
      <c r="B22" s="5"/>
      <c r="C22" s="91" t="str">
        <f>IF(MasterSheet!$A$1=1,MasterSheet!$C$439,MasterSheet!B439)</f>
        <v>Dug prema nerezidentima</v>
      </c>
      <c r="D22" s="90">
        <v>1295000000</v>
      </c>
      <c r="E22" s="140">
        <f>D22/$D$15*100</f>
        <v>41.124166402032394</v>
      </c>
      <c r="F22" s="153">
        <f t="shared" si="1"/>
        <v>1433020000</v>
      </c>
      <c r="G22" s="205">
        <f t="shared" si="0"/>
        <v>42.95752270751521</v>
      </c>
      <c r="H22" s="162">
        <v>1612700000</v>
      </c>
      <c r="I22" s="205">
        <f t="shared" si="2"/>
        <v>45.867463026166099</v>
      </c>
      <c r="J22" s="162">
        <v>1731900000</v>
      </c>
      <c r="K22" s="205">
        <f t="shared" si="2"/>
        <v>46.431635388739942</v>
      </c>
      <c r="L22" s="162">
        <v>1809000000</v>
      </c>
      <c r="M22" s="201">
        <f t="shared" ref="M22" si="4">+L22/L$15*100</f>
        <v>45.58971774193548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170"/>
      <c r="Y22" s="170"/>
      <c r="Z22" s="103"/>
      <c r="AA22" s="103"/>
      <c r="AB22" s="103"/>
      <c r="AC22" s="103"/>
      <c r="AD22" s="103"/>
      <c r="AE22" s="103"/>
      <c r="AF22" s="103"/>
      <c r="AG22" s="103"/>
      <c r="AH22" s="103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74"/>
      <c r="BB22" s="187"/>
      <c r="BC22" s="187"/>
      <c r="BD22" s="150"/>
      <c r="BE22" s="188"/>
      <c r="BF22" s="188"/>
      <c r="BG22" s="188"/>
      <c r="BH22" s="188"/>
      <c r="BI22" s="188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75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</row>
    <row r="23" spans="1:244" ht="15" customHeight="1" thickTop="1">
      <c r="A23" s="5"/>
      <c r="B23" s="5"/>
      <c r="C23" s="53" t="str">
        <f>IF(MasterSheet!$A$1=1,MasterSheet!$C$328,MasterSheet!$B$328)</f>
        <v>Izvor: Ministarstvo finansija Crne Gore</v>
      </c>
      <c r="D23" s="189"/>
      <c r="E23" s="142"/>
      <c r="F23" s="189"/>
      <c r="G23" s="142"/>
      <c r="H23" s="189"/>
      <c r="I23" s="142"/>
      <c r="J23" s="189"/>
      <c r="K23" s="142"/>
      <c r="L23" s="142"/>
      <c r="M23" s="142"/>
      <c r="N23" s="5"/>
      <c r="O23" s="10"/>
      <c r="P23" s="10" t="s">
        <v>397</v>
      </c>
      <c r="Q23" s="5"/>
      <c r="R23" s="5"/>
      <c r="S23" s="5"/>
      <c r="T23" s="5"/>
      <c r="U23" s="5"/>
      <c r="V23" s="5"/>
      <c r="W23" s="5"/>
      <c r="X23" s="170"/>
      <c r="Y23" s="170"/>
      <c r="Z23" s="142"/>
      <c r="AA23" s="142"/>
      <c r="AB23" s="142"/>
      <c r="AC23" s="142"/>
      <c r="AD23" s="142"/>
      <c r="AE23" s="142"/>
      <c r="AF23" s="142"/>
      <c r="AG23" s="142"/>
      <c r="AH23" s="142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1"/>
      <c r="AX23" s="191"/>
      <c r="AY23" s="191"/>
      <c r="AZ23" s="191"/>
      <c r="BA23" s="174"/>
      <c r="BB23" s="192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150"/>
      <c r="GE23" s="150"/>
      <c r="GF23" s="175"/>
      <c r="GG23" s="150"/>
      <c r="GH23" s="150"/>
      <c r="GI23" s="150"/>
      <c r="GJ23" s="150"/>
      <c r="GK23" s="150"/>
      <c r="GL23" s="150"/>
      <c r="GM23" s="150"/>
      <c r="GN23" s="150"/>
      <c r="GO23" s="150"/>
      <c r="GP23" s="150"/>
      <c r="GQ23" s="150"/>
      <c r="GR23" s="150"/>
      <c r="GS23" s="150"/>
      <c r="GT23" s="150"/>
      <c r="GU23" s="150"/>
      <c r="GV23" s="150"/>
      <c r="GW23" s="150"/>
      <c r="GX23" s="150"/>
      <c r="GY23" s="150"/>
      <c r="GZ23" s="150"/>
      <c r="HA23" s="150"/>
      <c r="HB23" s="150"/>
      <c r="HC23" s="150"/>
      <c r="HD23" s="150"/>
      <c r="HE23" s="150"/>
      <c r="HF23" s="150"/>
      <c r="HG23" s="150"/>
      <c r="HH23" s="150"/>
      <c r="HI23" s="150"/>
      <c r="HJ23" s="150"/>
      <c r="HK23" s="150"/>
      <c r="HL23" s="150"/>
      <c r="HM23" s="150"/>
      <c r="HN23" s="150"/>
      <c r="HO23" s="150"/>
      <c r="HP23" s="150"/>
      <c r="HQ23" s="150"/>
      <c r="HR23" s="150"/>
      <c r="HS23" s="150"/>
      <c r="HT23" s="150"/>
      <c r="HU23" s="150"/>
      <c r="HV23" s="150"/>
      <c r="HW23" s="150"/>
      <c r="HX23" s="150"/>
      <c r="HY23" s="150"/>
      <c r="HZ23" s="150"/>
      <c r="IA23" s="150"/>
      <c r="IB23" s="150"/>
      <c r="IC23" s="150"/>
      <c r="ID23" s="150"/>
      <c r="IE23" s="150"/>
      <c r="IF23" s="150"/>
      <c r="IG23" s="150"/>
      <c r="IH23" s="150"/>
      <c r="II23" s="150"/>
      <c r="IJ23" s="150"/>
    </row>
    <row r="24" spans="1:244" ht="15" customHeight="1">
      <c r="A24" s="5"/>
      <c r="B24" s="5"/>
      <c r="C24" s="193"/>
      <c r="D24" s="194"/>
      <c r="E24" s="194"/>
      <c r="F24" s="194"/>
      <c r="G24" s="194"/>
      <c r="H24" s="5"/>
      <c r="I24" s="142"/>
      <c r="J24" s="5"/>
      <c r="K24" s="142"/>
      <c r="L24" s="142"/>
      <c r="M24" s="195"/>
      <c r="N24" s="5"/>
      <c r="O24" s="142"/>
      <c r="P24" s="85"/>
      <c r="Q24" s="195"/>
      <c r="R24" s="5"/>
      <c r="S24" s="142"/>
      <c r="T24" s="5"/>
      <c r="U24" s="142"/>
      <c r="V24" s="5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1"/>
      <c r="AX24" s="191"/>
      <c r="AY24" s="191"/>
      <c r="AZ24" s="191"/>
      <c r="BA24" s="174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75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  <c r="GR24" s="150"/>
      <c r="GS24" s="150"/>
      <c r="GT24" s="150"/>
      <c r="GU24" s="150"/>
      <c r="GV24" s="150"/>
      <c r="GW24" s="150"/>
      <c r="GX24" s="150"/>
      <c r="GY24" s="150"/>
      <c r="GZ24" s="150"/>
      <c r="HA24" s="150"/>
      <c r="HB24" s="150"/>
      <c r="HC24" s="150"/>
      <c r="HD24" s="150"/>
      <c r="HE24" s="150"/>
      <c r="HF24" s="150"/>
      <c r="HG24" s="150"/>
      <c r="HH24" s="150"/>
      <c r="HI24" s="150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0"/>
      <c r="HU24" s="150"/>
      <c r="HV24" s="150"/>
      <c r="HW24" s="150"/>
      <c r="HX24" s="150"/>
      <c r="HY24" s="150"/>
      <c r="HZ24" s="150"/>
      <c r="IA24" s="150"/>
      <c r="IB24" s="150"/>
      <c r="IC24" s="150"/>
      <c r="ID24" s="150"/>
      <c r="IE24" s="150"/>
      <c r="IF24" s="150"/>
      <c r="IG24" s="150"/>
      <c r="IH24" s="150"/>
      <c r="II24" s="150"/>
      <c r="IJ24" s="150"/>
    </row>
    <row r="25" spans="1:244" ht="15" customHeight="1">
      <c r="A25" s="5"/>
      <c r="B25" s="5"/>
      <c r="C25" s="196"/>
      <c r="D25" s="195"/>
      <c r="E25" s="10"/>
      <c r="F25" s="195"/>
      <c r="G25" s="10"/>
      <c r="H25" s="195"/>
      <c r="I25" s="10"/>
      <c r="J25" s="195"/>
      <c r="K25" s="10"/>
      <c r="L25" s="10"/>
      <c r="M25" s="10"/>
      <c r="N25" s="195"/>
      <c r="O25" s="10"/>
      <c r="P25" s="195"/>
      <c r="Q25" s="10"/>
      <c r="R25" s="195"/>
      <c r="S25" s="10"/>
      <c r="T25" s="195"/>
      <c r="U25" s="10"/>
      <c r="V25" s="195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74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75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  <c r="IF25" s="150"/>
      <c r="IG25" s="150"/>
      <c r="IH25" s="150"/>
      <c r="II25" s="150"/>
      <c r="IJ25" s="150"/>
    </row>
    <row r="26" spans="1:244" ht="15" customHeight="1">
      <c r="A26" s="5"/>
      <c r="B26" s="5"/>
      <c r="C26" s="19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75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  <c r="IB26" s="150"/>
      <c r="IC26" s="150"/>
      <c r="ID26" s="150"/>
      <c r="IE26" s="150"/>
      <c r="IF26" s="150"/>
      <c r="IG26" s="150"/>
      <c r="IH26" s="150"/>
      <c r="II26" s="150"/>
      <c r="IJ26" s="150"/>
    </row>
    <row r="27" spans="1:244" ht="15" customHeight="1" thickBot="1">
      <c r="A27" s="5"/>
      <c r="B27" s="5"/>
      <c r="C27" s="196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75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</row>
    <row r="28" spans="1:244" ht="15" customHeight="1" thickTop="1">
      <c r="A28" s="5"/>
      <c r="B28" s="5"/>
      <c r="C28" s="611" t="str">
        <f>IF(MasterSheet!$A$1=1,MasterSheet!B442,MasterSheet!B441)</f>
        <v>Stanje javnog duga, kvartalno</v>
      </c>
      <c r="D28" s="622">
        <v>2012</v>
      </c>
      <c r="E28" s="623"/>
      <c r="F28" s="623"/>
      <c r="G28" s="623"/>
      <c r="H28" s="623"/>
      <c r="I28" s="623"/>
      <c r="J28" s="623"/>
      <c r="K28" s="623"/>
      <c r="L28" s="622">
        <v>2013</v>
      </c>
      <c r="M28" s="623"/>
      <c r="N28" s="623"/>
      <c r="O28" s="623"/>
      <c r="P28" s="623"/>
      <c r="Q28" s="623"/>
      <c r="R28" s="623"/>
      <c r="S28" s="624"/>
      <c r="T28" s="602"/>
      <c r="U28" s="603"/>
      <c r="V28" s="603"/>
      <c r="W28" s="603"/>
      <c r="X28" s="603"/>
      <c r="Y28" s="603"/>
      <c r="Z28" s="603"/>
      <c r="AA28" s="603"/>
      <c r="AB28" s="89"/>
      <c r="AC28" s="89"/>
      <c r="AD28" s="89"/>
      <c r="AE28" s="89"/>
      <c r="AF28" s="89"/>
      <c r="AG28" s="89"/>
      <c r="AH28" s="89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74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75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</row>
    <row r="29" spans="1:244" ht="15" customHeight="1">
      <c r="A29" s="5"/>
      <c r="B29" s="5"/>
      <c r="C29" s="612"/>
      <c r="D29" s="615" t="str">
        <f>IF(MasterSheet!$A$1=1,MasterSheet!$C$442,MasterSheet!$C$441)</f>
        <v>I kvartal</v>
      </c>
      <c r="E29" s="616"/>
      <c r="F29" s="615" t="str">
        <f>IF(MasterSheet!$A$1=1,MasterSheet!$D$442,MasterSheet!$D$441)</f>
        <v>II kvartal</v>
      </c>
      <c r="G29" s="616"/>
      <c r="H29" s="615" t="str">
        <f>IF(MasterSheet!$A$1=1,MasterSheet!$E$442,MasterSheet!$E$441)</f>
        <v>III kvartal</v>
      </c>
      <c r="I29" s="616"/>
      <c r="J29" s="615" t="str">
        <f>IF(MasterSheet!$A$1=1,MasterSheet!$F$442,MasterSheet!$F$441)</f>
        <v>IV kvartal</v>
      </c>
      <c r="K29" s="616"/>
      <c r="L29" s="615" t="str">
        <f>IF(MasterSheet!$A$1=1,MasterSheet!$C$442,MasterSheet!$C$441)</f>
        <v>I kvartal</v>
      </c>
      <c r="M29" s="616"/>
      <c r="N29" s="615" t="str">
        <f>IF(MasterSheet!$A$1=1,MasterSheet!$D$442,MasterSheet!$D$441)</f>
        <v>II kvartal</v>
      </c>
      <c r="O29" s="616"/>
      <c r="P29" s="615" t="str">
        <f>IF(MasterSheet!$A$1=1,MasterSheet!$E$442,MasterSheet!$E$441)</f>
        <v>III kvartal</v>
      </c>
      <c r="Q29" s="616"/>
      <c r="R29" s="615" t="str">
        <f>IF(MasterSheet!$A$1=1,MasterSheet!$F$442,MasterSheet!$F$441)</f>
        <v>IV kvartal</v>
      </c>
      <c r="S29" s="621"/>
      <c r="T29" s="605"/>
      <c r="U29" s="606"/>
      <c r="V29" s="606"/>
      <c r="W29" s="606"/>
      <c r="X29" s="606"/>
      <c r="Y29" s="606"/>
      <c r="Z29" s="606"/>
      <c r="AA29" s="606"/>
      <c r="AB29" s="89"/>
      <c r="AC29" s="89"/>
      <c r="AD29" s="89"/>
      <c r="AE29" s="89"/>
      <c r="AF29" s="89"/>
      <c r="AG29" s="89"/>
      <c r="AH29" s="89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74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75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  <c r="IB29" s="150"/>
      <c r="IC29" s="150"/>
      <c r="ID29" s="150"/>
      <c r="IE29" s="150"/>
      <c r="IF29" s="150"/>
      <c r="IG29" s="150"/>
      <c r="IH29" s="150"/>
      <c r="II29" s="150"/>
      <c r="IJ29" s="150"/>
    </row>
    <row r="30" spans="1:244" ht="15" customHeight="1" thickBot="1">
      <c r="A30" s="5"/>
      <c r="B30" s="5"/>
      <c r="C30" s="613"/>
      <c r="D30" s="98" t="str">
        <f>IF(MasterSheet!$A$1=1,MasterSheet!$C$258,MasterSheet!$C$257)</f>
        <v>mil. €</v>
      </c>
      <c r="E30" s="99" t="str">
        <f>IF(MasterSheet!$A$1=1,MasterSheet!$D$258,MasterSheet!$D$257)</f>
        <v xml:space="preserve"> % BDP</v>
      </c>
      <c r="F30" s="98" t="str">
        <f>IF(MasterSheet!$A$1=1,MasterSheet!$C$258,MasterSheet!$C$257)</f>
        <v>mil. €</v>
      </c>
      <c r="G30" s="99" t="str">
        <f>IF(MasterSheet!$A$1=1,MasterSheet!$D$258,MasterSheet!$D$257)</f>
        <v xml:space="preserve"> % BDP</v>
      </c>
      <c r="H30" s="98" t="str">
        <f>IF(MasterSheet!$A$1=1,MasterSheet!$C$258,MasterSheet!$C$257)</f>
        <v>mil. €</v>
      </c>
      <c r="I30" s="99" t="str">
        <f>IF(MasterSheet!$A$1=1,MasterSheet!$D$258,MasterSheet!$D$257)</f>
        <v xml:space="preserve"> % BDP</v>
      </c>
      <c r="J30" s="98" t="str">
        <f>IF(MasterSheet!$A$1=1,MasterSheet!$C$258,MasterSheet!$C$257)</f>
        <v>mil. €</v>
      </c>
      <c r="K30" s="158" t="str">
        <f>IF(MasterSheet!$A$1=1,MasterSheet!$D$258,MasterSheet!$D$257)</f>
        <v xml:space="preserve"> % BDP</v>
      </c>
      <c r="L30" s="98" t="str">
        <f>IF(MasterSheet!$A$1=1,MasterSheet!$C$258,MasterSheet!$C$257)</f>
        <v>mil. €</v>
      </c>
      <c r="M30" s="99" t="str">
        <f>IF(MasterSheet!$A$1=1,MasterSheet!$D$258,MasterSheet!$D$257)</f>
        <v xml:space="preserve"> % BDP</v>
      </c>
      <c r="N30" s="98" t="str">
        <f>IF(MasterSheet!$A$1=1,MasterSheet!$C$258,MasterSheet!$C$257)</f>
        <v>mil. €</v>
      </c>
      <c r="O30" s="99" t="str">
        <f>IF(MasterSheet!$A$1=1,MasterSheet!$D$258,MasterSheet!$D$257)</f>
        <v xml:space="preserve"> % BDP</v>
      </c>
      <c r="P30" s="98" t="str">
        <f>IF(MasterSheet!$A$1=1,MasterSheet!$C$258,MasterSheet!$C$257)</f>
        <v>mil. €</v>
      </c>
      <c r="Q30" s="99" t="str">
        <f>IF(MasterSheet!$A$1=1,MasterSheet!$D$258,MasterSheet!$D$257)</f>
        <v xml:space="preserve"> % BDP</v>
      </c>
      <c r="R30" s="98" t="str">
        <f>IF(MasterSheet!$A$1=1,MasterSheet!$C$258,MasterSheet!$C$257)</f>
        <v>mil. €</v>
      </c>
      <c r="S30" s="99" t="str">
        <f>IF(MasterSheet!$A$1=1,MasterSheet!$D$258,MasterSheet!$D$257)</f>
        <v xml:space="preserve"> % BDP</v>
      </c>
      <c r="T30" s="202"/>
      <c r="U30" s="100"/>
      <c r="V30" s="100"/>
      <c r="W30" s="100"/>
      <c r="X30" s="100"/>
      <c r="Y30" s="100"/>
      <c r="Z30" s="100"/>
      <c r="AA30" s="100"/>
      <c r="AB30" s="89"/>
      <c r="AC30" s="89"/>
      <c r="AD30" s="89"/>
      <c r="AE30" s="89"/>
      <c r="AF30" s="89"/>
      <c r="AG30" s="89"/>
      <c r="AH30" s="89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74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0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75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  <c r="GR30" s="150"/>
      <c r="GS30" s="150"/>
      <c r="GT30" s="150"/>
      <c r="GU30" s="150"/>
      <c r="GV30" s="150"/>
      <c r="GW30" s="150"/>
      <c r="GX30" s="150"/>
      <c r="GY30" s="150"/>
      <c r="GZ30" s="150"/>
      <c r="HA30" s="150"/>
      <c r="HB30" s="150"/>
      <c r="HC30" s="150"/>
      <c r="HD30" s="150"/>
      <c r="HE30" s="150"/>
      <c r="HF30" s="150"/>
      <c r="HG30" s="150"/>
      <c r="HH30" s="150"/>
      <c r="HI30" s="150"/>
      <c r="HJ30" s="150"/>
      <c r="HK30" s="150"/>
      <c r="HL30" s="150"/>
      <c r="HM30" s="150"/>
      <c r="HN30" s="150"/>
      <c r="HO30" s="150"/>
      <c r="HP30" s="150"/>
      <c r="HQ30" s="150"/>
      <c r="HR30" s="150"/>
      <c r="HS30" s="150"/>
      <c r="HT30" s="150"/>
      <c r="HU30" s="150"/>
      <c r="HV30" s="150"/>
      <c r="HW30" s="150"/>
      <c r="HX30" s="150"/>
      <c r="HY30" s="150"/>
      <c r="HZ30" s="150"/>
      <c r="IA30" s="150"/>
      <c r="IB30" s="150"/>
      <c r="IC30" s="150"/>
      <c r="ID30" s="150"/>
      <c r="IE30" s="150"/>
      <c r="IF30" s="150"/>
      <c r="IG30" s="150"/>
      <c r="IH30" s="150"/>
      <c r="II30" s="150"/>
      <c r="IJ30" s="150"/>
    </row>
    <row r="31" spans="1:244" ht="15" customHeight="1" thickTop="1" thickBot="1">
      <c r="A31" s="5"/>
      <c r="B31" s="5"/>
      <c r="C31" s="93" t="str">
        <f>IF(MasterSheet!$A$1=1,MasterSheet!$C$437,MasterSheet!$B$437)</f>
        <v>Ukupno javni dug</v>
      </c>
      <c r="D31" s="151">
        <f>SUM(D32:D33)</f>
        <v>1534800000</v>
      </c>
      <c r="E31" s="154">
        <f>D31/$D$15*100</f>
        <v>48.739282311845031</v>
      </c>
      <c r="F31" s="151">
        <f>SUM(F32:F33)</f>
        <v>1629600000</v>
      </c>
      <c r="G31" s="154">
        <f>F31/$D$15*100</f>
        <v>51.749761829152106</v>
      </c>
      <c r="H31" s="151">
        <f>SUM(H32:H33)</f>
        <v>1707200000</v>
      </c>
      <c r="I31" s="154">
        <f>H31/$D$15*100</f>
        <v>54.214036201968874</v>
      </c>
      <c r="J31" s="151">
        <f>SUM(J32:J33)</f>
        <v>1699500000</v>
      </c>
      <c r="K31" s="159">
        <f>J31/$D$15*100</f>
        <v>53.969514131470305</v>
      </c>
      <c r="L31" s="155">
        <v>1755700000</v>
      </c>
      <c r="M31" s="154">
        <f>+L31/$F$15*100</f>
        <v>52.630474534608354</v>
      </c>
      <c r="N31" s="155">
        <v>1760900000</v>
      </c>
      <c r="O31" s="154">
        <f>+N31/$F$15*100</f>
        <v>52.786354507029586</v>
      </c>
      <c r="P31" s="155">
        <v>1846500000</v>
      </c>
      <c r="Q31" s="154">
        <f>+P31/$F$15*100</f>
        <v>55.352378668425317</v>
      </c>
      <c r="R31" s="155">
        <v>1873150000</v>
      </c>
      <c r="S31" s="154">
        <f>+R31/$F$15*100</f>
        <v>56.151263527084147</v>
      </c>
      <c r="T31" s="61"/>
      <c r="U31" s="101"/>
      <c r="V31" s="63"/>
      <c r="W31" s="101"/>
      <c r="X31" s="63"/>
      <c r="Y31" s="101"/>
      <c r="Z31" s="63"/>
      <c r="AA31" s="101"/>
      <c r="AB31" s="89"/>
      <c r="AC31" s="89"/>
      <c r="AD31" s="89"/>
      <c r="AE31" s="89"/>
      <c r="AF31" s="89"/>
      <c r="AG31" s="89"/>
      <c r="AH31" s="89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74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75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</row>
    <row r="32" spans="1:244" ht="15" customHeight="1" thickTop="1">
      <c r="A32" s="5"/>
      <c r="B32" s="5"/>
      <c r="C32" s="104" t="str">
        <f>IF(MasterSheet!$A$1=1,MasterSheet!$C$438,MasterSheet!$B$438)</f>
        <v>Dug prema rezidentima</v>
      </c>
      <c r="D32" s="23">
        <v>426500000</v>
      </c>
      <c r="E32" s="200">
        <f t="shared" ref="E32:E33" si="5">D32/$D$15*100</f>
        <v>13.543982216576692</v>
      </c>
      <c r="F32" s="23">
        <v>424100000</v>
      </c>
      <c r="G32" s="200">
        <f t="shared" ref="G32:G33" si="6">F32/$D$15*100</f>
        <v>13.46776754525246</v>
      </c>
      <c r="H32" s="23">
        <v>399600000</v>
      </c>
      <c r="I32" s="200">
        <f t="shared" ref="I32:I33" si="7">H32/$D$15*100</f>
        <v>12.68974277548428</v>
      </c>
      <c r="J32" s="23">
        <f>+D21</f>
        <v>404500000</v>
      </c>
      <c r="K32" s="200">
        <f t="shared" ref="K32:K33" si="8">J32/$D$15*100</f>
        <v>12.845347729437917</v>
      </c>
      <c r="L32" s="23">
        <v>420300000</v>
      </c>
      <c r="M32" s="200">
        <f t="shared" ref="M32:O33" si="9">+L32/$F$15*100</f>
        <v>12.599298540124105</v>
      </c>
      <c r="N32" s="23">
        <v>442700000</v>
      </c>
      <c r="O32" s="200">
        <f t="shared" si="9"/>
        <v>13.27078149824635</v>
      </c>
      <c r="P32" s="23">
        <v>480900000</v>
      </c>
      <c r="Q32" s="200">
        <f t="shared" ref="Q32" si="10">+P32/$F$15*100</f>
        <v>14.415899757186967</v>
      </c>
      <c r="R32" s="23">
        <v>440130000</v>
      </c>
      <c r="S32" s="200">
        <f t="shared" ref="S32" si="11">+R32/$F$15*100</f>
        <v>13.193740819568934</v>
      </c>
      <c r="T32" s="161"/>
      <c r="U32" s="103"/>
      <c r="V32" s="102"/>
      <c r="W32" s="103"/>
      <c r="X32" s="102"/>
      <c r="Y32" s="103"/>
      <c r="Z32" s="102"/>
      <c r="AA32" s="103"/>
      <c r="AB32" s="89"/>
      <c r="AC32" s="89"/>
      <c r="AD32" s="89"/>
      <c r="AE32" s="89"/>
      <c r="AF32" s="89"/>
      <c r="AG32" s="89"/>
      <c r="AH32" s="89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74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75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  <c r="IB32" s="150"/>
      <c r="IC32" s="150"/>
      <c r="ID32" s="150"/>
      <c r="IE32" s="150"/>
      <c r="IF32" s="150"/>
      <c r="IG32" s="150"/>
      <c r="IH32" s="150"/>
      <c r="II32" s="150"/>
      <c r="IJ32" s="150"/>
    </row>
    <row r="33" spans="1:244" ht="15" customHeight="1" thickBot="1">
      <c r="A33" s="5"/>
      <c r="B33" s="5"/>
      <c r="C33" s="156" t="str">
        <f>IF(MasterSheet!$A$1=1,MasterSheet!$C$439,MasterSheet!B439)</f>
        <v>Dug prema nerezidentima</v>
      </c>
      <c r="D33" s="90">
        <v>1108300000</v>
      </c>
      <c r="E33" s="201">
        <f t="shared" si="5"/>
        <v>35.195300095268337</v>
      </c>
      <c r="F33" s="90">
        <v>1205500000</v>
      </c>
      <c r="G33" s="201">
        <f t="shared" si="6"/>
        <v>38.28199428389965</v>
      </c>
      <c r="H33" s="90">
        <v>1307600000</v>
      </c>
      <c r="I33" s="201">
        <f t="shared" si="7"/>
        <v>41.524293426484597</v>
      </c>
      <c r="J33" s="90">
        <f>+D22</f>
        <v>1295000000</v>
      </c>
      <c r="K33" s="201">
        <f t="shared" si="8"/>
        <v>41.124166402032394</v>
      </c>
      <c r="L33" s="90">
        <v>1335400000</v>
      </c>
      <c r="M33" s="201">
        <f t="shared" si="9"/>
        <v>40.031175994484244</v>
      </c>
      <c r="N33" s="90">
        <v>1318200000</v>
      </c>
      <c r="O33" s="201">
        <f t="shared" si="9"/>
        <v>39.515573008783242</v>
      </c>
      <c r="P33" s="90">
        <v>1365600000</v>
      </c>
      <c r="Q33" s="201">
        <f t="shared" ref="Q33" si="12">+P33/$F$15*100</f>
        <v>40.936478911238346</v>
      </c>
      <c r="R33" s="90">
        <v>1433020000</v>
      </c>
      <c r="S33" s="201">
        <f t="shared" ref="S33" si="13">+R33/$F$15*100</f>
        <v>42.95752270751521</v>
      </c>
      <c r="T33" s="161"/>
      <c r="U33" s="103"/>
      <c r="V33" s="102"/>
      <c r="W33" s="103"/>
      <c r="X33" s="102"/>
      <c r="Y33" s="103"/>
      <c r="Z33" s="102"/>
      <c r="AA33" s="103"/>
      <c r="AB33" s="89"/>
      <c r="AC33" s="89"/>
      <c r="AD33" s="89"/>
      <c r="AE33" s="89"/>
      <c r="AF33" s="89"/>
      <c r="AG33" s="89"/>
      <c r="AH33" s="89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74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75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  <c r="GR33" s="150"/>
      <c r="GS33" s="150"/>
      <c r="GT33" s="150"/>
      <c r="GU33" s="150"/>
      <c r="GV33" s="150"/>
      <c r="GW33" s="150"/>
      <c r="GX33" s="150"/>
      <c r="GY33" s="150"/>
      <c r="GZ33" s="150"/>
      <c r="HA33" s="150"/>
      <c r="HB33" s="150"/>
      <c r="HC33" s="150"/>
      <c r="HD33" s="150"/>
      <c r="HE33" s="150"/>
      <c r="HF33" s="150"/>
      <c r="HG33" s="150"/>
      <c r="HH33" s="150"/>
      <c r="HI33" s="150"/>
      <c r="HJ33" s="150"/>
      <c r="HK33" s="150"/>
      <c r="HL33" s="150"/>
      <c r="HM33" s="150"/>
      <c r="HN33" s="150"/>
      <c r="HO33" s="150"/>
      <c r="HP33" s="150"/>
      <c r="HQ33" s="150"/>
      <c r="HR33" s="150"/>
      <c r="HS33" s="150"/>
      <c r="HT33" s="150"/>
      <c r="HU33" s="150"/>
      <c r="HV33" s="150"/>
      <c r="HW33" s="150"/>
      <c r="HX33" s="150"/>
      <c r="HY33" s="150"/>
      <c r="HZ33" s="150"/>
      <c r="IA33" s="150"/>
      <c r="IB33" s="150"/>
      <c r="IC33" s="150"/>
      <c r="ID33" s="150"/>
      <c r="IE33" s="150"/>
      <c r="IF33" s="150"/>
      <c r="IG33" s="150"/>
      <c r="IH33" s="150"/>
      <c r="II33" s="150"/>
      <c r="IJ33" s="150"/>
    </row>
    <row r="34" spans="1:244" ht="15" customHeight="1" thickTop="1">
      <c r="A34" s="5"/>
      <c r="B34" s="5"/>
      <c r="C34" s="53" t="str">
        <f>IF(MasterSheet!$A$1=1,MasterSheet!$C$328,MasterSheet!$B$328)</f>
        <v>Izvor: Ministarstvo finansija Crne Gore</v>
      </c>
      <c r="D34" s="189"/>
      <c r="E34" s="142"/>
      <c r="F34" s="189"/>
      <c r="G34" s="142"/>
      <c r="H34" s="189"/>
      <c r="I34" s="142"/>
      <c r="J34" s="189"/>
      <c r="K34" s="142"/>
      <c r="L34" s="142"/>
      <c r="M34" s="142"/>
      <c r="N34" s="189"/>
      <c r="O34" s="142"/>
      <c r="P34" s="189"/>
      <c r="Q34" s="142"/>
      <c r="R34" s="189"/>
      <c r="S34" s="142"/>
      <c r="T34" s="189"/>
      <c r="U34" s="142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74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75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  <c r="HZ34" s="150"/>
      <c r="IA34" s="150"/>
      <c r="IB34" s="150"/>
      <c r="IC34" s="150"/>
      <c r="ID34" s="150"/>
      <c r="IE34" s="150"/>
      <c r="IF34" s="150"/>
      <c r="IG34" s="150"/>
      <c r="IH34" s="150"/>
      <c r="II34" s="150"/>
      <c r="IJ34" s="150"/>
    </row>
    <row r="35" spans="1:244" ht="15" customHeight="1">
      <c r="A35" s="5"/>
      <c r="B35" s="5"/>
      <c r="C35" s="196"/>
      <c r="D35" s="194"/>
      <c r="E35" s="194"/>
      <c r="F35" s="194"/>
      <c r="G35" s="194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74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75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</row>
    <row r="36" spans="1:244" ht="15" customHeight="1">
      <c r="A36" s="5"/>
      <c r="B36" s="5"/>
      <c r="C36" s="19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74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75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  <c r="GR36" s="150"/>
      <c r="GS36" s="150"/>
      <c r="GT36" s="150"/>
      <c r="GU36" s="150"/>
      <c r="GV36" s="150"/>
      <c r="GW36" s="150"/>
      <c r="GX36" s="150"/>
      <c r="GY36" s="150"/>
      <c r="GZ36" s="150"/>
      <c r="HA36" s="150"/>
      <c r="HB36" s="150"/>
      <c r="HC36" s="150"/>
      <c r="HD36" s="150"/>
      <c r="HE36" s="150"/>
      <c r="HF36" s="150"/>
      <c r="HG36" s="150"/>
      <c r="HH36" s="150"/>
      <c r="HI36" s="150"/>
      <c r="HJ36" s="150"/>
      <c r="HK36" s="150"/>
      <c r="HL36" s="150"/>
      <c r="HM36" s="150"/>
      <c r="HN36" s="150"/>
      <c r="HO36" s="150"/>
      <c r="HP36" s="150"/>
      <c r="HQ36" s="150"/>
      <c r="HR36" s="150"/>
      <c r="HS36" s="150"/>
      <c r="HT36" s="150"/>
      <c r="HU36" s="150"/>
      <c r="HV36" s="150"/>
      <c r="HW36" s="150"/>
      <c r="HX36" s="150"/>
      <c r="HY36" s="150"/>
      <c r="HZ36" s="150"/>
      <c r="IA36" s="150"/>
      <c r="IB36" s="150"/>
      <c r="IC36" s="150"/>
      <c r="ID36" s="150"/>
      <c r="IE36" s="150"/>
      <c r="IF36" s="150"/>
      <c r="IG36" s="150"/>
      <c r="IH36" s="150"/>
      <c r="II36" s="150"/>
      <c r="IJ36" s="150"/>
    </row>
    <row r="37" spans="1:244" ht="15" customHeight="1">
      <c r="A37" s="5"/>
      <c r="B37" s="5"/>
      <c r="C37" s="19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74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75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</row>
    <row r="38" spans="1:244" ht="15" customHeight="1" thickBot="1">
      <c r="A38" s="5"/>
      <c r="B38" s="5"/>
      <c r="C38" s="19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74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75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</row>
    <row r="39" spans="1:244" ht="15" customHeight="1" thickTop="1" thickBot="1">
      <c r="A39" s="5"/>
      <c r="B39" s="5"/>
      <c r="C39" s="611" t="str">
        <f>IF(MasterSheet!$A$1=1,MasterSheet!B444,MasterSheet!B443)</f>
        <v>Stanje javnog duga, po mjesecima</v>
      </c>
      <c r="D39" s="599">
        <v>2014</v>
      </c>
      <c r="E39" s="600"/>
      <c r="F39" s="600"/>
      <c r="G39" s="600"/>
      <c r="H39" s="600"/>
      <c r="I39" s="600"/>
      <c r="J39" s="600"/>
      <c r="K39" s="600"/>
      <c r="L39" s="600"/>
      <c r="M39" s="600"/>
      <c r="N39" s="600"/>
      <c r="O39" s="600"/>
      <c r="P39" s="600"/>
      <c r="Q39" s="600"/>
      <c r="R39" s="600"/>
      <c r="S39" s="600"/>
      <c r="T39" s="600"/>
      <c r="U39" s="600"/>
      <c r="V39" s="600"/>
      <c r="W39" s="600"/>
      <c r="X39" s="600"/>
      <c r="Y39" s="600"/>
      <c r="Z39" s="600"/>
      <c r="AA39" s="601"/>
      <c r="AB39" s="10"/>
      <c r="AC39" s="10"/>
      <c r="AD39" s="10"/>
      <c r="AE39" s="10"/>
      <c r="AF39" s="10"/>
      <c r="AG39" s="10"/>
      <c r="AH39" s="1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74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75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</row>
    <row r="40" spans="1:244" ht="15" customHeight="1" thickTop="1">
      <c r="A40" s="5"/>
      <c r="B40" s="5"/>
      <c r="C40" s="612"/>
      <c r="D40" s="607" t="str">
        <f>'2013 - plan'!D18</f>
        <v>Januar</v>
      </c>
      <c r="E40" s="608"/>
      <c r="F40" s="607" t="str">
        <f>'2013 - plan'!E18</f>
        <v>Februar</v>
      </c>
      <c r="G40" s="614"/>
      <c r="H40" s="607" t="str">
        <f>'2013 - plan'!F18</f>
        <v>Mart</v>
      </c>
      <c r="I40" s="614"/>
      <c r="J40" s="607" t="str">
        <f>'2013 - plan'!G18</f>
        <v>April</v>
      </c>
      <c r="K40" s="614"/>
      <c r="L40" s="607" t="str">
        <f>'2013 - plan'!H18</f>
        <v>Maj</v>
      </c>
      <c r="M40" s="614"/>
      <c r="N40" s="607" t="str">
        <f>'2013 - plan'!I18</f>
        <v>Jun</v>
      </c>
      <c r="O40" s="614"/>
      <c r="P40" s="607" t="str">
        <f>'2013 - plan'!J18</f>
        <v>Jul</v>
      </c>
      <c r="Q40" s="614"/>
      <c r="R40" s="607" t="str">
        <f>'2013 - plan'!K18</f>
        <v>Avgust</v>
      </c>
      <c r="S40" s="614"/>
      <c r="T40" s="607" t="str">
        <f>'2013 - plan'!L18</f>
        <v>Septembar</v>
      </c>
      <c r="U40" s="614"/>
      <c r="V40" s="597" t="str">
        <f>'2013 - plan'!M18</f>
        <v>Oktobar</v>
      </c>
      <c r="W40" s="598"/>
      <c r="X40" s="597" t="str">
        <f>'2013 - plan'!N18</f>
        <v>Novembar</v>
      </c>
      <c r="Y40" s="598"/>
      <c r="Z40" s="597" t="str">
        <f>'2013 - plan'!O18</f>
        <v>Decembar</v>
      </c>
      <c r="AA40" s="598"/>
      <c r="AB40" s="10"/>
      <c r="AC40" s="10"/>
      <c r="AD40" s="10"/>
      <c r="AE40" s="10"/>
      <c r="AF40" s="10"/>
      <c r="AG40" s="10"/>
      <c r="AH40" s="1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74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75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</row>
    <row r="41" spans="1:244" ht="15" customHeight="1" thickBot="1">
      <c r="A41" s="5"/>
      <c r="B41" s="5"/>
      <c r="C41" s="613"/>
      <c r="D41" s="98" t="str">
        <f>IF(MasterSheet!$A$1=1,MasterSheet!$C$258,MasterSheet!$C$257)</f>
        <v>mil. €</v>
      </c>
      <c r="E41" s="99" t="str">
        <f>IF(MasterSheet!$A$1=1,MasterSheet!$D$258,MasterSheet!$D$257)</f>
        <v xml:space="preserve"> % BDP</v>
      </c>
      <c r="F41" s="98" t="str">
        <f>IF(MasterSheet!$A$1=1,MasterSheet!$C$258,MasterSheet!$C$257)</f>
        <v>mil. €</v>
      </c>
      <c r="G41" s="99" t="str">
        <f>IF(MasterSheet!$A$1=1,MasterSheet!$D$258,MasterSheet!$D$257)</f>
        <v xml:space="preserve"> % BDP</v>
      </c>
      <c r="H41" s="98" t="str">
        <f>IF(MasterSheet!$A$1=1,MasterSheet!$C$258,MasterSheet!$C$257)</f>
        <v>mil. €</v>
      </c>
      <c r="I41" s="99" t="str">
        <f>IF(MasterSheet!$A$1=1,MasterSheet!$D$258,MasterSheet!$D$257)</f>
        <v xml:space="preserve"> % BDP</v>
      </c>
      <c r="J41" s="98" t="str">
        <f>IF(MasterSheet!$A$1=1,MasterSheet!$C$258,MasterSheet!$C$257)</f>
        <v>mil. €</v>
      </c>
      <c r="K41" s="99" t="str">
        <f>IF(MasterSheet!$A$1=1,MasterSheet!$D$258,MasterSheet!$D$257)</f>
        <v xml:space="preserve"> % BDP</v>
      </c>
      <c r="L41" s="98" t="str">
        <f>IF(MasterSheet!$A$1=1,MasterSheet!$C$258,MasterSheet!$C$257)</f>
        <v>mil. €</v>
      </c>
      <c r="M41" s="99" t="str">
        <f>IF(MasterSheet!$A$1=1,MasterSheet!$D$258,MasterSheet!$D$257)</f>
        <v xml:space="preserve"> % BDP</v>
      </c>
      <c r="N41" s="98" t="str">
        <f>IF(MasterSheet!$A$1=1,MasterSheet!$C$258,MasterSheet!$C$257)</f>
        <v>mil. €</v>
      </c>
      <c r="O41" s="99" t="str">
        <f>IF(MasterSheet!$A$1=1,MasterSheet!$D$258,MasterSheet!$D$257)</f>
        <v xml:space="preserve"> % BDP</v>
      </c>
      <c r="P41" s="98" t="str">
        <f>IF(MasterSheet!$A$1=1,MasterSheet!$C$258,MasterSheet!$C$257)</f>
        <v>mil. €</v>
      </c>
      <c r="Q41" s="99" t="str">
        <f>IF(MasterSheet!$A$1=1,MasterSheet!$D$258,MasterSheet!$D$257)</f>
        <v xml:space="preserve"> % BDP</v>
      </c>
      <c r="R41" s="98" t="str">
        <f>IF(MasterSheet!$A$1=1,MasterSheet!$C$258,MasterSheet!$C$257)</f>
        <v>mil. €</v>
      </c>
      <c r="S41" s="99" t="str">
        <f>IF(MasterSheet!$A$1=1,MasterSheet!$D$258,MasterSheet!$D$257)</f>
        <v xml:space="preserve"> % BDP</v>
      </c>
      <c r="T41" s="98" t="str">
        <f>IF(MasterSheet!$A$1=1,MasterSheet!$C$258,MasterSheet!$C$257)</f>
        <v>mil. €</v>
      </c>
      <c r="U41" s="99" t="str">
        <f>IF(MasterSheet!$A$1=1,MasterSheet!$D$258,MasterSheet!$D$257)</f>
        <v xml:space="preserve"> % BDP</v>
      </c>
      <c r="V41" s="98" t="str">
        <f>IF(MasterSheet!$A$1=1,MasterSheet!$C$258,MasterSheet!$C$257)</f>
        <v>mil. €</v>
      </c>
      <c r="W41" s="99" t="str">
        <f>IF(MasterSheet!$A$1=1,MasterSheet!$D$258,MasterSheet!$D$257)</f>
        <v xml:space="preserve"> % BDP</v>
      </c>
      <c r="X41" s="98" t="str">
        <f>IF(MasterSheet!$A$1=1,MasterSheet!$C$258,MasterSheet!$C$257)</f>
        <v>mil. €</v>
      </c>
      <c r="Y41" s="99" t="str">
        <f>IF(MasterSheet!$A$1=1,MasterSheet!$D$258,MasterSheet!$D$257)</f>
        <v xml:space="preserve"> % BDP</v>
      </c>
      <c r="Z41" s="98" t="str">
        <f>IF(MasterSheet!$A$1=1,MasterSheet!$C$258,MasterSheet!$C$257)</f>
        <v>mil. €</v>
      </c>
      <c r="AA41" s="99" t="str">
        <f>IF(MasterSheet!$A$1=1,MasterSheet!$D$258,MasterSheet!$D$257)</f>
        <v xml:space="preserve"> % BDP</v>
      </c>
      <c r="AB41" s="10"/>
      <c r="AC41" s="10"/>
      <c r="AD41" s="10"/>
      <c r="AE41" s="10"/>
      <c r="AF41" s="10"/>
      <c r="AG41" s="10"/>
      <c r="AH41" s="1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74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75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  <c r="HZ41" s="150"/>
      <c r="IA41" s="150"/>
      <c r="IB41" s="150"/>
      <c r="IC41" s="150"/>
      <c r="ID41" s="150"/>
      <c r="IE41" s="150"/>
      <c r="IF41" s="150"/>
      <c r="IG41" s="150"/>
      <c r="IH41" s="150"/>
      <c r="II41" s="150"/>
      <c r="IJ41" s="150"/>
    </row>
    <row r="42" spans="1:244" ht="15" customHeight="1" thickTop="1" thickBot="1">
      <c r="A42" s="5"/>
      <c r="B42" s="5"/>
      <c r="C42" s="93" t="str">
        <f>IF(MasterSheet!$A$1=1,MasterSheet!$C$437,MasterSheet!$B$437)</f>
        <v>Ukupno javni dug</v>
      </c>
      <c r="D42" s="477">
        <f>SUM(D43:D44)</f>
        <v>1950100000</v>
      </c>
      <c r="E42" s="95">
        <f>D42/$H$15*100</f>
        <v>55.463594994311713</v>
      </c>
      <c r="F42" s="477">
        <f>SUM(F43:F44)</f>
        <v>0</v>
      </c>
      <c r="G42" s="95">
        <f>F42/$H$15*100</f>
        <v>0</v>
      </c>
      <c r="H42" s="477">
        <f>SUM(H43:H44)</f>
        <v>0</v>
      </c>
      <c r="I42" s="95">
        <f>H42/$H$15*100</f>
        <v>0</v>
      </c>
      <c r="J42" s="477">
        <f>SUM(J43:J44)</f>
        <v>0</v>
      </c>
      <c r="K42" s="95">
        <f>J42/$H$15*100</f>
        <v>0</v>
      </c>
      <c r="L42" s="477">
        <f>SUM(L43:L44)</f>
        <v>0</v>
      </c>
      <c r="M42" s="95">
        <f>L42/$H$15*100</f>
        <v>0</v>
      </c>
      <c r="N42" s="477">
        <f>SUM(N43:N44)</f>
        <v>0</v>
      </c>
      <c r="O42" s="95">
        <f>N42/$H$15*100</f>
        <v>0</v>
      </c>
      <c r="P42" s="477">
        <f>SUM(P43:P44)</f>
        <v>0</v>
      </c>
      <c r="Q42" s="95">
        <f>P42/$H$15*100</f>
        <v>0</v>
      </c>
      <c r="R42" s="477">
        <f>SUM(R43:R44)</f>
        <v>0</v>
      </c>
      <c r="S42" s="95">
        <f>R42/$H$15*100</f>
        <v>0</v>
      </c>
      <c r="T42" s="477">
        <f>SUM(T43:T44)</f>
        <v>0</v>
      </c>
      <c r="U42" s="95">
        <f>T42/$H$15*100</f>
        <v>0</v>
      </c>
      <c r="V42" s="477">
        <f>SUM(V43:V44)</f>
        <v>0</v>
      </c>
      <c r="W42" s="95">
        <f>V42/$H$15*100</f>
        <v>0</v>
      </c>
      <c r="X42" s="477">
        <f>SUM(X43:X44)</f>
        <v>0</v>
      </c>
      <c r="Y42" s="95">
        <f>X42/$H$15*100</f>
        <v>0</v>
      </c>
      <c r="Z42" s="477">
        <f>SUM(Z43:Z44)</f>
        <v>0</v>
      </c>
      <c r="AA42" s="95">
        <f>Z42/$H$15*100</f>
        <v>0</v>
      </c>
      <c r="AB42" s="10"/>
      <c r="AC42" s="10"/>
      <c r="AD42" s="10"/>
      <c r="AE42" s="10"/>
      <c r="AF42" s="10"/>
      <c r="AG42" s="10"/>
      <c r="AH42" s="1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74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75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</row>
    <row r="43" spans="1:244" ht="15" customHeight="1" thickTop="1">
      <c r="A43" s="5"/>
      <c r="B43" s="5"/>
      <c r="C43" s="104" t="str">
        <f>IF(MasterSheet!$A$1=1,MasterSheet!$C$438,MasterSheet!$B$438)</f>
        <v>Dug prema rezidentima</v>
      </c>
      <c r="D43" s="161">
        <v>517600000</v>
      </c>
      <c r="E43" s="475">
        <f t="shared" ref="E43:G44" si="14">D43/$H$15*100</f>
        <v>14.72127417519909</v>
      </c>
      <c r="F43" s="161"/>
      <c r="G43" s="475">
        <f t="shared" si="14"/>
        <v>0</v>
      </c>
      <c r="H43" s="161"/>
      <c r="I43" s="475">
        <f t="shared" ref="I43" si="15">H43/$H$15*100</f>
        <v>0</v>
      </c>
      <c r="J43" s="161"/>
      <c r="K43" s="475">
        <f t="shared" ref="K43" si="16">J43/$H$15*100</f>
        <v>0</v>
      </c>
      <c r="L43" s="161"/>
      <c r="M43" s="475">
        <f t="shared" ref="M43" si="17">L43/$H$15*100</f>
        <v>0</v>
      </c>
      <c r="N43" s="161"/>
      <c r="O43" s="475">
        <f t="shared" ref="O43" si="18">N43/$H$15*100</f>
        <v>0</v>
      </c>
      <c r="P43" s="161"/>
      <c r="Q43" s="475">
        <f t="shared" ref="Q43" si="19">P43/$H$15*100</f>
        <v>0</v>
      </c>
      <c r="R43" s="161"/>
      <c r="S43" s="475">
        <f t="shared" ref="S43" si="20">R43/$H$15*100</f>
        <v>0</v>
      </c>
      <c r="T43" s="161"/>
      <c r="U43" s="475">
        <f t="shared" ref="U43" si="21">T43/$H$15*100</f>
        <v>0</v>
      </c>
      <c r="V43" s="161"/>
      <c r="W43" s="475">
        <f t="shared" ref="W43" si="22">V43/$H$15*100</f>
        <v>0</v>
      </c>
      <c r="X43" s="161"/>
      <c r="Y43" s="475">
        <f t="shared" ref="Y43" si="23">X43/$H$15*100</f>
        <v>0</v>
      </c>
      <c r="Z43" s="161"/>
      <c r="AA43" s="475">
        <f t="shared" ref="AA43" si="24">Z43/$H$15*100</f>
        <v>0</v>
      </c>
      <c r="AB43" s="10"/>
      <c r="AC43" s="10"/>
      <c r="AD43" s="10"/>
      <c r="AE43" s="10"/>
      <c r="AF43" s="10"/>
      <c r="AG43" s="10"/>
      <c r="AH43" s="1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74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75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</row>
    <row r="44" spans="1:244" ht="15" customHeight="1" thickBot="1">
      <c r="A44" s="5"/>
      <c r="B44" s="5"/>
      <c r="C44" s="91" t="str">
        <f>IF(MasterSheet!$A$1=1,MasterSheet!$C$439,MasterSheet!B439)</f>
        <v>Dug prema nerezidentima</v>
      </c>
      <c r="D44" s="153">
        <v>1432500000</v>
      </c>
      <c r="E44" s="201">
        <f t="shared" si="14"/>
        <v>40.742320819112628</v>
      </c>
      <c r="F44" s="153"/>
      <c r="G44" s="201">
        <f t="shared" si="14"/>
        <v>0</v>
      </c>
      <c r="H44" s="153"/>
      <c r="I44" s="201">
        <f t="shared" ref="I44" si="25">H44/$H$15*100</f>
        <v>0</v>
      </c>
      <c r="J44" s="153"/>
      <c r="K44" s="201">
        <f t="shared" ref="K44" si="26">J44/$H$15*100</f>
        <v>0</v>
      </c>
      <c r="L44" s="153"/>
      <c r="M44" s="201">
        <f t="shared" ref="M44" si="27">L44/$H$15*100</f>
        <v>0</v>
      </c>
      <c r="N44" s="153"/>
      <c r="O44" s="201">
        <f t="shared" ref="O44" si="28">N44/$H$15*100</f>
        <v>0</v>
      </c>
      <c r="P44" s="153"/>
      <c r="Q44" s="201">
        <f t="shared" ref="Q44" si="29">P44/$H$15*100</f>
        <v>0</v>
      </c>
      <c r="R44" s="153"/>
      <c r="S44" s="201">
        <f t="shared" ref="S44" si="30">R44/$H$15*100</f>
        <v>0</v>
      </c>
      <c r="T44" s="153"/>
      <c r="U44" s="201">
        <f t="shared" ref="U44" si="31">T44/$H$15*100</f>
        <v>0</v>
      </c>
      <c r="V44" s="153"/>
      <c r="W44" s="201">
        <f t="shared" ref="W44" si="32">V44/$H$15*100</f>
        <v>0</v>
      </c>
      <c r="X44" s="153"/>
      <c r="Y44" s="201">
        <f t="shared" ref="Y44" si="33">X44/$H$15*100</f>
        <v>0</v>
      </c>
      <c r="Z44" s="153"/>
      <c r="AA44" s="201">
        <f t="shared" ref="AA44" si="34">Z44/$H$15*100</f>
        <v>0</v>
      </c>
      <c r="AB44" s="10"/>
      <c r="AC44" s="10"/>
      <c r="AD44" s="10"/>
      <c r="AE44" s="10"/>
      <c r="AF44" s="10"/>
      <c r="AG44" s="10"/>
      <c r="AH44" s="1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74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75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</row>
    <row r="45" spans="1:244" ht="15" customHeight="1" thickTop="1">
      <c r="A45" s="5"/>
      <c r="B45" s="5"/>
      <c r="C45" s="53" t="str">
        <f>IF(MasterSheet!$A$1=1,MasterSheet!$C$328,MasterSheet!$B$328)</f>
        <v>Izvor: Ministarstvo finansija Crne Gore</v>
      </c>
      <c r="D45" s="189"/>
      <c r="E45" s="142"/>
      <c r="F45" s="189"/>
      <c r="G45" s="142"/>
      <c r="H45" s="189"/>
      <c r="I45" s="142"/>
      <c r="J45" s="189"/>
      <c r="K45" s="142"/>
      <c r="L45" s="142"/>
      <c r="M45" s="142"/>
      <c r="N45" s="189"/>
      <c r="O45" s="142"/>
      <c r="P45" s="189"/>
      <c r="Q45" s="142"/>
      <c r="R45" s="189"/>
      <c r="S45" s="142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W45" s="150"/>
      <c r="AX45" s="150"/>
      <c r="AY45" s="150"/>
      <c r="AZ45" s="150"/>
      <c r="BA45" s="174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75"/>
      <c r="GG45" s="150"/>
      <c r="GH45" s="150"/>
      <c r="GI45" s="150"/>
      <c r="GJ45" s="150"/>
      <c r="GK45" s="150"/>
      <c r="GL45" s="150"/>
      <c r="GM45" s="150"/>
      <c r="GN45" s="150"/>
      <c r="GO45" s="150"/>
      <c r="GP45" s="150"/>
      <c r="GQ45" s="150"/>
      <c r="GR45" s="150"/>
      <c r="GS45" s="150"/>
      <c r="GT45" s="150"/>
      <c r="GU45" s="150"/>
      <c r="GV45" s="150"/>
      <c r="GW45" s="150"/>
      <c r="GX45" s="150"/>
      <c r="GY45" s="150"/>
      <c r="GZ45" s="150"/>
      <c r="HA45" s="150"/>
      <c r="HB45" s="150"/>
      <c r="HC45" s="150"/>
      <c r="HD45" s="150"/>
      <c r="HE45" s="150"/>
      <c r="HF45" s="150"/>
      <c r="HG45" s="150"/>
      <c r="HH45" s="150"/>
      <c r="HI45" s="150"/>
      <c r="HJ45" s="150"/>
      <c r="HK45" s="150"/>
      <c r="HL45" s="150"/>
      <c r="HM45" s="150"/>
      <c r="HN45" s="150"/>
      <c r="HO45" s="150"/>
      <c r="HP45" s="150"/>
      <c r="HQ45" s="150"/>
      <c r="HR45" s="150"/>
      <c r="HS45" s="150"/>
      <c r="HT45" s="150"/>
      <c r="HU45" s="150"/>
      <c r="HV45" s="150"/>
      <c r="HW45" s="150"/>
      <c r="HX45" s="150"/>
      <c r="HY45" s="150"/>
      <c r="HZ45" s="150"/>
      <c r="IA45" s="150"/>
      <c r="IB45" s="150"/>
      <c r="IC45" s="150"/>
      <c r="ID45" s="150"/>
      <c r="IE45" s="150"/>
      <c r="IF45" s="150"/>
      <c r="IG45" s="150"/>
      <c r="IH45" s="150"/>
      <c r="II45" s="150"/>
      <c r="IJ45" s="150"/>
    </row>
    <row r="46" spans="1:244" ht="15" customHeight="1">
      <c r="A46" s="5"/>
      <c r="B46" s="5"/>
      <c r="C46" s="19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42"/>
      <c r="Z46" s="5"/>
      <c r="AA46" s="5"/>
      <c r="AB46" s="5"/>
      <c r="AC46" s="5"/>
      <c r="AD46" s="5"/>
      <c r="AE46" s="5"/>
      <c r="AF46" s="5"/>
      <c r="AG46" s="5"/>
      <c r="AH46" s="5"/>
      <c r="AW46" s="150"/>
      <c r="AX46" s="150"/>
      <c r="AY46" s="150"/>
      <c r="AZ46" s="150"/>
      <c r="BA46" s="174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75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</row>
    <row r="47" spans="1:244" ht="15" customHeight="1">
      <c r="A47" s="5"/>
      <c r="B47" s="5"/>
      <c r="C47" s="19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W47" s="150"/>
      <c r="AX47" s="150"/>
      <c r="AY47" s="150"/>
      <c r="AZ47" s="150"/>
      <c r="BA47" s="174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75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  <c r="IF47" s="150"/>
      <c r="IG47" s="150"/>
      <c r="IH47" s="150"/>
      <c r="II47" s="150"/>
      <c r="IJ47" s="150"/>
    </row>
    <row r="48" spans="1:244" ht="15" customHeight="1">
      <c r="A48" s="5"/>
      <c r="B48" s="5"/>
      <c r="C48" s="19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W48" s="150"/>
      <c r="AX48" s="150"/>
      <c r="AY48" s="150"/>
      <c r="AZ48" s="150"/>
      <c r="BA48" s="174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  <c r="FZ48" s="150"/>
      <c r="GA48" s="150"/>
      <c r="GB48" s="150"/>
      <c r="GC48" s="150"/>
      <c r="GD48" s="150"/>
      <c r="GE48" s="150"/>
      <c r="GF48" s="175"/>
      <c r="GG48" s="150"/>
      <c r="GH48" s="150"/>
      <c r="GI48" s="150"/>
      <c r="GJ48" s="150"/>
      <c r="GK48" s="150"/>
      <c r="GL48" s="150"/>
      <c r="GM48" s="150"/>
      <c r="GN48" s="150"/>
      <c r="GO48" s="150"/>
      <c r="GP48" s="150"/>
      <c r="GQ48" s="150"/>
      <c r="GR48" s="150"/>
      <c r="GS48" s="150"/>
      <c r="GT48" s="150"/>
      <c r="GU48" s="150"/>
      <c r="GV48" s="150"/>
      <c r="GW48" s="150"/>
      <c r="GX48" s="150"/>
      <c r="GY48" s="150"/>
      <c r="GZ48" s="150"/>
      <c r="HA48" s="150"/>
      <c r="HB48" s="150"/>
      <c r="HC48" s="150"/>
      <c r="HD48" s="150"/>
      <c r="HE48" s="150"/>
      <c r="HF48" s="150"/>
      <c r="HG48" s="150"/>
      <c r="HH48" s="150"/>
      <c r="HI48" s="150"/>
      <c r="HJ48" s="150"/>
      <c r="HK48" s="150"/>
      <c r="HL48" s="150"/>
      <c r="HM48" s="150"/>
      <c r="HN48" s="150"/>
      <c r="HO48" s="150"/>
      <c r="HP48" s="150"/>
      <c r="HQ48" s="150"/>
      <c r="HR48" s="150"/>
      <c r="HS48" s="150"/>
      <c r="HT48" s="150"/>
      <c r="HU48" s="150"/>
      <c r="HV48" s="150"/>
      <c r="HW48" s="150"/>
      <c r="HX48" s="150"/>
      <c r="HY48" s="150"/>
      <c r="HZ48" s="150"/>
      <c r="IA48" s="150"/>
      <c r="IB48" s="150"/>
      <c r="IC48" s="150"/>
      <c r="ID48" s="150"/>
      <c r="IE48" s="150"/>
      <c r="IF48" s="150"/>
      <c r="IG48" s="150"/>
      <c r="IH48" s="150"/>
      <c r="II48" s="150"/>
      <c r="IJ48" s="150"/>
    </row>
    <row r="49" spans="1:244" ht="15" customHeight="1">
      <c r="A49" s="5"/>
      <c r="B49" s="5"/>
      <c r="C49" s="19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W49" s="150"/>
      <c r="AX49" s="150"/>
      <c r="AY49" s="150"/>
      <c r="AZ49" s="150"/>
      <c r="BA49" s="174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75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</row>
    <row r="50" spans="1:244" ht="15" customHeight="1">
      <c r="A50" s="5"/>
      <c r="B50" s="5"/>
      <c r="C50" s="19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W50" s="150"/>
      <c r="AX50" s="150"/>
      <c r="AY50" s="150"/>
      <c r="AZ50" s="150"/>
      <c r="BA50" s="174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75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</row>
    <row r="51" spans="1:244" ht="15" customHeight="1">
      <c r="A51" s="5"/>
      <c r="B51" s="5"/>
      <c r="C51" s="19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W51" s="150"/>
      <c r="AX51" s="150"/>
      <c r="AY51" s="150"/>
      <c r="AZ51" s="150"/>
      <c r="BA51" s="174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75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</row>
    <row r="52" spans="1:244" ht="15" customHeight="1">
      <c r="A52" s="5"/>
      <c r="B52" s="5"/>
      <c r="C52" s="19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W52" s="150"/>
      <c r="AX52" s="150"/>
      <c r="AY52" s="150"/>
      <c r="AZ52" s="150"/>
      <c r="BA52" s="174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75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</row>
    <row r="53" spans="1:244" ht="15" customHeight="1">
      <c r="A53" s="5"/>
      <c r="B53" s="5"/>
      <c r="C53" s="19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W53" s="150"/>
      <c r="AX53" s="150"/>
      <c r="AY53" s="150"/>
      <c r="AZ53" s="150"/>
      <c r="BA53" s="174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75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</row>
    <row r="54" spans="1:244" ht="15" customHeight="1">
      <c r="A54" s="5"/>
      <c r="B54" s="5"/>
      <c r="C54" s="19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W54" s="150"/>
      <c r="AX54" s="150"/>
      <c r="AY54" s="150"/>
      <c r="AZ54" s="150"/>
      <c r="BA54" s="174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75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</row>
    <row r="55" spans="1:244" ht="15" customHeight="1">
      <c r="A55" s="5"/>
      <c r="B55" s="5"/>
      <c r="C55" s="193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W55" s="150"/>
      <c r="AX55" s="150"/>
      <c r="AY55" s="150"/>
      <c r="AZ55" s="150"/>
      <c r="BA55" s="174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0"/>
      <c r="GD55" s="150"/>
      <c r="GE55" s="150"/>
      <c r="GF55" s="175"/>
      <c r="GG55" s="150"/>
      <c r="GH55" s="150"/>
      <c r="GI55" s="150"/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0"/>
      <c r="GV55" s="150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0"/>
      <c r="HI55" s="150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0"/>
      <c r="IA55" s="150"/>
      <c r="IB55" s="150"/>
      <c r="IC55" s="150"/>
      <c r="ID55" s="150"/>
      <c r="IE55" s="150"/>
      <c r="IF55" s="150"/>
      <c r="IG55" s="150"/>
      <c r="IH55" s="150"/>
      <c r="II55" s="150"/>
      <c r="IJ55" s="150"/>
    </row>
    <row r="56" spans="1:244" ht="15" customHeight="1">
      <c r="A56" s="5"/>
      <c r="B56" s="5"/>
      <c r="C56" s="19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W56" s="150"/>
      <c r="AX56" s="150"/>
      <c r="AY56" s="150"/>
      <c r="AZ56" s="150"/>
      <c r="BA56" s="174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75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</row>
    <row r="57" spans="1:244" ht="15" customHeight="1">
      <c r="A57" s="5"/>
      <c r="B57" s="5"/>
      <c r="C57" s="19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W57" s="150"/>
      <c r="AX57" s="150"/>
      <c r="AY57" s="150"/>
      <c r="AZ57" s="150"/>
      <c r="BA57" s="174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75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</row>
    <row r="58" spans="1:244" ht="15" customHeight="1">
      <c r="A58" s="5"/>
      <c r="B58" s="5"/>
      <c r="C58" s="19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W58" s="150"/>
      <c r="AX58" s="150"/>
      <c r="AY58" s="150"/>
      <c r="AZ58" s="150"/>
      <c r="BA58" s="174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75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</row>
    <row r="59" spans="1:244" ht="15" customHeight="1">
      <c r="A59" s="5"/>
      <c r="B59" s="5"/>
      <c r="C59" s="19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W59" s="150"/>
      <c r="AX59" s="150"/>
      <c r="AY59" s="150"/>
      <c r="AZ59" s="150"/>
      <c r="BA59" s="174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75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</row>
    <row r="60" spans="1:244" ht="15" customHeight="1">
      <c r="A60" s="5"/>
      <c r="B60" s="5"/>
      <c r="C60" s="193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W60" s="150"/>
      <c r="AX60" s="150"/>
      <c r="AY60" s="150"/>
      <c r="AZ60" s="150"/>
      <c r="BA60" s="174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75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</row>
    <row r="61" spans="1:244" ht="15" customHeight="1">
      <c r="A61" s="5"/>
      <c r="B61" s="5"/>
      <c r="C61" s="19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W61" s="150"/>
      <c r="AX61" s="150"/>
      <c r="AY61" s="150"/>
      <c r="AZ61" s="150"/>
      <c r="BA61" s="174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0"/>
      <c r="GD61" s="150"/>
      <c r="GE61" s="150"/>
      <c r="GF61" s="175"/>
      <c r="GG61" s="150"/>
      <c r="GH61" s="150"/>
      <c r="GI61" s="150"/>
      <c r="GJ61" s="150"/>
      <c r="GK61" s="150"/>
      <c r="GL61" s="150"/>
      <c r="GM61" s="150"/>
      <c r="GN61" s="150"/>
      <c r="GO61" s="150"/>
      <c r="GP61" s="150"/>
      <c r="GQ61" s="150"/>
      <c r="GR61" s="150"/>
      <c r="GS61" s="150"/>
      <c r="GT61" s="150"/>
      <c r="GU61" s="150"/>
      <c r="GV61" s="150"/>
      <c r="GW61" s="150"/>
      <c r="GX61" s="150"/>
      <c r="GY61" s="150"/>
      <c r="GZ61" s="150"/>
      <c r="HA61" s="150"/>
      <c r="HB61" s="150"/>
      <c r="HC61" s="150"/>
      <c r="HD61" s="150"/>
      <c r="HE61" s="150"/>
      <c r="HF61" s="150"/>
      <c r="HG61" s="150"/>
      <c r="HH61" s="150"/>
      <c r="HI61" s="150"/>
      <c r="HJ61" s="150"/>
      <c r="HK61" s="150"/>
      <c r="HL61" s="150"/>
      <c r="HM61" s="150"/>
      <c r="HN61" s="150"/>
      <c r="HO61" s="150"/>
      <c r="HP61" s="150"/>
      <c r="HQ61" s="150"/>
      <c r="HR61" s="150"/>
      <c r="HS61" s="150"/>
      <c r="HT61" s="150"/>
      <c r="HU61" s="150"/>
      <c r="HV61" s="150"/>
      <c r="HW61" s="150"/>
      <c r="HX61" s="150"/>
      <c r="HY61" s="150"/>
      <c r="HZ61" s="150"/>
      <c r="IA61" s="150"/>
      <c r="IB61" s="150"/>
      <c r="IC61" s="150"/>
      <c r="ID61" s="150"/>
      <c r="IE61" s="150"/>
      <c r="IF61" s="150"/>
      <c r="IG61" s="150"/>
      <c r="IH61" s="150"/>
      <c r="II61" s="150"/>
      <c r="IJ61" s="150"/>
    </row>
    <row r="62" spans="1:244" ht="15" customHeight="1">
      <c r="A62" s="5"/>
      <c r="B62" s="5"/>
      <c r="C62" s="193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W62" s="150"/>
      <c r="AX62" s="150"/>
      <c r="AY62" s="150"/>
      <c r="AZ62" s="150"/>
      <c r="BA62" s="174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0"/>
      <c r="GE62" s="150"/>
      <c r="GF62" s="175"/>
      <c r="GG62" s="150"/>
      <c r="GH62" s="150"/>
      <c r="GI62" s="150"/>
      <c r="GJ62" s="150"/>
      <c r="GK62" s="150"/>
      <c r="GL62" s="150"/>
      <c r="GM62" s="150"/>
      <c r="GN62" s="150"/>
      <c r="GO62" s="150"/>
      <c r="GP62" s="150"/>
      <c r="GQ62" s="150"/>
      <c r="GR62" s="150"/>
      <c r="GS62" s="150"/>
      <c r="GT62" s="150"/>
      <c r="GU62" s="150"/>
      <c r="GV62" s="150"/>
      <c r="GW62" s="150"/>
      <c r="GX62" s="150"/>
      <c r="GY62" s="150"/>
      <c r="GZ62" s="150"/>
      <c r="HA62" s="150"/>
      <c r="HB62" s="150"/>
      <c r="HC62" s="150"/>
      <c r="HD62" s="150"/>
      <c r="HE62" s="150"/>
      <c r="HF62" s="150"/>
      <c r="HG62" s="150"/>
      <c r="HH62" s="150"/>
      <c r="HI62" s="150"/>
      <c r="HJ62" s="150"/>
      <c r="HK62" s="150"/>
      <c r="HL62" s="150"/>
      <c r="HM62" s="150"/>
      <c r="HN62" s="150"/>
      <c r="HO62" s="150"/>
      <c r="HP62" s="150"/>
      <c r="HQ62" s="150"/>
      <c r="HR62" s="150"/>
      <c r="HS62" s="150"/>
      <c r="HT62" s="150"/>
      <c r="HU62" s="150"/>
      <c r="HV62" s="150"/>
      <c r="HW62" s="150"/>
      <c r="HX62" s="150"/>
      <c r="HY62" s="150"/>
      <c r="HZ62" s="150"/>
      <c r="IA62" s="150"/>
      <c r="IB62" s="150"/>
      <c r="IC62" s="150"/>
      <c r="ID62" s="150"/>
      <c r="IE62" s="150"/>
      <c r="IF62" s="150"/>
      <c r="IG62" s="150"/>
      <c r="IH62" s="150"/>
      <c r="II62" s="150"/>
      <c r="IJ62" s="150"/>
    </row>
    <row r="63" spans="1:244" ht="15" customHeight="1">
      <c r="A63" s="5"/>
      <c r="B63" s="5"/>
      <c r="C63" s="19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W63" s="150"/>
      <c r="AX63" s="150"/>
      <c r="AY63" s="150"/>
      <c r="AZ63" s="150"/>
      <c r="BA63" s="174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75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</row>
    <row r="64" spans="1:244" ht="15" customHeight="1">
      <c r="A64" s="5"/>
      <c r="B64" s="5"/>
      <c r="C64" s="193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W64" s="150"/>
      <c r="AX64" s="150"/>
      <c r="AY64" s="150"/>
      <c r="AZ64" s="150"/>
      <c r="BA64" s="174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0"/>
      <c r="EI64" s="150"/>
      <c r="EJ64" s="150"/>
      <c r="EK64" s="150"/>
      <c r="EL64" s="150"/>
      <c r="EM64" s="150"/>
      <c r="EN64" s="150"/>
      <c r="EO64" s="150"/>
      <c r="EP64" s="150"/>
      <c r="EQ64" s="150"/>
      <c r="ER64" s="150"/>
      <c r="ES64" s="150"/>
      <c r="ET64" s="150"/>
      <c r="EU64" s="150"/>
      <c r="EV64" s="150"/>
      <c r="EW64" s="150"/>
      <c r="EX64" s="150"/>
      <c r="EY64" s="150"/>
      <c r="EZ64" s="150"/>
      <c r="FA64" s="150"/>
      <c r="FB64" s="150"/>
      <c r="FC64" s="150"/>
      <c r="FD64" s="150"/>
      <c r="FE64" s="150"/>
      <c r="FF64" s="150"/>
      <c r="FG64" s="150"/>
      <c r="FH64" s="150"/>
      <c r="FI64" s="150"/>
      <c r="FJ64" s="150"/>
      <c r="FK64" s="150"/>
      <c r="FL64" s="150"/>
      <c r="FM64" s="150"/>
      <c r="FN64" s="150"/>
      <c r="FO64" s="150"/>
      <c r="FP64" s="150"/>
      <c r="FQ64" s="150"/>
      <c r="FR64" s="150"/>
      <c r="FS64" s="150"/>
      <c r="FT64" s="150"/>
      <c r="FU64" s="150"/>
      <c r="FV64" s="150"/>
      <c r="FW64" s="150"/>
      <c r="FX64" s="150"/>
      <c r="FY64" s="150"/>
      <c r="FZ64" s="150"/>
      <c r="GA64" s="150"/>
      <c r="GB64" s="150"/>
      <c r="GC64" s="150"/>
      <c r="GD64" s="150"/>
      <c r="GE64" s="150"/>
      <c r="GF64" s="175"/>
      <c r="GG64" s="150"/>
      <c r="GH64" s="150"/>
      <c r="GI64" s="150"/>
      <c r="GJ64" s="150"/>
      <c r="GK64" s="150"/>
      <c r="GL64" s="150"/>
      <c r="GM64" s="150"/>
      <c r="GN64" s="150"/>
      <c r="GO64" s="150"/>
      <c r="GP64" s="150"/>
      <c r="GQ64" s="150"/>
      <c r="GR64" s="150"/>
      <c r="GS64" s="150"/>
      <c r="GT64" s="150"/>
      <c r="GU64" s="150"/>
      <c r="GV64" s="150"/>
      <c r="GW64" s="150"/>
      <c r="GX64" s="150"/>
      <c r="GY64" s="150"/>
      <c r="GZ64" s="150"/>
      <c r="HA64" s="150"/>
      <c r="HB64" s="150"/>
      <c r="HC64" s="150"/>
      <c r="HD64" s="150"/>
      <c r="HE64" s="150"/>
      <c r="HF64" s="150"/>
      <c r="HG64" s="150"/>
      <c r="HH64" s="150"/>
      <c r="HI64" s="150"/>
      <c r="HJ64" s="150"/>
      <c r="HK64" s="150"/>
      <c r="HL64" s="150"/>
      <c r="HM64" s="150"/>
      <c r="HN64" s="150"/>
      <c r="HO64" s="150"/>
      <c r="HP64" s="150"/>
      <c r="HQ64" s="150"/>
      <c r="HR64" s="150"/>
      <c r="HS64" s="150"/>
      <c r="HT64" s="150"/>
      <c r="HU64" s="150"/>
      <c r="HV64" s="150"/>
      <c r="HW64" s="150"/>
      <c r="HX64" s="150"/>
      <c r="HY64" s="150"/>
      <c r="HZ64" s="150"/>
      <c r="IA64" s="150"/>
      <c r="IB64" s="150"/>
      <c r="IC64" s="150"/>
      <c r="ID64" s="150"/>
      <c r="IE64" s="150"/>
      <c r="IF64" s="150"/>
      <c r="IG64" s="150"/>
      <c r="IH64" s="150"/>
      <c r="II64" s="150"/>
      <c r="IJ64" s="150"/>
    </row>
    <row r="65" spans="1:244" ht="15" customHeight="1">
      <c r="A65" s="5"/>
      <c r="B65" s="5"/>
      <c r="C65" s="19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W65" s="150"/>
      <c r="AX65" s="150"/>
      <c r="AY65" s="150"/>
      <c r="AZ65" s="150"/>
      <c r="BA65" s="174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  <c r="DW65" s="150"/>
      <c r="DX65" s="150"/>
      <c r="DY65" s="150"/>
      <c r="DZ65" s="150"/>
      <c r="EA65" s="150"/>
      <c r="EB65" s="150"/>
      <c r="EC65" s="150"/>
      <c r="ED65" s="150"/>
      <c r="EE65" s="150"/>
      <c r="EF65" s="150"/>
      <c r="EG65" s="150"/>
      <c r="EH65" s="150"/>
      <c r="EI65" s="150"/>
      <c r="EJ65" s="150"/>
      <c r="EK65" s="150"/>
      <c r="EL65" s="150"/>
      <c r="EM65" s="150"/>
      <c r="EN65" s="150"/>
      <c r="EO65" s="150"/>
      <c r="EP65" s="150"/>
      <c r="EQ65" s="150"/>
      <c r="ER65" s="150"/>
      <c r="ES65" s="150"/>
      <c r="ET65" s="150"/>
      <c r="EU65" s="150"/>
      <c r="EV65" s="150"/>
      <c r="EW65" s="150"/>
      <c r="EX65" s="150"/>
      <c r="EY65" s="150"/>
      <c r="EZ65" s="150"/>
      <c r="FA65" s="150"/>
      <c r="FB65" s="150"/>
      <c r="FC65" s="150"/>
      <c r="FD65" s="150"/>
      <c r="FE65" s="150"/>
      <c r="FF65" s="150"/>
      <c r="FG65" s="150"/>
      <c r="FH65" s="150"/>
      <c r="FI65" s="150"/>
      <c r="FJ65" s="150"/>
      <c r="FK65" s="150"/>
      <c r="FL65" s="150"/>
      <c r="FM65" s="150"/>
      <c r="FN65" s="150"/>
      <c r="FO65" s="150"/>
      <c r="FP65" s="150"/>
      <c r="FQ65" s="150"/>
      <c r="FR65" s="150"/>
      <c r="FS65" s="150"/>
      <c r="FT65" s="150"/>
      <c r="FU65" s="150"/>
      <c r="FV65" s="150"/>
      <c r="FW65" s="150"/>
      <c r="FX65" s="150"/>
      <c r="FY65" s="150"/>
      <c r="FZ65" s="150"/>
      <c r="GA65" s="150"/>
      <c r="GB65" s="150"/>
      <c r="GC65" s="150"/>
      <c r="GD65" s="150"/>
      <c r="GE65" s="150"/>
      <c r="GF65" s="175"/>
      <c r="GG65" s="150"/>
      <c r="GH65" s="150"/>
      <c r="GI65" s="150"/>
      <c r="GJ65" s="150"/>
      <c r="GK65" s="150"/>
      <c r="GL65" s="150"/>
      <c r="GM65" s="150"/>
      <c r="GN65" s="150"/>
      <c r="GO65" s="150"/>
      <c r="GP65" s="150"/>
      <c r="GQ65" s="150"/>
      <c r="GR65" s="150"/>
      <c r="GS65" s="150"/>
      <c r="GT65" s="150"/>
      <c r="GU65" s="150"/>
      <c r="GV65" s="150"/>
      <c r="GW65" s="150"/>
      <c r="GX65" s="150"/>
      <c r="GY65" s="150"/>
      <c r="GZ65" s="150"/>
      <c r="HA65" s="150"/>
      <c r="HB65" s="150"/>
      <c r="HC65" s="150"/>
      <c r="HD65" s="150"/>
      <c r="HE65" s="150"/>
      <c r="HF65" s="150"/>
      <c r="HG65" s="150"/>
      <c r="HH65" s="150"/>
      <c r="HI65" s="150"/>
      <c r="HJ65" s="150"/>
      <c r="HK65" s="150"/>
      <c r="HL65" s="150"/>
      <c r="HM65" s="150"/>
      <c r="HN65" s="150"/>
      <c r="HO65" s="150"/>
      <c r="HP65" s="150"/>
      <c r="HQ65" s="150"/>
      <c r="HR65" s="150"/>
      <c r="HS65" s="150"/>
      <c r="HT65" s="150"/>
      <c r="HU65" s="150"/>
      <c r="HV65" s="150"/>
      <c r="HW65" s="150"/>
      <c r="HX65" s="150"/>
      <c r="HY65" s="150"/>
      <c r="HZ65" s="150"/>
      <c r="IA65" s="150"/>
      <c r="IB65" s="150"/>
      <c r="IC65" s="150"/>
      <c r="ID65" s="150"/>
      <c r="IE65" s="150"/>
      <c r="IF65" s="150"/>
      <c r="IG65" s="150"/>
      <c r="IH65" s="150"/>
      <c r="II65" s="150"/>
      <c r="IJ65" s="150"/>
    </row>
    <row r="66" spans="1:244" ht="15" customHeight="1">
      <c r="A66" s="5"/>
      <c r="B66" s="5"/>
      <c r="C66" s="19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W66" s="150"/>
      <c r="AX66" s="150"/>
      <c r="AY66" s="150"/>
      <c r="AZ66" s="150"/>
      <c r="BA66" s="174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  <c r="DO66" s="150"/>
      <c r="DP66" s="150"/>
      <c r="DQ66" s="150"/>
      <c r="DR66" s="150"/>
      <c r="DS66" s="150"/>
      <c r="DT66" s="150"/>
      <c r="DU66" s="150"/>
      <c r="DV66" s="150"/>
      <c r="DW66" s="150"/>
      <c r="DX66" s="150"/>
      <c r="DY66" s="150"/>
      <c r="DZ66" s="150"/>
      <c r="EA66" s="150"/>
      <c r="EB66" s="150"/>
      <c r="EC66" s="150"/>
      <c r="ED66" s="150"/>
      <c r="EE66" s="150"/>
      <c r="EF66" s="150"/>
      <c r="EG66" s="150"/>
      <c r="EH66" s="150"/>
      <c r="EI66" s="150"/>
      <c r="EJ66" s="150"/>
      <c r="EK66" s="150"/>
      <c r="EL66" s="150"/>
      <c r="EM66" s="150"/>
      <c r="EN66" s="150"/>
      <c r="EO66" s="150"/>
      <c r="EP66" s="150"/>
      <c r="EQ66" s="150"/>
      <c r="ER66" s="150"/>
      <c r="ES66" s="150"/>
      <c r="ET66" s="150"/>
      <c r="EU66" s="150"/>
      <c r="EV66" s="150"/>
      <c r="EW66" s="150"/>
      <c r="EX66" s="150"/>
      <c r="EY66" s="150"/>
      <c r="EZ66" s="150"/>
      <c r="FA66" s="150"/>
      <c r="FB66" s="150"/>
      <c r="FC66" s="150"/>
      <c r="FD66" s="150"/>
      <c r="FE66" s="150"/>
      <c r="FF66" s="150"/>
      <c r="FG66" s="150"/>
      <c r="FH66" s="150"/>
      <c r="FI66" s="150"/>
      <c r="FJ66" s="150"/>
      <c r="FK66" s="150"/>
      <c r="FL66" s="150"/>
      <c r="FM66" s="150"/>
      <c r="FN66" s="150"/>
      <c r="FO66" s="150"/>
      <c r="FP66" s="150"/>
      <c r="FQ66" s="150"/>
      <c r="FR66" s="150"/>
      <c r="FS66" s="150"/>
      <c r="FT66" s="150"/>
      <c r="FU66" s="150"/>
      <c r="FV66" s="150"/>
      <c r="FW66" s="150"/>
      <c r="FX66" s="150"/>
      <c r="FY66" s="150"/>
      <c r="FZ66" s="150"/>
      <c r="GA66" s="150"/>
      <c r="GB66" s="150"/>
      <c r="GC66" s="150"/>
      <c r="GD66" s="150"/>
      <c r="GE66" s="150"/>
      <c r="GF66" s="175"/>
      <c r="GG66" s="150"/>
      <c r="GH66" s="150"/>
      <c r="GI66" s="150"/>
      <c r="GJ66" s="150"/>
      <c r="GK66" s="150"/>
      <c r="GL66" s="150"/>
      <c r="GM66" s="150"/>
      <c r="GN66" s="150"/>
      <c r="GO66" s="150"/>
      <c r="GP66" s="150"/>
      <c r="GQ66" s="150"/>
      <c r="GR66" s="150"/>
      <c r="GS66" s="150"/>
      <c r="GT66" s="150"/>
      <c r="GU66" s="150"/>
      <c r="GV66" s="150"/>
      <c r="GW66" s="150"/>
      <c r="GX66" s="150"/>
      <c r="GY66" s="150"/>
      <c r="GZ66" s="150"/>
      <c r="HA66" s="150"/>
      <c r="HB66" s="150"/>
      <c r="HC66" s="150"/>
      <c r="HD66" s="150"/>
      <c r="HE66" s="150"/>
      <c r="HF66" s="150"/>
      <c r="HG66" s="150"/>
      <c r="HH66" s="150"/>
      <c r="HI66" s="150"/>
      <c r="HJ66" s="150"/>
      <c r="HK66" s="150"/>
      <c r="HL66" s="150"/>
      <c r="HM66" s="150"/>
      <c r="HN66" s="150"/>
      <c r="HO66" s="150"/>
      <c r="HP66" s="150"/>
      <c r="HQ66" s="150"/>
      <c r="HR66" s="150"/>
      <c r="HS66" s="150"/>
      <c r="HT66" s="150"/>
      <c r="HU66" s="150"/>
      <c r="HV66" s="150"/>
      <c r="HW66" s="150"/>
      <c r="HX66" s="150"/>
      <c r="HY66" s="150"/>
      <c r="HZ66" s="150"/>
      <c r="IA66" s="150"/>
      <c r="IB66" s="150"/>
      <c r="IC66" s="150"/>
      <c r="ID66" s="150"/>
      <c r="IE66" s="150"/>
      <c r="IF66" s="150"/>
      <c r="IG66" s="150"/>
      <c r="IH66" s="150"/>
      <c r="II66" s="150"/>
      <c r="IJ66" s="150"/>
    </row>
    <row r="67" spans="1:244" ht="15" customHeight="1">
      <c r="A67" s="5"/>
      <c r="B67" s="5"/>
      <c r="C67" s="193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W67" s="150"/>
      <c r="AX67" s="150"/>
      <c r="AY67" s="150"/>
      <c r="AZ67" s="150"/>
      <c r="BA67" s="174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  <c r="DO67" s="150"/>
      <c r="DP67" s="150"/>
      <c r="DQ67" s="150"/>
      <c r="DR67" s="150"/>
      <c r="DS67" s="150"/>
      <c r="DT67" s="150"/>
      <c r="DU67" s="150"/>
      <c r="DV67" s="150"/>
      <c r="DW67" s="150"/>
      <c r="DX67" s="150"/>
      <c r="DY67" s="150"/>
      <c r="DZ67" s="150"/>
      <c r="EA67" s="150"/>
      <c r="EB67" s="150"/>
      <c r="EC67" s="150"/>
      <c r="ED67" s="150"/>
      <c r="EE67" s="150"/>
      <c r="EF67" s="150"/>
      <c r="EG67" s="150"/>
      <c r="EH67" s="150"/>
      <c r="EI67" s="150"/>
      <c r="EJ67" s="150"/>
      <c r="EK67" s="150"/>
      <c r="EL67" s="150"/>
      <c r="EM67" s="150"/>
      <c r="EN67" s="150"/>
      <c r="EO67" s="150"/>
      <c r="EP67" s="150"/>
      <c r="EQ67" s="150"/>
      <c r="ER67" s="150"/>
      <c r="ES67" s="150"/>
      <c r="ET67" s="150"/>
      <c r="EU67" s="150"/>
      <c r="EV67" s="150"/>
      <c r="EW67" s="150"/>
      <c r="EX67" s="150"/>
      <c r="EY67" s="150"/>
      <c r="EZ67" s="150"/>
      <c r="FA67" s="150"/>
      <c r="FB67" s="150"/>
      <c r="FC67" s="150"/>
      <c r="FD67" s="150"/>
      <c r="FE67" s="150"/>
      <c r="FF67" s="150"/>
      <c r="FG67" s="150"/>
      <c r="FH67" s="150"/>
      <c r="FI67" s="150"/>
      <c r="FJ67" s="150"/>
      <c r="FK67" s="150"/>
      <c r="FL67" s="150"/>
      <c r="FM67" s="150"/>
      <c r="FN67" s="150"/>
      <c r="FO67" s="150"/>
      <c r="FP67" s="150"/>
      <c r="FQ67" s="150"/>
      <c r="FR67" s="150"/>
      <c r="FS67" s="150"/>
      <c r="FT67" s="150"/>
      <c r="FU67" s="150"/>
      <c r="FV67" s="150"/>
      <c r="FW67" s="150"/>
      <c r="FX67" s="150"/>
      <c r="FY67" s="150"/>
      <c r="FZ67" s="150"/>
      <c r="GA67" s="150"/>
      <c r="GB67" s="150"/>
      <c r="GC67" s="150"/>
      <c r="GD67" s="150"/>
      <c r="GE67" s="150"/>
      <c r="GF67" s="175"/>
      <c r="GG67" s="150"/>
      <c r="GH67" s="150"/>
      <c r="GI67" s="150"/>
      <c r="GJ67" s="150"/>
      <c r="GK67" s="150"/>
      <c r="GL67" s="150"/>
      <c r="GM67" s="150"/>
      <c r="GN67" s="150"/>
      <c r="GO67" s="150"/>
      <c r="GP67" s="150"/>
      <c r="GQ67" s="150"/>
      <c r="GR67" s="150"/>
      <c r="GS67" s="150"/>
      <c r="GT67" s="150"/>
      <c r="GU67" s="150"/>
      <c r="GV67" s="150"/>
      <c r="GW67" s="150"/>
      <c r="GX67" s="150"/>
      <c r="GY67" s="150"/>
      <c r="GZ67" s="150"/>
      <c r="HA67" s="150"/>
      <c r="HB67" s="150"/>
      <c r="HC67" s="150"/>
      <c r="HD67" s="150"/>
      <c r="HE67" s="150"/>
      <c r="HF67" s="150"/>
      <c r="HG67" s="150"/>
      <c r="HH67" s="150"/>
      <c r="HI67" s="150"/>
      <c r="HJ67" s="150"/>
      <c r="HK67" s="150"/>
      <c r="HL67" s="150"/>
      <c r="HM67" s="150"/>
      <c r="HN67" s="150"/>
      <c r="HO67" s="150"/>
      <c r="HP67" s="150"/>
      <c r="HQ67" s="150"/>
      <c r="HR67" s="150"/>
      <c r="HS67" s="150"/>
      <c r="HT67" s="150"/>
      <c r="HU67" s="150"/>
      <c r="HV67" s="150"/>
      <c r="HW67" s="150"/>
      <c r="HX67" s="150"/>
      <c r="HY67" s="150"/>
      <c r="HZ67" s="150"/>
      <c r="IA67" s="150"/>
      <c r="IB67" s="150"/>
      <c r="IC67" s="150"/>
      <c r="ID67" s="150"/>
      <c r="IE67" s="150"/>
      <c r="IF67" s="150"/>
      <c r="IG67" s="150"/>
      <c r="IH67" s="150"/>
      <c r="II67" s="150"/>
      <c r="IJ67" s="150"/>
    </row>
    <row r="68" spans="1:244" ht="15" customHeight="1">
      <c r="A68" s="5"/>
      <c r="B68" s="5"/>
      <c r="C68" s="193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W68" s="150"/>
      <c r="AX68" s="150"/>
      <c r="AY68" s="150"/>
      <c r="AZ68" s="150"/>
      <c r="BA68" s="174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  <c r="DO68" s="150"/>
      <c r="DP68" s="150"/>
      <c r="DQ68" s="150"/>
      <c r="DR68" s="150"/>
      <c r="DS68" s="150"/>
      <c r="DT68" s="150"/>
      <c r="DU68" s="150"/>
      <c r="DV68" s="150"/>
      <c r="DW68" s="150"/>
      <c r="DX68" s="150"/>
      <c r="DY68" s="150"/>
      <c r="DZ68" s="150"/>
      <c r="EA68" s="150"/>
      <c r="EB68" s="150"/>
      <c r="EC68" s="150"/>
      <c r="ED68" s="150"/>
      <c r="EE68" s="150"/>
      <c r="EF68" s="150"/>
      <c r="EG68" s="150"/>
      <c r="EH68" s="150"/>
      <c r="EI68" s="150"/>
      <c r="EJ68" s="150"/>
      <c r="EK68" s="150"/>
      <c r="EL68" s="150"/>
      <c r="EM68" s="150"/>
      <c r="EN68" s="150"/>
      <c r="EO68" s="150"/>
      <c r="EP68" s="150"/>
      <c r="EQ68" s="150"/>
      <c r="ER68" s="150"/>
      <c r="ES68" s="150"/>
      <c r="ET68" s="150"/>
      <c r="EU68" s="150"/>
      <c r="EV68" s="150"/>
      <c r="EW68" s="150"/>
      <c r="EX68" s="150"/>
      <c r="EY68" s="150"/>
      <c r="EZ68" s="150"/>
      <c r="FA68" s="150"/>
      <c r="FB68" s="150"/>
      <c r="FC68" s="150"/>
      <c r="FD68" s="150"/>
      <c r="FE68" s="150"/>
      <c r="FF68" s="150"/>
      <c r="FG68" s="150"/>
      <c r="FH68" s="150"/>
      <c r="FI68" s="150"/>
      <c r="FJ68" s="150"/>
      <c r="FK68" s="150"/>
      <c r="FL68" s="150"/>
      <c r="FM68" s="150"/>
      <c r="FN68" s="150"/>
      <c r="FO68" s="150"/>
      <c r="FP68" s="150"/>
      <c r="FQ68" s="150"/>
      <c r="FR68" s="150"/>
      <c r="FS68" s="150"/>
      <c r="FT68" s="150"/>
      <c r="FU68" s="150"/>
      <c r="FV68" s="150"/>
      <c r="FW68" s="150"/>
      <c r="FX68" s="150"/>
      <c r="FY68" s="150"/>
      <c r="FZ68" s="150"/>
      <c r="GA68" s="150"/>
      <c r="GB68" s="150"/>
      <c r="GC68" s="150"/>
      <c r="GD68" s="150"/>
      <c r="GE68" s="150"/>
      <c r="GF68" s="175"/>
      <c r="GG68" s="150"/>
      <c r="GH68" s="150"/>
      <c r="GI68" s="150"/>
      <c r="GJ68" s="150"/>
      <c r="GK68" s="150"/>
      <c r="GL68" s="150"/>
      <c r="GM68" s="150"/>
      <c r="GN68" s="150"/>
      <c r="GO68" s="150"/>
      <c r="GP68" s="150"/>
      <c r="GQ68" s="150"/>
      <c r="GR68" s="150"/>
      <c r="GS68" s="150"/>
      <c r="GT68" s="150"/>
      <c r="GU68" s="150"/>
      <c r="GV68" s="150"/>
      <c r="GW68" s="150"/>
      <c r="GX68" s="150"/>
      <c r="GY68" s="150"/>
      <c r="GZ68" s="150"/>
      <c r="HA68" s="150"/>
      <c r="HB68" s="150"/>
      <c r="HC68" s="150"/>
      <c r="HD68" s="150"/>
      <c r="HE68" s="150"/>
      <c r="HF68" s="150"/>
      <c r="HG68" s="150"/>
      <c r="HH68" s="150"/>
      <c r="HI68" s="150"/>
      <c r="HJ68" s="150"/>
      <c r="HK68" s="150"/>
      <c r="HL68" s="150"/>
      <c r="HM68" s="150"/>
      <c r="HN68" s="150"/>
      <c r="HO68" s="150"/>
      <c r="HP68" s="150"/>
      <c r="HQ68" s="150"/>
      <c r="HR68" s="150"/>
      <c r="HS68" s="150"/>
      <c r="HT68" s="150"/>
      <c r="HU68" s="150"/>
      <c r="HV68" s="150"/>
      <c r="HW68" s="150"/>
      <c r="HX68" s="150"/>
      <c r="HY68" s="150"/>
      <c r="HZ68" s="150"/>
      <c r="IA68" s="150"/>
      <c r="IB68" s="150"/>
      <c r="IC68" s="150"/>
      <c r="ID68" s="150"/>
      <c r="IE68" s="150"/>
      <c r="IF68" s="150"/>
      <c r="IG68" s="150"/>
      <c r="IH68" s="150"/>
      <c r="II68" s="150"/>
      <c r="IJ68" s="150"/>
    </row>
    <row r="69" spans="1:244" ht="15" customHeight="1">
      <c r="A69" s="5"/>
      <c r="B69" s="5"/>
      <c r="C69" s="19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W69" s="150"/>
      <c r="AX69" s="150"/>
      <c r="AY69" s="150"/>
      <c r="AZ69" s="150"/>
      <c r="BA69" s="174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  <c r="DO69" s="150"/>
      <c r="DP69" s="150"/>
      <c r="DQ69" s="150"/>
      <c r="DR69" s="150"/>
      <c r="DS69" s="150"/>
      <c r="DT69" s="150"/>
      <c r="DU69" s="150"/>
      <c r="DV69" s="150"/>
      <c r="DW69" s="150"/>
      <c r="DX69" s="150"/>
      <c r="DY69" s="150"/>
      <c r="DZ69" s="150"/>
      <c r="EA69" s="150"/>
      <c r="EB69" s="150"/>
      <c r="EC69" s="150"/>
      <c r="ED69" s="150"/>
      <c r="EE69" s="150"/>
      <c r="EF69" s="150"/>
      <c r="EG69" s="150"/>
      <c r="EH69" s="150"/>
      <c r="EI69" s="150"/>
      <c r="EJ69" s="150"/>
      <c r="EK69" s="150"/>
      <c r="EL69" s="150"/>
      <c r="EM69" s="150"/>
      <c r="EN69" s="150"/>
      <c r="EO69" s="150"/>
      <c r="EP69" s="150"/>
      <c r="EQ69" s="150"/>
      <c r="ER69" s="150"/>
      <c r="ES69" s="150"/>
      <c r="ET69" s="150"/>
      <c r="EU69" s="150"/>
      <c r="EV69" s="150"/>
      <c r="EW69" s="150"/>
      <c r="EX69" s="150"/>
      <c r="EY69" s="150"/>
      <c r="EZ69" s="150"/>
      <c r="FA69" s="150"/>
      <c r="FB69" s="150"/>
      <c r="FC69" s="150"/>
      <c r="FD69" s="150"/>
      <c r="FE69" s="150"/>
      <c r="FF69" s="150"/>
      <c r="FG69" s="150"/>
      <c r="FH69" s="150"/>
      <c r="FI69" s="150"/>
      <c r="FJ69" s="150"/>
      <c r="FK69" s="150"/>
      <c r="FL69" s="150"/>
      <c r="FM69" s="150"/>
      <c r="FN69" s="150"/>
      <c r="FO69" s="150"/>
      <c r="FP69" s="150"/>
      <c r="FQ69" s="150"/>
      <c r="FR69" s="150"/>
      <c r="FS69" s="150"/>
      <c r="FT69" s="150"/>
      <c r="FU69" s="150"/>
      <c r="FV69" s="150"/>
      <c r="FW69" s="150"/>
      <c r="FX69" s="150"/>
      <c r="FY69" s="150"/>
      <c r="FZ69" s="150"/>
      <c r="GA69" s="150"/>
      <c r="GB69" s="150"/>
      <c r="GC69" s="150"/>
      <c r="GD69" s="150"/>
      <c r="GE69" s="150"/>
      <c r="GF69" s="175"/>
      <c r="GG69" s="150"/>
      <c r="GH69" s="150"/>
      <c r="GI69" s="150"/>
      <c r="GJ69" s="150"/>
      <c r="GK69" s="150"/>
      <c r="GL69" s="150"/>
      <c r="GM69" s="150"/>
      <c r="GN69" s="150"/>
      <c r="GO69" s="150"/>
      <c r="GP69" s="150"/>
      <c r="GQ69" s="150"/>
      <c r="GR69" s="150"/>
      <c r="GS69" s="150"/>
      <c r="GT69" s="150"/>
      <c r="GU69" s="150"/>
      <c r="GV69" s="150"/>
      <c r="GW69" s="150"/>
      <c r="GX69" s="150"/>
      <c r="GY69" s="150"/>
      <c r="GZ69" s="150"/>
      <c r="HA69" s="150"/>
      <c r="HB69" s="150"/>
      <c r="HC69" s="150"/>
      <c r="HD69" s="150"/>
      <c r="HE69" s="150"/>
      <c r="HF69" s="150"/>
      <c r="HG69" s="150"/>
      <c r="HH69" s="150"/>
      <c r="HI69" s="150"/>
      <c r="HJ69" s="150"/>
      <c r="HK69" s="150"/>
      <c r="HL69" s="150"/>
      <c r="HM69" s="150"/>
      <c r="HN69" s="150"/>
      <c r="HO69" s="150"/>
      <c r="HP69" s="150"/>
      <c r="HQ69" s="150"/>
      <c r="HR69" s="150"/>
      <c r="HS69" s="150"/>
      <c r="HT69" s="150"/>
      <c r="HU69" s="150"/>
      <c r="HV69" s="150"/>
      <c r="HW69" s="150"/>
      <c r="HX69" s="150"/>
      <c r="HY69" s="150"/>
      <c r="HZ69" s="150"/>
      <c r="IA69" s="150"/>
      <c r="IB69" s="150"/>
      <c r="IC69" s="150"/>
      <c r="ID69" s="150"/>
      <c r="IE69" s="150"/>
      <c r="IF69" s="150"/>
      <c r="IG69" s="150"/>
      <c r="IH69" s="150"/>
      <c r="II69" s="150"/>
      <c r="IJ69" s="150"/>
    </row>
    <row r="70" spans="1:244" ht="15" customHeight="1">
      <c r="A70" s="5"/>
      <c r="B70" s="5"/>
      <c r="C70" s="193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W70" s="150"/>
      <c r="AX70" s="150"/>
      <c r="AY70" s="150"/>
      <c r="AZ70" s="150"/>
      <c r="BA70" s="174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  <c r="DO70" s="150"/>
      <c r="DP70" s="150"/>
      <c r="DQ70" s="150"/>
      <c r="DR70" s="150"/>
      <c r="DS70" s="150"/>
      <c r="DT70" s="150"/>
      <c r="DU70" s="150"/>
      <c r="DV70" s="150"/>
      <c r="DW70" s="150"/>
      <c r="DX70" s="150"/>
      <c r="DY70" s="150"/>
      <c r="DZ70" s="150"/>
      <c r="EA70" s="150"/>
      <c r="EB70" s="150"/>
      <c r="EC70" s="150"/>
      <c r="ED70" s="150"/>
      <c r="EE70" s="150"/>
      <c r="EF70" s="150"/>
      <c r="EG70" s="150"/>
      <c r="EH70" s="150"/>
      <c r="EI70" s="150"/>
      <c r="EJ70" s="150"/>
      <c r="EK70" s="150"/>
      <c r="EL70" s="150"/>
      <c r="EM70" s="150"/>
      <c r="EN70" s="150"/>
      <c r="EO70" s="150"/>
      <c r="EP70" s="150"/>
      <c r="EQ70" s="150"/>
      <c r="ER70" s="150"/>
      <c r="ES70" s="150"/>
      <c r="ET70" s="150"/>
      <c r="EU70" s="150"/>
      <c r="EV70" s="150"/>
      <c r="EW70" s="150"/>
      <c r="EX70" s="150"/>
      <c r="EY70" s="150"/>
      <c r="EZ70" s="150"/>
      <c r="FA70" s="150"/>
      <c r="FB70" s="150"/>
      <c r="FC70" s="150"/>
      <c r="FD70" s="150"/>
      <c r="FE70" s="150"/>
      <c r="FF70" s="150"/>
      <c r="FG70" s="150"/>
      <c r="FH70" s="150"/>
      <c r="FI70" s="150"/>
      <c r="FJ70" s="150"/>
      <c r="FK70" s="150"/>
      <c r="FL70" s="150"/>
      <c r="FM70" s="150"/>
      <c r="FN70" s="150"/>
      <c r="FO70" s="150"/>
      <c r="FP70" s="150"/>
      <c r="FQ70" s="150"/>
      <c r="FR70" s="150"/>
      <c r="FS70" s="150"/>
      <c r="FT70" s="150"/>
      <c r="FU70" s="150"/>
      <c r="FV70" s="150"/>
      <c r="FW70" s="150"/>
      <c r="FX70" s="150"/>
      <c r="FY70" s="150"/>
      <c r="FZ70" s="150"/>
      <c r="GA70" s="150"/>
      <c r="GB70" s="150"/>
      <c r="GC70" s="150"/>
      <c r="GD70" s="150"/>
      <c r="GE70" s="150"/>
      <c r="GF70" s="175"/>
      <c r="GG70" s="150"/>
      <c r="GH70" s="150"/>
      <c r="GI70" s="150"/>
      <c r="GJ70" s="150"/>
      <c r="GK70" s="150"/>
      <c r="GL70" s="150"/>
      <c r="GM70" s="150"/>
      <c r="GN70" s="150"/>
      <c r="GO70" s="150"/>
      <c r="GP70" s="150"/>
      <c r="GQ70" s="150"/>
      <c r="GR70" s="150"/>
      <c r="GS70" s="150"/>
      <c r="GT70" s="150"/>
      <c r="GU70" s="150"/>
      <c r="GV70" s="150"/>
      <c r="GW70" s="150"/>
      <c r="GX70" s="150"/>
      <c r="GY70" s="150"/>
      <c r="GZ70" s="150"/>
      <c r="HA70" s="150"/>
      <c r="HB70" s="150"/>
      <c r="HC70" s="150"/>
      <c r="HD70" s="150"/>
      <c r="HE70" s="150"/>
      <c r="HF70" s="150"/>
      <c r="HG70" s="150"/>
      <c r="HH70" s="150"/>
      <c r="HI70" s="150"/>
      <c r="HJ70" s="150"/>
      <c r="HK70" s="150"/>
      <c r="HL70" s="150"/>
      <c r="HM70" s="150"/>
      <c r="HN70" s="150"/>
      <c r="HO70" s="150"/>
      <c r="HP70" s="150"/>
      <c r="HQ70" s="150"/>
      <c r="HR70" s="150"/>
      <c r="HS70" s="150"/>
      <c r="HT70" s="150"/>
      <c r="HU70" s="150"/>
      <c r="HV70" s="150"/>
      <c r="HW70" s="150"/>
      <c r="HX70" s="150"/>
      <c r="HY70" s="150"/>
      <c r="HZ70" s="150"/>
      <c r="IA70" s="150"/>
      <c r="IB70" s="150"/>
      <c r="IC70" s="150"/>
      <c r="ID70" s="150"/>
      <c r="IE70" s="150"/>
      <c r="IF70" s="150"/>
      <c r="IG70" s="150"/>
      <c r="IH70" s="150"/>
      <c r="II70" s="150"/>
      <c r="IJ70" s="150"/>
    </row>
    <row r="71" spans="1:244" ht="15" customHeight="1">
      <c r="A71" s="5"/>
      <c r="B71" s="5"/>
      <c r="C71" s="193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W71" s="150"/>
      <c r="AX71" s="150"/>
      <c r="AY71" s="150"/>
      <c r="AZ71" s="150"/>
      <c r="BA71" s="174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  <c r="EC71" s="150"/>
      <c r="ED71" s="150"/>
      <c r="EE71" s="150"/>
      <c r="EF71" s="150"/>
      <c r="EG71" s="150"/>
      <c r="EH71" s="150"/>
      <c r="EI71" s="150"/>
      <c r="EJ71" s="150"/>
      <c r="EK71" s="150"/>
      <c r="EL71" s="150"/>
      <c r="EM71" s="150"/>
      <c r="EN71" s="150"/>
      <c r="EO71" s="150"/>
      <c r="EP71" s="150"/>
      <c r="EQ71" s="150"/>
      <c r="ER71" s="150"/>
      <c r="ES71" s="150"/>
      <c r="ET71" s="150"/>
      <c r="EU71" s="150"/>
      <c r="EV71" s="150"/>
      <c r="EW71" s="150"/>
      <c r="EX71" s="150"/>
      <c r="EY71" s="150"/>
      <c r="EZ71" s="150"/>
      <c r="FA71" s="150"/>
      <c r="FB71" s="150"/>
      <c r="FC71" s="150"/>
      <c r="FD71" s="150"/>
      <c r="FE71" s="150"/>
      <c r="FF71" s="150"/>
      <c r="FG71" s="150"/>
      <c r="FH71" s="150"/>
      <c r="FI71" s="150"/>
      <c r="FJ71" s="150"/>
      <c r="FK71" s="150"/>
      <c r="FL71" s="150"/>
      <c r="FM71" s="150"/>
      <c r="FN71" s="150"/>
      <c r="FO71" s="150"/>
      <c r="FP71" s="150"/>
      <c r="FQ71" s="150"/>
      <c r="FR71" s="150"/>
      <c r="FS71" s="150"/>
      <c r="FT71" s="150"/>
      <c r="FU71" s="150"/>
      <c r="FV71" s="150"/>
      <c r="FW71" s="150"/>
      <c r="FX71" s="150"/>
      <c r="FY71" s="150"/>
      <c r="FZ71" s="150"/>
      <c r="GA71" s="150"/>
      <c r="GB71" s="150"/>
      <c r="GC71" s="150"/>
      <c r="GD71" s="150"/>
      <c r="GE71" s="150"/>
      <c r="GF71" s="175"/>
      <c r="GG71" s="150"/>
      <c r="GH71" s="150"/>
      <c r="GI71" s="150"/>
      <c r="GJ71" s="150"/>
      <c r="GK71" s="150"/>
      <c r="GL71" s="150"/>
      <c r="GM71" s="150"/>
      <c r="GN71" s="150"/>
      <c r="GO71" s="150"/>
      <c r="GP71" s="150"/>
      <c r="GQ71" s="150"/>
      <c r="GR71" s="150"/>
      <c r="GS71" s="150"/>
      <c r="GT71" s="150"/>
      <c r="GU71" s="150"/>
      <c r="GV71" s="150"/>
      <c r="GW71" s="150"/>
      <c r="GX71" s="150"/>
      <c r="GY71" s="150"/>
      <c r="GZ71" s="150"/>
      <c r="HA71" s="150"/>
      <c r="HB71" s="150"/>
      <c r="HC71" s="150"/>
      <c r="HD71" s="150"/>
      <c r="HE71" s="150"/>
      <c r="HF71" s="150"/>
      <c r="HG71" s="150"/>
      <c r="HH71" s="150"/>
      <c r="HI71" s="150"/>
      <c r="HJ71" s="150"/>
      <c r="HK71" s="150"/>
      <c r="HL71" s="150"/>
      <c r="HM71" s="150"/>
      <c r="HN71" s="150"/>
      <c r="HO71" s="150"/>
      <c r="HP71" s="150"/>
      <c r="HQ71" s="150"/>
      <c r="HR71" s="150"/>
      <c r="HS71" s="150"/>
      <c r="HT71" s="150"/>
      <c r="HU71" s="150"/>
      <c r="HV71" s="150"/>
      <c r="HW71" s="150"/>
      <c r="HX71" s="150"/>
      <c r="HY71" s="150"/>
      <c r="HZ71" s="150"/>
      <c r="IA71" s="150"/>
      <c r="IB71" s="150"/>
      <c r="IC71" s="150"/>
      <c r="ID71" s="150"/>
      <c r="IE71" s="150"/>
      <c r="IF71" s="150"/>
      <c r="IG71" s="150"/>
      <c r="IH71" s="150"/>
      <c r="II71" s="150"/>
      <c r="IJ71" s="150"/>
    </row>
    <row r="72" spans="1:244" ht="15" customHeight="1">
      <c r="A72" s="5"/>
      <c r="B72" s="5"/>
      <c r="C72" s="193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W72" s="150"/>
      <c r="AX72" s="150"/>
      <c r="AY72" s="150"/>
      <c r="AZ72" s="150"/>
      <c r="BA72" s="174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  <c r="DO72" s="150"/>
      <c r="DP72" s="150"/>
      <c r="DQ72" s="150"/>
      <c r="DR72" s="150"/>
      <c r="DS72" s="150"/>
      <c r="DT72" s="150"/>
      <c r="DU72" s="150"/>
      <c r="DV72" s="150"/>
      <c r="DW72" s="150"/>
      <c r="DX72" s="150"/>
      <c r="DY72" s="150"/>
      <c r="DZ72" s="150"/>
      <c r="EA72" s="150"/>
      <c r="EB72" s="150"/>
      <c r="EC72" s="150"/>
      <c r="ED72" s="150"/>
      <c r="EE72" s="150"/>
      <c r="EF72" s="150"/>
      <c r="EG72" s="150"/>
      <c r="EH72" s="150"/>
      <c r="EI72" s="150"/>
      <c r="EJ72" s="150"/>
      <c r="EK72" s="150"/>
      <c r="EL72" s="150"/>
      <c r="EM72" s="150"/>
      <c r="EN72" s="150"/>
      <c r="EO72" s="150"/>
      <c r="EP72" s="150"/>
      <c r="EQ72" s="150"/>
      <c r="ER72" s="150"/>
      <c r="ES72" s="150"/>
      <c r="ET72" s="150"/>
      <c r="EU72" s="150"/>
      <c r="EV72" s="150"/>
      <c r="EW72" s="150"/>
      <c r="EX72" s="150"/>
      <c r="EY72" s="150"/>
      <c r="EZ72" s="150"/>
      <c r="FA72" s="150"/>
      <c r="FB72" s="150"/>
      <c r="FC72" s="150"/>
      <c r="FD72" s="150"/>
      <c r="FE72" s="150"/>
      <c r="FF72" s="150"/>
      <c r="FG72" s="150"/>
      <c r="FH72" s="150"/>
      <c r="FI72" s="150"/>
      <c r="FJ72" s="150"/>
      <c r="FK72" s="150"/>
      <c r="FL72" s="150"/>
      <c r="FM72" s="150"/>
      <c r="FN72" s="150"/>
      <c r="FO72" s="150"/>
      <c r="FP72" s="150"/>
      <c r="FQ72" s="150"/>
      <c r="FR72" s="150"/>
      <c r="FS72" s="150"/>
      <c r="FT72" s="150"/>
      <c r="FU72" s="150"/>
      <c r="FV72" s="150"/>
      <c r="FW72" s="150"/>
      <c r="FX72" s="150"/>
      <c r="FY72" s="150"/>
      <c r="FZ72" s="150"/>
      <c r="GA72" s="150"/>
      <c r="GB72" s="150"/>
      <c r="GC72" s="150"/>
      <c r="GD72" s="150"/>
      <c r="GE72" s="150"/>
      <c r="GF72" s="175"/>
      <c r="GG72" s="150"/>
      <c r="GH72" s="150"/>
      <c r="GI72" s="150"/>
      <c r="GJ72" s="150"/>
      <c r="GK72" s="150"/>
      <c r="GL72" s="150"/>
      <c r="GM72" s="150"/>
      <c r="GN72" s="150"/>
      <c r="GO72" s="150"/>
      <c r="GP72" s="150"/>
      <c r="GQ72" s="150"/>
      <c r="GR72" s="150"/>
      <c r="GS72" s="150"/>
      <c r="GT72" s="150"/>
      <c r="GU72" s="150"/>
      <c r="GV72" s="150"/>
      <c r="GW72" s="150"/>
      <c r="GX72" s="150"/>
      <c r="GY72" s="150"/>
      <c r="GZ72" s="150"/>
      <c r="HA72" s="150"/>
      <c r="HB72" s="150"/>
      <c r="HC72" s="150"/>
      <c r="HD72" s="150"/>
      <c r="HE72" s="150"/>
      <c r="HF72" s="150"/>
      <c r="HG72" s="150"/>
      <c r="HH72" s="150"/>
      <c r="HI72" s="150"/>
      <c r="HJ72" s="150"/>
      <c r="HK72" s="150"/>
      <c r="HL72" s="150"/>
      <c r="HM72" s="150"/>
      <c r="HN72" s="150"/>
      <c r="HO72" s="150"/>
      <c r="HP72" s="150"/>
      <c r="HQ72" s="150"/>
      <c r="HR72" s="150"/>
      <c r="HS72" s="150"/>
      <c r="HT72" s="150"/>
      <c r="HU72" s="150"/>
      <c r="HV72" s="150"/>
      <c r="HW72" s="150"/>
      <c r="HX72" s="150"/>
      <c r="HY72" s="150"/>
      <c r="HZ72" s="150"/>
      <c r="IA72" s="150"/>
      <c r="IB72" s="150"/>
      <c r="IC72" s="150"/>
      <c r="ID72" s="150"/>
      <c r="IE72" s="150"/>
      <c r="IF72" s="150"/>
      <c r="IG72" s="150"/>
      <c r="IH72" s="150"/>
      <c r="II72" s="150"/>
      <c r="IJ72" s="150"/>
    </row>
    <row r="73" spans="1:244" ht="15" customHeight="1">
      <c r="A73" s="5"/>
      <c r="B73" s="5"/>
      <c r="C73" s="19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W73" s="150"/>
      <c r="AX73" s="150"/>
      <c r="AY73" s="150"/>
      <c r="AZ73" s="150"/>
      <c r="BA73" s="174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  <c r="DO73" s="150"/>
      <c r="DP73" s="150"/>
      <c r="DQ73" s="150"/>
      <c r="DR73" s="150"/>
      <c r="DS73" s="150"/>
      <c r="DT73" s="150"/>
      <c r="DU73" s="150"/>
      <c r="DV73" s="150"/>
      <c r="DW73" s="150"/>
      <c r="DX73" s="150"/>
      <c r="DY73" s="150"/>
      <c r="DZ73" s="150"/>
      <c r="EA73" s="150"/>
      <c r="EB73" s="150"/>
      <c r="EC73" s="150"/>
      <c r="ED73" s="150"/>
      <c r="EE73" s="150"/>
      <c r="EF73" s="150"/>
      <c r="EG73" s="150"/>
      <c r="EH73" s="150"/>
      <c r="EI73" s="150"/>
      <c r="EJ73" s="150"/>
      <c r="EK73" s="150"/>
      <c r="EL73" s="150"/>
      <c r="EM73" s="150"/>
      <c r="EN73" s="150"/>
      <c r="EO73" s="150"/>
      <c r="EP73" s="150"/>
      <c r="EQ73" s="150"/>
      <c r="ER73" s="150"/>
      <c r="ES73" s="150"/>
      <c r="ET73" s="150"/>
      <c r="EU73" s="150"/>
      <c r="EV73" s="150"/>
      <c r="EW73" s="150"/>
      <c r="EX73" s="150"/>
      <c r="EY73" s="150"/>
      <c r="EZ73" s="150"/>
      <c r="FA73" s="150"/>
      <c r="FB73" s="150"/>
      <c r="FC73" s="150"/>
      <c r="FD73" s="150"/>
      <c r="FE73" s="150"/>
      <c r="FF73" s="150"/>
      <c r="FG73" s="150"/>
      <c r="FH73" s="150"/>
      <c r="FI73" s="150"/>
      <c r="FJ73" s="150"/>
      <c r="FK73" s="150"/>
      <c r="FL73" s="150"/>
      <c r="FM73" s="150"/>
      <c r="FN73" s="150"/>
      <c r="FO73" s="150"/>
      <c r="FP73" s="150"/>
      <c r="FQ73" s="150"/>
      <c r="FR73" s="150"/>
      <c r="FS73" s="150"/>
      <c r="FT73" s="150"/>
      <c r="FU73" s="150"/>
      <c r="FV73" s="150"/>
      <c r="FW73" s="150"/>
      <c r="FX73" s="150"/>
      <c r="FY73" s="150"/>
      <c r="FZ73" s="150"/>
      <c r="GA73" s="150"/>
      <c r="GB73" s="150"/>
      <c r="GC73" s="150"/>
      <c r="GD73" s="150"/>
      <c r="GE73" s="150"/>
      <c r="GF73" s="175"/>
      <c r="GG73" s="150"/>
      <c r="GH73" s="150"/>
      <c r="GI73" s="150"/>
      <c r="GJ73" s="150"/>
      <c r="GK73" s="150"/>
      <c r="GL73" s="150"/>
      <c r="GM73" s="150"/>
      <c r="GN73" s="150"/>
      <c r="GO73" s="150"/>
      <c r="GP73" s="150"/>
      <c r="GQ73" s="150"/>
      <c r="GR73" s="150"/>
      <c r="GS73" s="150"/>
      <c r="GT73" s="150"/>
      <c r="GU73" s="150"/>
      <c r="GV73" s="150"/>
      <c r="GW73" s="150"/>
      <c r="GX73" s="150"/>
      <c r="GY73" s="150"/>
      <c r="GZ73" s="150"/>
      <c r="HA73" s="150"/>
      <c r="HB73" s="150"/>
      <c r="HC73" s="150"/>
      <c r="HD73" s="150"/>
      <c r="HE73" s="150"/>
      <c r="HF73" s="150"/>
      <c r="HG73" s="150"/>
      <c r="HH73" s="150"/>
      <c r="HI73" s="150"/>
      <c r="HJ73" s="150"/>
      <c r="HK73" s="150"/>
      <c r="HL73" s="150"/>
      <c r="HM73" s="150"/>
      <c r="HN73" s="150"/>
      <c r="HO73" s="150"/>
      <c r="HP73" s="150"/>
      <c r="HQ73" s="150"/>
      <c r="HR73" s="150"/>
      <c r="HS73" s="150"/>
      <c r="HT73" s="150"/>
      <c r="HU73" s="150"/>
      <c r="HV73" s="150"/>
      <c r="HW73" s="150"/>
      <c r="HX73" s="150"/>
      <c r="HY73" s="150"/>
      <c r="HZ73" s="150"/>
      <c r="IA73" s="150"/>
      <c r="IB73" s="150"/>
      <c r="IC73" s="150"/>
      <c r="ID73" s="150"/>
      <c r="IE73" s="150"/>
      <c r="IF73" s="150"/>
      <c r="IG73" s="150"/>
      <c r="IH73" s="150"/>
      <c r="II73" s="150"/>
      <c r="IJ73" s="150"/>
    </row>
    <row r="74" spans="1:244" ht="15" customHeight="1">
      <c r="A74" s="5"/>
      <c r="B74" s="5"/>
      <c r="C74" s="193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W74" s="150"/>
      <c r="AX74" s="150"/>
      <c r="AY74" s="150"/>
      <c r="AZ74" s="150"/>
      <c r="BA74" s="174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T74" s="150"/>
      <c r="CU74" s="150"/>
      <c r="CV74" s="150"/>
      <c r="CW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  <c r="DO74" s="150"/>
      <c r="DP74" s="150"/>
      <c r="DQ74" s="150"/>
      <c r="DR74" s="150"/>
      <c r="DS74" s="150"/>
      <c r="DT74" s="150"/>
      <c r="DU74" s="150"/>
      <c r="DV74" s="150"/>
      <c r="DW74" s="150"/>
      <c r="DX74" s="150"/>
      <c r="DY74" s="150"/>
      <c r="DZ74" s="150"/>
      <c r="EA74" s="150"/>
      <c r="EB74" s="150"/>
      <c r="EC74" s="150"/>
      <c r="ED74" s="150"/>
      <c r="EE74" s="150"/>
      <c r="EF74" s="150"/>
      <c r="EG74" s="150"/>
      <c r="EH74" s="150"/>
      <c r="EI74" s="150"/>
      <c r="EJ74" s="150"/>
      <c r="EK74" s="150"/>
      <c r="EL74" s="150"/>
      <c r="EM74" s="150"/>
      <c r="EN74" s="150"/>
      <c r="EO74" s="150"/>
      <c r="EP74" s="150"/>
      <c r="EQ74" s="150"/>
      <c r="ER74" s="150"/>
      <c r="ES74" s="150"/>
      <c r="ET74" s="150"/>
      <c r="EU74" s="150"/>
      <c r="EV74" s="150"/>
      <c r="EW74" s="150"/>
      <c r="EX74" s="150"/>
      <c r="EY74" s="150"/>
      <c r="EZ74" s="150"/>
      <c r="FA74" s="150"/>
      <c r="FB74" s="150"/>
      <c r="FC74" s="150"/>
      <c r="FD74" s="150"/>
      <c r="FE74" s="150"/>
      <c r="FF74" s="150"/>
      <c r="FG74" s="150"/>
      <c r="FH74" s="150"/>
      <c r="FI74" s="150"/>
      <c r="FJ74" s="150"/>
      <c r="FK74" s="150"/>
      <c r="FL74" s="150"/>
      <c r="FM74" s="150"/>
      <c r="FN74" s="150"/>
      <c r="FO74" s="150"/>
      <c r="FP74" s="150"/>
      <c r="FQ74" s="150"/>
      <c r="FR74" s="150"/>
      <c r="FS74" s="150"/>
      <c r="FT74" s="150"/>
      <c r="FU74" s="150"/>
      <c r="FV74" s="150"/>
      <c r="FW74" s="150"/>
      <c r="FX74" s="150"/>
      <c r="FY74" s="150"/>
      <c r="FZ74" s="150"/>
      <c r="GA74" s="150"/>
      <c r="GB74" s="150"/>
      <c r="GC74" s="150"/>
      <c r="GD74" s="150"/>
      <c r="GE74" s="150"/>
      <c r="GF74" s="175"/>
      <c r="GG74" s="150"/>
      <c r="GH74" s="150"/>
      <c r="GI74" s="150"/>
      <c r="GJ74" s="150"/>
      <c r="GK74" s="150"/>
      <c r="GL74" s="150"/>
      <c r="GM74" s="150"/>
      <c r="GN74" s="150"/>
      <c r="GO74" s="150"/>
      <c r="GP74" s="150"/>
      <c r="GQ74" s="150"/>
      <c r="GR74" s="150"/>
      <c r="GS74" s="150"/>
      <c r="GT74" s="150"/>
      <c r="GU74" s="150"/>
      <c r="GV74" s="150"/>
      <c r="GW74" s="150"/>
      <c r="GX74" s="150"/>
      <c r="GY74" s="150"/>
      <c r="GZ74" s="150"/>
      <c r="HA74" s="150"/>
      <c r="HB74" s="150"/>
      <c r="HC74" s="150"/>
      <c r="HD74" s="150"/>
      <c r="HE74" s="150"/>
      <c r="HF74" s="150"/>
      <c r="HG74" s="150"/>
      <c r="HH74" s="150"/>
      <c r="HI74" s="150"/>
      <c r="HJ74" s="150"/>
      <c r="HK74" s="150"/>
      <c r="HL74" s="150"/>
      <c r="HM74" s="150"/>
      <c r="HN74" s="150"/>
      <c r="HO74" s="150"/>
      <c r="HP74" s="150"/>
      <c r="HQ74" s="150"/>
      <c r="HR74" s="150"/>
      <c r="HS74" s="150"/>
      <c r="HT74" s="150"/>
      <c r="HU74" s="150"/>
      <c r="HV74" s="150"/>
      <c r="HW74" s="150"/>
      <c r="HX74" s="150"/>
      <c r="HY74" s="150"/>
      <c r="HZ74" s="150"/>
      <c r="IA74" s="150"/>
      <c r="IB74" s="150"/>
      <c r="IC74" s="150"/>
      <c r="ID74" s="150"/>
      <c r="IE74" s="150"/>
      <c r="IF74" s="150"/>
      <c r="IG74" s="150"/>
      <c r="IH74" s="150"/>
      <c r="II74" s="150"/>
      <c r="IJ74" s="150"/>
    </row>
    <row r="75" spans="1:244" ht="15" customHeight="1">
      <c r="A75" s="5"/>
      <c r="B75" s="5"/>
      <c r="C75" s="193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W75" s="150"/>
      <c r="AX75" s="150"/>
      <c r="AY75" s="150"/>
      <c r="AZ75" s="150"/>
      <c r="BA75" s="174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/>
      <c r="DW75" s="150"/>
      <c r="DX75" s="150"/>
      <c r="DY75" s="150"/>
      <c r="DZ75" s="150"/>
      <c r="EA75" s="150"/>
      <c r="EB75" s="150"/>
      <c r="EC75" s="150"/>
      <c r="ED75" s="150"/>
      <c r="EE75" s="150"/>
      <c r="EF75" s="150"/>
      <c r="EG75" s="150"/>
      <c r="EH75" s="150"/>
      <c r="EI75" s="150"/>
      <c r="EJ75" s="150"/>
      <c r="EK75" s="150"/>
      <c r="EL75" s="150"/>
      <c r="EM75" s="150"/>
      <c r="EN75" s="150"/>
      <c r="EO75" s="150"/>
      <c r="EP75" s="150"/>
      <c r="EQ75" s="150"/>
      <c r="ER75" s="150"/>
      <c r="ES75" s="150"/>
      <c r="ET75" s="150"/>
      <c r="EU75" s="150"/>
      <c r="EV75" s="150"/>
      <c r="EW75" s="150"/>
      <c r="EX75" s="150"/>
      <c r="EY75" s="150"/>
      <c r="EZ75" s="150"/>
      <c r="FA75" s="150"/>
      <c r="FB75" s="150"/>
      <c r="FC75" s="150"/>
      <c r="FD75" s="150"/>
      <c r="FE75" s="150"/>
      <c r="FF75" s="150"/>
      <c r="FG75" s="150"/>
      <c r="FH75" s="150"/>
      <c r="FI75" s="150"/>
      <c r="FJ75" s="150"/>
      <c r="FK75" s="150"/>
      <c r="FL75" s="150"/>
      <c r="FM75" s="150"/>
      <c r="FN75" s="150"/>
      <c r="FO75" s="150"/>
      <c r="FP75" s="150"/>
      <c r="FQ75" s="150"/>
      <c r="FR75" s="150"/>
      <c r="FS75" s="150"/>
      <c r="FT75" s="150"/>
      <c r="FU75" s="150"/>
      <c r="FV75" s="150"/>
      <c r="FW75" s="150"/>
      <c r="FX75" s="150"/>
      <c r="FY75" s="150"/>
      <c r="FZ75" s="150"/>
      <c r="GA75" s="150"/>
      <c r="GB75" s="150"/>
      <c r="GC75" s="150"/>
      <c r="GD75" s="150"/>
      <c r="GE75" s="150"/>
      <c r="GF75" s="175"/>
      <c r="GG75" s="150"/>
      <c r="GH75" s="150"/>
      <c r="GI75" s="150"/>
      <c r="GJ75" s="150"/>
      <c r="GK75" s="150"/>
      <c r="GL75" s="150"/>
      <c r="GM75" s="150"/>
      <c r="GN75" s="150"/>
      <c r="GO75" s="150"/>
      <c r="GP75" s="150"/>
      <c r="GQ75" s="150"/>
      <c r="GR75" s="150"/>
      <c r="GS75" s="150"/>
      <c r="GT75" s="150"/>
      <c r="GU75" s="150"/>
      <c r="GV75" s="150"/>
      <c r="GW75" s="150"/>
      <c r="GX75" s="150"/>
      <c r="GY75" s="150"/>
      <c r="GZ75" s="150"/>
      <c r="HA75" s="150"/>
      <c r="HB75" s="150"/>
      <c r="HC75" s="150"/>
      <c r="HD75" s="150"/>
      <c r="HE75" s="150"/>
      <c r="HF75" s="150"/>
      <c r="HG75" s="150"/>
      <c r="HH75" s="150"/>
      <c r="HI75" s="150"/>
      <c r="HJ75" s="150"/>
      <c r="HK75" s="150"/>
      <c r="HL75" s="150"/>
      <c r="HM75" s="150"/>
      <c r="HN75" s="150"/>
      <c r="HO75" s="150"/>
      <c r="HP75" s="150"/>
      <c r="HQ75" s="150"/>
      <c r="HR75" s="150"/>
      <c r="HS75" s="150"/>
      <c r="HT75" s="150"/>
      <c r="HU75" s="150"/>
      <c r="HV75" s="150"/>
      <c r="HW75" s="150"/>
      <c r="HX75" s="150"/>
      <c r="HY75" s="150"/>
      <c r="HZ75" s="150"/>
      <c r="IA75" s="150"/>
      <c r="IB75" s="150"/>
      <c r="IC75" s="150"/>
      <c r="ID75" s="150"/>
      <c r="IE75" s="150"/>
      <c r="IF75" s="150"/>
      <c r="IG75" s="150"/>
      <c r="IH75" s="150"/>
      <c r="II75" s="150"/>
      <c r="IJ75" s="150"/>
    </row>
    <row r="76" spans="1:244" ht="15" customHeight="1">
      <c r="A76" s="5"/>
      <c r="B76" s="5"/>
      <c r="C76" s="193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GF76" s="198"/>
    </row>
    <row r="77" spans="1:244" ht="15" customHeight="1">
      <c r="A77" s="5"/>
      <c r="B77" s="5"/>
      <c r="C77" s="193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244" ht="15" customHeight="1">
      <c r="A78" s="5"/>
      <c r="B78" s="5"/>
      <c r="C78" s="19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244" ht="15" customHeight="1">
      <c r="A79" s="5"/>
      <c r="B79" s="5"/>
      <c r="C79" s="193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244">
      <c r="A80" s="5"/>
      <c r="B80" s="5"/>
      <c r="C80" s="193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>
      <c r="A81" s="5"/>
      <c r="B81" s="5"/>
      <c r="C81" s="193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>
      <c r="A82" s="5"/>
      <c r="B82" s="5"/>
      <c r="C82" s="193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>
      <c r="A83" s="5"/>
      <c r="B83" s="5"/>
      <c r="C83" s="19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>
      <c r="A84" s="5"/>
      <c r="B84" s="5"/>
      <c r="C84" s="193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>
      <c r="A85" s="5"/>
      <c r="B85" s="5"/>
      <c r="C85" s="19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>
      <c r="A86" s="5"/>
      <c r="B86" s="5"/>
      <c r="C86" s="193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>
      <c r="C87" s="199"/>
    </row>
    <row r="88" spans="1:34">
      <c r="C88" s="199"/>
    </row>
    <row r="89" spans="1:34">
      <c r="C89" s="199"/>
    </row>
    <row r="90" spans="1:34">
      <c r="C90" s="199"/>
    </row>
    <row r="91" spans="1:34">
      <c r="C91" s="199"/>
    </row>
    <row r="92" spans="1:34">
      <c r="C92" s="199"/>
    </row>
    <row r="93" spans="1:34">
      <c r="C93" s="199"/>
    </row>
    <row r="94" spans="1:34">
      <c r="C94" s="199"/>
    </row>
    <row r="95" spans="1:34">
      <c r="C95" s="199"/>
    </row>
    <row r="96" spans="1:34">
      <c r="C96" s="199"/>
    </row>
    <row r="97" spans="3:3">
      <c r="C97" s="199"/>
    </row>
    <row r="98" spans="3:3">
      <c r="C98" s="199"/>
    </row>
    <row r="99" spans="3:3">
      <c r="C99" s="199"/>
    </row>
    <row r="100" spans="3:3">
      <c r="C100" s="199"/>
    </row>
    <row r="101" spans="3:3">
      <c r="C101" s="199"/>
    </row>
    <row r="102" spans="3:3">
      <c r="C102" s="199"/>
    </row>
    <row r="103" spans="3:3">
      <c r="C103" s="199"/>
    </row>
    <row r="104" spans="3:3">
      <c r="C104" s="199"/>
    </row>
    <row r="105" spans="3:3">
      <c r="C105" s="199"/>
    </row>
    <row r="106" spans="3:3">
      <c r="C106" s="199"/>
    </row>
    <row r="107" spans="3:3">
      <c r="C107" s="199"/>
    </row>
    <row r="108" spans="3:3">
      <c r="C108" s="199"/>
    </row>
    <row r="109" spans="3:3">
      <c r="C109" s="199"/>
    </row>
    <row r="110" spans="3:3">
      <c r="C110" s="199"/>
    </row>
    <row r="111" spans="3:3">
      <c r="C111" s="199"/>
    </row>
    <row r="112" spans="3:3">
      <c r="C112" s="199"/>
    </row>
    <row r="113" spans="3:3">
      <c r="C113" s="199"/>
    </row>
    <row r="114" spans="3:3">
      <c r="C114" s="199"/>
    </row>
    <row r="115" spans="3:3">
      <c r="C115" s="199"/>
    </row>
    <row r="116" spans="3:3">
      <c r="C116" s="199"/>
    </row>
    <row r="117" spans="3:3">
      <c r="C117" s="199"/>
    </row>
    <row r="118" spans="3:3">
      <c r="C118" s="199"/>
    </row>
    <row r="119" spans="3:3">
      <c r="C119" s="199"/>
    </row>
    <row r="120" spans="3:3">
      <c r="C120" s="199"/>
    </row>
    <row r="121" spans="3:3">
      <c r="C121" s="199"/>
    </row>
    <row r="122" spans="3:3">
      <c r="C122" s="199"/>
    </row>
    <row r="123" spans="3:3">
      <c r="C123" s="199"/>
    </row>
    <row r="124" spans="3:3">
      <c r="C124" s="199"/>
    </row>
    <row r="125" spans="3:3">
      <c r="C125" s="199"/>
    </row>
    <row r="126" spans="3:3">
      <c r="C126" s="199"/>
    </row>
    <row r="127" spans="3:3">
      <c r="C127" s="199"/>
    </row>
    <row r="128" spans="3:3">
      <c r="C128" s="199"/>
    </row>
    <row r="129" spans="3:3">
      <c r="C129" s="199"/>
    </row>
    <row r="130" spans="3:3">
      <c r="C130" s="199"/>
    </row>
    <row r="131" spans="3:3">
      <c r="C131" s="199"/>
    </row>
    <row r="132" spans="3:3">
      <c r="C132" s="199"/>
    </row>
    <row r="133" spans="3:3">
      <c r="C133" s="199"/>
    </row>
    <row r="134" spans="3:3">
      <c r="C134" s="199"/>
    </row>
    <row r="135" spans="3:3">
      <c r="C135" s="199"/>
    </row>
    <row r="136" spans="3:3">
      <c r="C136" s="199"/>
    </row>
    <row r="137" spans="3:3">
      <c r="C137" s="199"/>
    </row>
    <row r="138" spans="3:3">
      <c r="C138" s="199"/>
    </row>
    <row r="139" spans="3:3">
      <c r="C139" s="199"/>
    </row>
    <row r="140" spans="3:3">
      <c r="C140" s="199"/>
    </row>
    <row r="141" spans="3:3">
      <c r="C141" s="199"/>
    </row>
    <row r="142" spans="3:3">
      <c r="C142" s="199"/>
    </row>
    <row r="143" spans="3:3">
      <c r="C143" s="199"/>
    </row>
    <row r="144" spans="3:3">
      <c r="C144" s="199"/>
    </row>
    <row r="145" spans="3:3">
      <c r="C145" s="199"/>
    </row>
    <row r="146" spans="3:3">
      <c r="C146" s="199"/>
    </row>
    <row r="147" spans="3:3">
      <c r="C147" s="199"/>
    </row>
    <row r="148" spans="3:3">
      <c r="C148" s="199"/>
    </row>
    <row r="149" spans="3:3">
      <c r="C149" s="199"/>
    </row>
    <row r="150" spans="3:3">
      <c r="C150" s="199"/>
    </row>
    <row r="151" spans="3:3">
      <c r="C151" s="199"/>
    </row>
    <row r="152" spans="3:3">
      <c r="C152" s="199"/>
    </row>
    <row r="153" spans="3:3">
      <c r="C153" s="199"/>
    </row>
    <row r="154" spans="3:3">
      <c r="C154" s="199"/>
    </row>
  </sheetData>
  <sheetProtection formatCells="0" formatColumns="0" formatRows="0" sort="0" autoFilter="0" pivotTables="0"/>
  <mergeCells count="46">
    <mergeCell ref="BB19:BF19"/>
    <mergeCell ref="N1:O1"/>
    <mergeCell ref="N2:O2"/>
    <mergeCell ref="I7:K7"/>
    <mergeCell ref="L18:M18"/>
    <mergeCell ref="H8:L8"/>
    <mergeCell ref="D15:E15"/>
    <mergeCell ref="F15:G15"/>
    <mergeCell ref="H15:I15"/>
    <mergeCell ref="P29:Q29"/>
    <mergeCell ref="R29:S29"/>
    <mergeCell ref="L28:S28"/>
    <mergeCell ref="H29:I29"/>
    <mergeCell ref="J29:K29"/>
    <mergeCell ref="L29:M29"/>
    <mergeCell ref="N29:O29"/>
    <mergeCell ref="D28:K28"/>
    <mergeCell ref="J15:K15"/>
    <mergeCell ref="L15:M15"/>
    <mergeCell ref="C18:C19"/>
    <mergeCell ref="X40:Y40"/>
    <mergeCell ref="C39:C41"/>
    <mergeCell ref="C28:C30"/>
    <mergeCell ref="P40:Q40"/>
    <mergeCell ref="R40:S40"/>
    <mergeCell ref="T40:U40"/>
    <mergeCell ref="F40:G40"/>
    <mergeCell ref="H40:I40"/>
    <mergeCell ref="J40:K40"/>
    <mergeCell ref="L40:M40"/>
    <mergeCell ref="N40:O40"/>
    <mergeCell ref="F29:G29"/>
    <mergeCell ref="D18:E18"/>
    <mergeCell ref="D29:E29"/>
    <mergeCell ref="Z40:AA40"/>
    <mergeCell ref="D39:AA39"/>
    <mergeCell ref="T28:AA28"/>
    <mergeCell ref="F18:G18"/>
    <mergeCell ref="H18:I18"/>
    <mergeCell ref="J18:K18"/>
    <mergeCell ref="T29:U29"/>
    <mergeCell ref="V29:W29"/>
    <mergeCell ref="X29:Y29"/>
    <mergeCell ref="Z29:AA29"/>
    <mergeCell ref="D40:E40"/>
    <mergeCell ref="V40:W40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1:W530"/>
  <sheetViews>
    <sheetView topLeftCell="A313" workbookViewId="0">
      <selection activeCell="O337" sqref="O337"/>
    </sheetView>
  </sheetViews>
  <sheetFormatPr defaultColWidth="9.140625" defaultRowHeight="12.75"/>
  <cols>
    <col min="1" max="1" width="2" style="121" customWidth="1"/>
    <col min="2" max="2" width="62" style="121" customWidth="1"/>
    <col min="3" max="3" width="63.140625" style="121" customWidth="1"/>
    <col min="4" max="4" width="41.7109375" style="121" customWidth="1"/>
    <col min="5" max="5" width="20" style="121" customWidth="1"/>
    <col min="6" max="6" width="8.5703125" style="121" customWidth="1"/>
    <col min="7" max="7" width="7.85546875" style="121" customWidth="1"/>
    <col min="8" max="8" width="6.42578125" style="121" customWidth="1"/>
    <col min="9" max="9" width="9" style="121" bestFit="1" customWidth="1"/>
    <col min="10" max="10" width="6.42578125" style="121" customWidth="1"/>
    <col min="11" max="11" width="9.28515625" style="121" customWidth="1"/>
    <col min="12" max="12" width="7.42578125" style="121" customWidth="1"/>
    <col min="13" max="13" width="17" style="121" customWidth="1"/>
    <col min="14" max="14" width="8.85546875" style="121" customWidth="1"/>
    <col min="15" max="15" width="83.140625" style="121" customWidth="1"/>
    <col min="16" max="16" width="6.42578125" style="121" customWidth="1"/>
    <col min="17" max="17" width="5.42578125" style="121" customWidth="1"/>
    <col min="18" max="18" width="6.42578125" style="121" customWidth="1"/>
    <col min="19" max="19" width="2.7109375" style="121" customWidth="1"/>
    <col min="20" max="20" width="6.5703125" style="121" customWidth="1"/>
    <col min="21" max="21" width="5.7109375" style="121" customWidth="1"/>
    <col min="22" max="22" width="11.7109375" style="18" customWidth="1"/>
    <col min="23" max="16384" width="9.140625" style="18"/>
  </cols>
  <sheetData>
    <row r="1" spans="1:3">
      <c r="A1" s="120">
        <v>2</v>
      </c>
      <c r="B1" s="121" t="s">
        <v>252</v>
      </c>
    </row>
    <row r="3" spans="1:3">
      <c r="B3" s="628" t="s">
        <v>197</v>
      </c>
      <c r="C3" s="628"/>
    </row>
    <row r="5" spans="1:3" ht="15" customHeight="1">
      <c r="B5" s="121" t="s">
        <v>200</v>
      </c>
      <c r="C5" s="121" t="s">
        <v>198</v>
      </c>
    </row>
    <row r="6" spans="1:3">
      <c r="B6" s="121" t="s">
        <v>201</v>
      </c>
      <c r="C6" s="121" t="s">
        <v>199</v>
      </c>
    </row>
    <row r="8" spans="1:3">
      <c r="B8" s="121" t="s">
        <v>209</v>
      </c>
      <c r="C8" s="121" t="s">
        <v>368</v>
      </c>
    </row>
    <row r="9" spans="1:3">
      <c r="B9" s="121" t="s">
        <v>207</v>
      </c>
      <c r="C9" s="121" t="s">
        <v>208</v>
      </c>
    </row>
    <row r="10" spans="1:3">
      <c r="B10" s="121" t="s">
        <v>214</v>
      </c>
      <c r="C10" s="121" t="s">
        <v>216</v>
      </c>
    </row>
    <row r="11" spans="1:3">
      <c r="B11" s="121" t="s">
        <v>215</v>
      </c>
      <c r="C11" s="121" t="s">
        <v>213</v>
      </c>
    </row>
    <row r="12" spans="1:3">
      <c r="B12" s="121" t="s">
        <v>217</v>
      </c>
      <c r="C12" s="121" t="s">
        <v>218</v>
      </c>
    </row>
    <row r="13" spans="1:3">
      <c r="B13" s="121" t="s">
        <v>212</v>
      </c>
      <c r="C13" s="121" t="s">
        <v>369</v>
      </c>
    </row>
    <row r="14" spans="1:3">
      <c r="B14" s="121" t="s">
        <v>370</v>
      </c>
      <c r="C14" s="121" t="s">
        <v>371</v>
      </c>
    </row>
    <row r="15" spans="1:3">
      <c r="B15" s="121" t="s">
        <v>210</v>
      </c>
      <c r="C15" s="121" t="s">
        <v>211</v>
      </c>
    </row>
    <row r="16" spans="1:3">
      <c r="B16" s="121" t="s">
        <v>202</v>
      </c>
      <c r="C16" s="121" t="s">
        <v>203</v>
      </c>
    </row>
    <row r="17" spans="2:3" ht="15" customHeight="1">
      <c r="B17" s="121" t="s">
        <v>204</v>
      </c>
      <c r="C17" s="121" t="s">
        <v>291</v>
      </c>
    </row>
    <row r="18" spans="2:3">
      <c r="B18" s="121" t="s">
        <v>372</v>
      </c>
      <c r="C18" s="121" t="s">
        <v>373</v>
      </c>
    </row>
    <row r="19" spans="2:3">
      <c r="B19" s="121" t="s">
        <v>292</v>
      </c>
      <c r="C19" s="121" t="s">
        <v>293</v>
      </c>
    </row>
    <row r="21" spans="2:3">
      <c r="B21" s="121" t="s">
        <v>222</v>
      </c>
      <c r="C21" s="121" t="s">
        <v>223</v>
      </c>
    </row>
    <row r="22" spans="2:3">
      <c r="B22" s="121" t="s">
        <v>205</v>
      </c>
      <c r="C22" s="121" t="s">
        <v>206</v>
      </c>
    </row>
    <row r="24" spans="2:3">
      <c r="B24" s="121" t="s">
        <v>332</v>
      </c>
    </row>
    <row r="25" spans="2:3">
      <c r="B25" s="121" t="s">
        <v>221</v>
      </c>
    </row>
    <row r="27" spans="2:3">
      <c r="B27" s="122" t="s">
        <v>173</v>
      </c>
    </row>
    <row r="28" spans="2:3">
      <c r="B28" s="122" t="s">
        <v>172</v>
      </c>
    </row>
    <row r="30" spans="2:3">
      <c r="B30" s="121" t="s">
        <v>219</v>
      </c>
    </row>
    <row r="31" spans="2:3">
      <c r="B31" s="121" t="s">
        <v>220</v>
      </c>
    </row>
    <row r="37" spans="2:20">
      <c r="B37" s="628" t="s">
        <v>245</v>
      </c>
      <c r="C37" s="628"/>
      <c r="D37" s="628"/>
      <c r="E37" s="628"/>
      <c r="F37" s="628"/>
      <c r="G37" s="628"/>
      <c r="H37" s="628"/>
      <c r="I37" s="628"/>
      <c r="J37" s="628"/>
      <c r="K37" s="628"/>
      <c r="L37" s="628"/>
      <c r="M37" s="628"/>
      <c r="N37" s="628"/>
      <c r="O37" s="628"/>
      <c r="P37" s="628"/>
      <c r="Q37" s="628"/>
      <c r="R37" s="628"/>
      <c r="S37" s="628"/>
      <c r="T37" s="628"/>
    </row>
    <row r="40" spans="2:20" ht="12.75" customHeight="1">
      <c r="B40" s="633" t="s">
        <v>240</v>
      </c>
      <c r="C40" s="633"/>
      <c r="D40" s="634" t="s">
        <v>246</v>
      </c>
      <c r="E40" s="634"/>
      <c r="F40" s="633" t="s">
        <v>241</v>
      </c>
      <c r="G40" s="633"/>
      <c r="H40" s="633"/>
      <c r="I40" s="41" t="s">
        <v>242</v>
      </c>
      <c r="J40" s="633" t="s">
        <v>243</v>
      </c>
      <c r="K40" s="633"/>
      <c r="L40" s="633"/>
      <c r="M40" s="633" t="s">
        <v>244</v>
      </c>
      <c r="N40" s="633"/>
      <c r="O40" s="633"/>
      <c r="P40" s="633"/>
    </row>
    <row r="41" spans="2:20">
      <c r="B41" s="633"/>
      <c r="C41" s="633"/>
      <c r="D41" s="634"/>
      <c r="E41" s="634"/>
      <c r="F41" s="123">
        <v>2008</v>
      </c>
      <c r="G41" s="124">
        <v>2009</v>
      </c>
      <c r="H41" s="124">
        <v>2010</v>
      </c>
      <c r="I41" s="124">
        <v>2011</v>
      </c>
      <c r="J41" s="124">
        <v>2012</v>
      </c>
      <c r="K41" s="124">
        <v>2013</v>
      </c>
      <c r="L41" s="124">
        <v>2014</v>
      </c>
      <c r="M41" s="124">
        <v>2011</v>
      </c>
      <c r="N41" s="124">
        <v>2012</v>
      </c>
      <c r="O41" s="124">
        <v>2013</v>
      </c>
      <c r="P41" s="124">
        <v>2014</v>
      </c>
    </row>
    <row r="42" spans="2:20" ht="12.75" customHeight="1">
      <c r="B42" s="632" t="s">
        <v>224</v>
      </c>
      <c r="C42" s="125" t="s">
        <v>225</v>
      </c>
      <c r="D42" s="629" t="s">
        <v>182</v>
      </c>
      <c r="E42" s="126" t="s">
        <v>183</v>
      </c>
      <c r="F42" s="629" t="s">
        <v>248</v>
      </c>
      <c r="G42" s="629"/>
      <c r="H42" s="629"/>
      <c r="I42" s="127" t="s">
        <v>249</v>
      </c>
      <c r="J42" s="631" t="s">
        <v>250</v>
      </c>
      <c r="K42" s="631"/>
      <c r="L42" s="631"/>
      <c r="M42" s="629" t="s">
        <v>251</v>
      </c>
      <c r="N42" s="629"/>
      <c r="O42" s="629"/>
      <c r="P42" s="629"/>
    </row>
    <row r="43" spans="2:20">
      <c r="B43" s="632"/>
      <c r="C43" s="128" t="s">
        <v>226</v>
      </c>
      <c r="D43" s="629"/>
      <c r="E43" s="126" t="s">
        <v>184</v>
      </c>
      <c r="G43" s="126"/>
      <c r="H43" s="126"/>
      <c r="I43" s="127"/>
      <c r="J43" s="126"/>
      <c r="K43" s="127"/>
      <c r="L43" s="126"/>
      <c r="M43" s="127"/>
      <c r="N43" s="126"/>
    </row>
    <row r="44" spans="2:20">
      <c r="B44" s="632"/>
      <c r="C44" s="125" t="s">
        <v>227</v>
      </c>
      <c r="D44" s="629"/>
      <c r="E44" s="126" t="s">
        <v>185</v>
      </c>
      <c r="F44" s="126"/>
      <c r="G44" s="127"/>
      <c r="H44" s="126"/>
      <c r="I44" s="127"/>
      <c r="J44" s="127"/>
      <c r="K44" s="127"/>
      <c r="L44" s="126"/>
      <c r="M44" s="126"/>
      <c r="N44" s="126"/>
    </row>
    <row r="45" spans="2:20">
      <c r="B45" s="632"/>
      <c r="C45" s="125" t="s">
        <v>228</v>
      </c>
      <c r="D45" s="629"/>
      <c r="E45" s="127" t="s">
        <v>186</v>
      </c>
      <c r="F45" s="127"/>
      <c r="G45" s="127"/>
      <c r="H45" s="127"/>
      <c r="I45" s="127"/>
      <c r="J45" s="127"/>
      <c r="K45" s="127"/>
      <c r="L45" s="127"/>
      <c r="M45" s="127"/>
      <c r="N45" s="127"/>
    </row>
    <row r="46" spans="2:20">
      <c r="B46" s="632"/>
      <c r="C46" s="125" t="s">
        <v>229</v>
      </c>
      <c r="D46" s="629"/>
      <c r="E46" s="127" t="s">
        <v>187</v>
      </c>
      <c r="F46" s="127"/>
      <c r="G46" s="127"/>
      <c r="H46" s="127"/>
      <c r="I46" s="127"/>
      <c r="J46" s="127"/>
      <c r="K46" s="127"/>
      <c r="L46" s="127"/>
      <c r="M46" s="127"/>
      <c r="N46" s="127"/>
    </row>
    <row r="47" spans="2:20">
      <c r="B47" s="632"/>
      <c r="C47" s="125" t="s">
        <v>230</v>
      </c>
      <c r="D47" s="629"/>
      <c r="E47" s="126" t="s">
        <v>188</v>
      </c>
      <c r="F47" s="127"/>
      <c r="G47" s="127"/>
      <c r="H47" s="127"/>
      <c r="I47" s="126"/>
      <c r="J47" s="126"/>
      <c r="K47" s="126"/>
      <c r="L47" s="126"/>
      <c r="M47" s="126"/>
      <c r="N47" s="126"/>
    </row>
    <row r="48" spans="2:20">
      <c r="B48" s="632"/>
      <c r="C48" s="125" t="s">
        <v>231</v>
      </c>
      <c r="D48" s="629"/>
      <c r="E48" s="127" t="s">
        <v>189</v>
      </c>
      <c r="F48" s="127"/>
      <c r="G48" s="127"/>
      <c r="H48" s="127"/>
      <c r="I48" s="127"/>
      <c r="J48" s="127"/>
      <c r="K48" s="127"/>
      <c r="L48" s="127"/>
      <c r="M48" s="127"/>
      <c r="N48" s="127"/>
    </row>
    <row r="49" spans="2:20">
      <c r="B49" s="632"/>
      <c r="C49" s="129" t="s">
        <v>232</v>
      </c>
      <c r="D49" s="629"/>
      <c r="E49" s="126" t="s">
        <v>247</v>
      </c>
      <c r="F49" s="127"/>
      <c r="G49" s="126"/>
      <c r="H49" s="126"/>
      <c r="I49" s="126"/>
      <c r="J49" s="126"/>
      <c r="K49" s="126"/>
      <c r="L49" s="126"/>
      <c r="M49" s="126"/>
      <c r="N49" s="126"/>
    </row>
    <row r="50" spans="2:20">
      <c r="B50" s="632"/>
      <c r="C50" s="125" t="s">
        <v>233</v>
      </c>
      <c r="D50" s="629"/>
      <c r="E50" s="127" t="s">
        <v>190</v>
      </c>
      <c r="F50" s="127"/>
      <c r="G50" s="127"/>
      <c r="H50" s="127"/>
      <c r="I50" s="127"/>
      <c r="J50" s="127"/>
      <c r="K50" s="127"/>
      <c r="L50" s="127"/>
      <c r="M50" s="127"/>
      <c r="N50" s="127"/>
    </row>
    <row r="51" spans="2:20">
      <c r="B51" s="632"/>
      <c r="C51" s="125" t="s">
        <v>384</v>
      </c>
      <c r="D51" s="629"/>
      <c r="E51" s="127" t="s">
        <v>385</v>
      </c>
      <c r="F51" s="127"/>
      <c r="G51" s="127"/>
      <c r="H51" s="127"/>
      <c r="I51" s="127"/>
      <c r="J51" s="127"/>
      <c r="K51" s="127"/>
      <c r="L51" s="127"/>
      <c r="M51" s="127"/>
      <c r="N51" s="127"/>
    </row>
    <row r="52" spans="2:20" ht="12.75" customHeight="1">
      <c r="B52" s="630" t="s">
        <v>234</v>
      </c>
      <c r="C52" s="130" t="s">
        <v>235</v>
      </c>
      <c r="D52" s="629" t="s">
        <v>191</v>
      </c>
      <c r="E52" s="127" t="s">
        <v>192</v>
      </c>
      <c r="F52" s="127"/>
      <c r="G52" s="127"/>
      <c r="H52" s="127"/>
      <c r="I52" s="127"/>
      <c r="J52" s="127"/>
      <c r="K52" s="127"/>
      <c r="L52" s="127"/>
      <c r="M52" s="127"/>
      <c r="N52" s="127"/>
    </row>
    <row r="53" spans="2:20">
      <c r="B53" s="630"/>
      <c r="C53" s="130" t="s">
        <v>236</v>
      </c>
      <c r="D53" s="629"/>
      <c r="E53" s="127" t="s">
        <v>193</v>
      </c>
      <c r="F53" s="127"/>
      <c r="G53" s="127"/>
      <c r="H53" s="127"/>
      <c r="I53" s="127"/>
      <c r="J53" s="127"/>
      <c r="K53" s="127"/>
      <c r="L53" s="127"/>
      <c r="M53" s="127"/>
      <c r="N53" s="127"/>
    </row>
    <row r="54" spans="2:20">
      <c r="B54" s="630"/>
      <c r="C54" s="130" t="s">
        <v>237</v>
      </c>
      <c r="D54" s="629"/>
      <c r="E54" s="127" t="s">
        <v>377</v>
      </c>
      <c r="F54" s="127"/>
      <c r="G54" s="127"/>
      <c r="H54" s="127"/>
      <c r="I54" s="127"/>
      <c r="J54" s="127"/>
      <c r="K54" s="126"/>
      <c r="L54" s="127"/>
      <c r="M54" s="127"/>
      <c r="N54" s="127"/>
    </row>
    <row r="55" spans="2:20">
      <c r="B55" s="630"/>
      <c r="C55" s="130" t="s">
        <v>378</v>
      </c>
      <c r="D55" s="629"/>
      <c r="E55" s="130" t="s">
        <v>380</v>
      </c>
      <c r="F55" s="127"/>
      <c r="G55" s="127"/>
      <c r="H55" s="127"/>
      <c r="I55" s="127"/>
      <c r="J55" s="127"/>
      <c r="K55" s="126"/>
      <c r="L55" s="127"/>
      <c r="M55" s="127"/>
      <c r="N55" s="127"/>
    </row>
    <row r="56" spans="2:20">
      <c r="B56" s="630"/>
      <c r="C56" s="130" t="s">
        <v>80</v>
      </c>
      <c r="D56" s="629"/>
      <c r="E56" s="127" t="s">
        <v>194</v>
      </c>
      <c r="F56" s="127"/>
      <c r="G56" s="126"/>
      <c r="H56" s="131"/>
      <c r="I56" s="131"/>
      <c r="J56" s="131"/>
      <c r="K56" s="131"/>
      <c r="L56" s="131"/>
      <c r="M56" s="131"/>
      <c r="N56" s="126"/>
    </row>
    <row r="57" spans="2:20">
      <c r="B57" s="630"/>
      <c r="C57" s="130" t="s">
        <v>238</v>
      </c>
      <c r="D57" s="629"/>
      <c r="E57" s="127" t="s">
        <v>195</v>
      </c>
      <c r="F57" s="127"/>
      <c r="G57" s="127"/>
      <c r="H57" s="127"/>
      <c r="I57" s="127"/>
      <c r="J57" s="131"/>
      <c r="K57" s="126"/>
      <c r="L57" s="127"/>
      <c r="M57" s="127"/>
      <c r="N57" s="127"/>
    </row>
    <row r="58" spans="2:20">
      <c r="B58" s="630"/>
      <c r="C58" s="130" t="s">
        <v>379</v>
      </c>
      <c r="D58" s="629"/>
      <c r="E58" s="127" t="s">
        <v>381</v>
      </c>
      <c r="F58" s="127"/>
      <c r="G58" s="127"/>
      <c r="H58" s="127"/>
      <c r="I58" s="127"/>
      <c r="J58" s="131"/>
      <c r="K58" s="126"/>
      <c r="L58" s="127"/>
      <c r="M58" s="127"/>
      <c r="N58" s="127"/>
    </row>
    <row r="59" spans="2:20">
      <c r="B59" s="630"/>
      <c r="C59" s="130" t="s">
        <v>239</v>
      </c>
      <c r="D59" s="629"/>
      <c r="E59" s="127" t="s">
        <v>196</v>
      </c>
      <c r="F59" s="127"/>
      <c r="G59" s="127"/>
      <c r="H59" s="127"/>
      <c r="I59" s="127"/>
      <c r="J59" s="127"/>
      <c r="K59" s="127"/>
      <c r="L59" s="131"/>
      <c r="M59" s="127"/>
      <c r="N59" s="127"/>
    </row>
    <row r="60" spans="2:20">
      <c r="B60" s="121" t="s">
        <v>334</v>
      </c>
      <c r="D60" s="121" t="s">
        <v>333</v>
      </c>
    </row>
    <row r="62" spans="2:20">
      <c r="B62" s="628" t="s">
        <v>253</v>
      </c>
      <c r="C62" s="628"/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8"/>
      <c r="S62" s="628"/>
      <c r="T62" s="628"/>
    </row>
    <row r="66" spans="2:22">
      <c r="B66" s="121" t="s">
        <v>374</v>
      </c>
    </row>
    <row r="67" spans="2:22">
      <c r="B67" s="121" t="s">
        <v>375</v>
      </c>
      <c r="M67" s="121" t="s">
        <v>340</v>
      </c>
      <c r="O67" s="121" t="s">
        <v>387</v>
      </c>
    </row>
    <row r="68" spans="2:22">
      <c r="D68" s="132"/>
      <c r="E68" s="133"/>
      <c r="F68" s="132"/>
      <c r="G68" s="133"/>
      <c r="H68" s="132"/>
      <c r="I68" s="133"/>
      <c r="J68" s="132"/>
      <c r="K68" s="133"/>
      <c r="L68" s="132"/>
      <c r="M68" s="133" t="s">
        <v>339</v>
      </c>
      <c r="N68" s="132"/>
      <c r="O68" s="133" t="s">
        <v>388</v>
      </c>
      <c r="P68" s="132"/>
      <c r="Q68" s="133"/>
      <c r="R68" s="132"/>
      <c r="S68" s="133"/>
      <c r="T68" s="132"/>
    </row>
    <row r="69" spans="2:22">
      <c r="C69" s="114">
        <v>2006</v>
      </c>
      <c r="D69" s="114"/>
      <c r="E69" s="114">
        <v>2007</v>
      </c>
      <c r="F69" s="114"/>
      <c r="G69" s="114">
        <v>2008</v>
      </c>
      <c r="H69" s="114"/>
      <c r="I69" s="114">
        <v>2009</v>
      </c>
      <c r="J69" s="114"/>
      <c r="K69" s="114">
        <v>2010</v>
      </c>
      <c r="L69" s="114"/>
      <c r="M69" s="114">
        <v>2011</v>
      </c>
      <c r="N69" s="114"/>
      <c r="O69" s="114">
        <v>2012</v>
      </c>
      <c r="P69" s="114"/>
      <c r="Q69" s="114">
        <v>2013</v>
      </c>
      <c r="R69" s="114"/>
      <c r="S69" s="114">
        <v>2014</v>
      </c>
      <c r="T69" s="114"/>
      <c r="U69" s="121">
        <v>2015</v>
      </c>
    </row>
    <row r="70" spans="2:22">
      <c r="B70" s="115" t="s">
        <v>127</v>
      </c>
      <c r="C70" s="116" t="s">
        <v>264</v>
      </c>
      <c r="D70" s="116" t="s">
        <v>150</v>
      </c>
      <c r="E70" s="116" t="s">
        <v>264</v>
      </c>
      <c r="F70" s="116" t="s">
        <v>150</v>
      </c>
      <c r="G70" s="116" t="s">
        <v>264</v>
      </c>
      <c r="H70" s="116" t="s">
        <v>150</v>
      </c>
      <c r="I70" s="116" t="s">
        <v>264</v>
      </c>
      <c r="J70" s="116" t="s">
        <v>150</v>
      </c>
      <c r="K70" s="116" t="s">
        <v>264</v>
      </c>
      <c r="L70" s="116" t="s">
        <v>150</v>
      </c>
      <c r="M70" s="116" t="s">
        <v>264</v>
      </c>
      <c r="N70" s="116" t="s">
        <v>150</v>
      </c>
      <c r="O70" s="116" t="s">
        <v>264</v>
      </c>
      <c r="P70" s="116" t="s">
        <v>150</v>
      </c>
      <c r="Q70" s="116" t="s">
        <v>264</v>
      </c>
      <c r="R70" s="116" t="s">
        <v>150</v>
      </c>
      <c r="S70" s="116" t="s">
        <v>264</v>
      </c>
      <c r="T70" s="116" t="s">
        <v>150</v>
      </c>
      <c r="U70" s="116" t="s">
        <v>264</v>
      </c>
      <c r="V70" s="42" t="s">
        <v>150</v>
      </c>
    </row>
    <row r="71" spans="2:22">
      <c r="B71" s="115" t="s">
        <v>254</v>
      </c>
      <c r="C71" s="116" t="s">
        <v>264</v>
      </c>
      <c r="D71" s="116" t="s">
        <v>167</v>
      </c>
      <c r="E71" s="116" t="s">
        <v>264</v>
      </c>
      <c r="F71" s="116" t="s">
        <v>167</v>
      </c>
      <c r="G71" s="116" t="s">
        <v>264</v>
      </c>
      <c r="H71" s="116" t="s">
        <v>167</v>
      </c>
      <c r="I71" s="116" t="s">
        <v>264</v>
      </c>
      <c r="J71" s="116" t="s">
        <v>167</v>
      </c>
      <c r="K71" s="116" t="s">
        <v>264</v>
      </c>
      <c r="L71" s="116" t="s">
        <v>167</v>
      </c>
      <c r="M71" s="116" t="s">
        <v>264</v>
      </c>
      <c r="N71" s="116" t="s">
        <v>167</v>
      </c>
      <c r="O71" s="116" t="s">
        <v>264</v>
      </c>
      <c r="P71" s="116" t="s">
        <v>167</v>
      </c>
      <c r="Q71" s="116" t="s">
        <v>264</v>
      </c>
      <c r="R71" s="116" t="s">
        <v>167</v>
      </c>
      <c r="S71" s="116" t="s">
        <v>264</v>
      </c>
      <c r="T71" s="116" t="s">
        <v>167</v>
      </c>
      <c r="U71" s="116" t="s">
        <v>264</v>
      </c>
      <c r="V71" s="42" t="s">
        <v>167</v>
      </c>
    </row>
    <row r="72" spans="2:22">
      <c r="B72" s="117" t="s">
        <v>128</v>
      </c>
      <c r="C72" s="133" t="s">
        <v>1</v>
      </c>
      <c r="D72" s="134"/>
      <c r="E72" s="135"/>
      <c r="F72" s="134"/>
      <c r="G72" s="135"/>
      <c r="H72" s="134"/>
      <c r="I72" s="135"/>
      <c r="J72" s="134"/>
      <c r="K72" s="135"/>
      <c r="L72" s="134"/>
      <c r="M72" s="135"/>
      <c r="N72" s="134"/>
      <c r="O72" s="135"/>
      <c r="P72" s="134"/>
      <c r="Q72" s="135"/>
      <c r="R72" s="134"/>
      <c r="S72" s="135"/>
      <c r="T72" s="134"/>
    </row>
    <row r="73" spans="2:22">
      <c r="B73" s="117" t="s">
        <v>2</v>
      </c>
      <c r="C73" s="133" t="s">
        <v>168</v>
      </c>
      <c r="D73" s="132"/>
      <c r="E73" s="133"/>
      <c r="F73" s="132"/>
      <c r="G73" s="133"/>
      <c r="H73" s="132"/>
      <c r="I73" s="133"/>
      <c r="J73" s="132"/>
      <c r="K73" s="133"/>
      <c r="L73" s="132"/>
      <c r="M73" s="133"/>
      <c r="N73" s="132"/>
      <c r="O73" s="133"/>
      <c r="P73" s="132"/>
      <c r="Q73" s="133"/>
      <c r="R73" s="132"/>
      <c r="S73" s="133"/>
      <c r="T73" s="132"/>
    </row>
    <row r="74" spans="2:22">
      <c r="B74" s="118" t="s">
        <v>3</v>
      </c>
      <c r="C74" s="133" t="s">
        <v>69</v>
      </c>
      <c r="D74" s="132"/>
      <c r="E74" s="133"/>
      <c r="F74" s="132"/>
      <c r="G74" s="133"/>
      <c r="H74" s="132"/>
      <c r="I74" s="133"/>
      <c r="J74" s="132"/>
      <c r="K74" s="133"/>
      <c r="L74" s="132"/>
      <c r="M74" s="133"/>
      <c r="N74" s="132"/>
      <c r="O74" s="133"/>
      <c r="P74" s="132"/>
      <c r="Q74" s="133"/>
      <c r="R74" s="132"/>
      <c r="S74" s="133"/>
      <c r="T74" s="132"/>
    </row>
    <row r="75" spans="2:22">
      <c r="B75" s="117" t="s">
        <v>5</v>
      </c>
      <c r="C75" s="133" t="s">
        <v>255</v>
      </c>
      <c r="D75" s="132"/>
      <c r="E75" s="133"/>
      <c r="F75" s="132"/>
      <c r="G75" s="133"/>
      <c r="H75" s="132"/>
      <c r="I75" s="133"/>
      <c r="J75" s="132"/>
      <c r="K75" s="133"/>
      <c r="L75" s="132"/>
      <c r="M75" s="133"/>
      <c r="N75" s="132"/>
      <c r="O75" s="133"/>
      <c r="P75" s="132"/>
      <c r="Q75" s="133"/>
      <c r="R75" s="132"/>
      <c r="S75" s="133"/>
      <c r="T75" s="132"/>
    </row>
    <row r="76" spans="2:22">
      <c r="B76" s="117" t="s">
        <v>7</v>
      </c>
      <c r="C76" s="136" t="s">
        <v>8</v>
      </c>
      <c r="D76" s="132"/>
      <c r="E76" s="133"/>
      <c r="F76" s="132"/>
      <c r="G76" s="133"/>
      <c r="H76" s="132"/>
      <c r="I76" s="133"/>
      <c r="J76" s="132"/>
      <c r="K76" s="133"/>
      <c r="L76" s="132"/>
      <c r="M76" s="133"/>
      <c r="N76" s="132"/>
      <c r="O76" s="133"/>
      <c r="P76" s="132"/>
      <c r="Q76" s="133"/>
      <c r="R76" s="132"/>
      <c r="S76" s="133"/>
      <c r="T76" s="132"/>
    </row>
    <row r="77" spans="2:22">
      <c r="B77" s="117" t="s">
        <v>9</v>
      </c>
      <c r="C77" s="136" t="s">
        <v>10</v>
      </c>
      <c r="D77" s="134"/>
      <c r="E77" s="135"/>
      <c r="F77" s="134"/>
      <c r="G77" s="135"/>
      <c r="H77" s="134"/>
      <c r="I77" s="135"/>
      <c r="J77" s="134"/>
      <c r="K77" s="135"/>
      <c r="L77" s="134"/>
      <c r="M77" s="135"/>
      <c r="N77" s="134"/>
      <c r="O77" s="135"/>
      <c r="P77" s="134"/>
      <c r="Q77" s="135"/>
      <c r="R77" s="134"/>
      <c r="S77" s="135"/>
      <c r="T77" s="134"/>
    </row>
    <row r="78" spans="2:22">
      <c r="B78" s="117" t="s">
        <v>12</v>
      </c>
      <c r="C78" s="136" t="s">
        <v>13</v>
      </c>
      <c r="D78" s="134"/>
      <c r="E78" s="133"/>
      <c r="F78" s="134"/>
      <c r="G78" s="133"/>
      <c r="H78" s="134"/>
      <c r="I78" s="133"/>
      <c r="J78" s="134"/>
      <c r="K78" s="133"/>
      <c r="L78" s="134"/>
      <c r="M78" s="133"/>
      <c r="N78" s="134"/>
      <c r="O78" s="133"/>
      <c r="P78" s="134"/>
      <c r="Q78" s="133"/>
      <c r="R78" s="134"/>
      <c r="S78" s="133"/>
      <c r="T78" s="134"/>
    </row>
    <row r="79" spans="2:22">
      <c r="B79" s="117" t="s">
        <v>14</v>
      </c>
      <c r="C79" s="136" t="s">
        <v>15</v>
      </c>
      <c r="D79" s="134"/>
      <c r="E79" s="133"/>
      <c r="F79" s="134"/>
      <c r="G79" s="133"/>
      <c r="H79" s="134"/>
      <c r="I79" s="133"/>
      <c r="J79" s="134"/>
      <c r="K79" s="133"/>
      <c r="L79" s="134"/>
      <c r="M79" s="133"/>
      <c r="N79" s="134"/>
      <c r="O79" s="133"/>
      <c r="P79" s="134"/>
      <c r="Q79" s="133"/>
      <c r="R79" s="134"/>
      <c r="S79" s="133"/>
      <c r="T79" s="134"/>
    </row>
    <row r="80" spans="2:22">
      <c r="B80" s="117" t="s">
        <v>17</v>
      </c>
      <c r="C80" s="136" t="s">
        <v>18</v>
      </c>
      <c r="D80" s="134"/>
      <c r="E80" s="133"/>
      <c r="F80" s="134"/>
      <c r="G80" s="133"/>
      <c r="H80" s="134"/>
      <c r="I80" s="133"/>
      <c r="J80" s="134"/>
      <c r="K80" s="133"/>
      <c r="L80" s="134"/>
      <c r="M80" s="133"/>
      <c r="N80" s="134"/>
      <c r="O80" s="133"/>
      <c r="P80" s="134"/>
      <c r="Q80" s="133"/>
      <c r="R80" s="134"/>
      <c r="S80" s="133"/>
      <c r="T80" s="134"/>
    </row>
    <row r="81" spans="2:20">
      <c r="B81" s="117" t="s">
        <v>19</v>
      </c>
      <c r="C81" s="136" t="s">
        <v>20</v>
      </c>
      <c r="D81" s="134"/>
      <c r="E81" s="133"/>
      <c r="F81" s="134"/>
      <c r="G81" s="133"/>
      <c r="H81" s="134"/>
      <c r="I81" s="133"/>
      <c r="J81" s="134"/>
      <c r="K81" s="133"/>
      <c r="L81" s="134"/>
      <c r="M81" s="133"/>
      <c r="N81" s="134"/>
      <c r="O81" s="133"/>
      <c r="P81" s="134"/>
      <c r="Q81" s="133"/>
      <c r="R81" s="134"/>
      <c r="S81" s="133"/>
      <c r="T81" s="134"/>
    </row>
    <row r="82" spans="2:20">
      <c r="B82" s="117" t="s">
        <v>21</v>
      </c>
      <c r="C82" s="136" t="s">
        <v>22</v>
      </c>
      <c r="D82" s="134"/>
      <c r="E82" s="135"/>
      <c r="F82" s="134"/>
      <c r="G82" s="135"/>
      <c r="H82" s="134"/>
      <c r="I82" s="135"/>
      <c r="J82" s="134"/>
      <c r="K82" s="135"/>
      <c r="L82" s="134"/>
      <c r="M82" s="135"/>
      <c r="N82" s="134"/>
      <c r="O82" s="135"/>
      <c r="P82" s="134"/>
      <c r="Q82" s="135"/>
      <c r="R82" s="134"/>
      <c r="S82" s="135"/>
      <c r="T82" s="134"/>
    </row>
    <row r="83" spans="2:20">
      <c r="B83" s="117" t="s">
        <v>23</v>
      </c>
      <c r="C83" s="136" t="s">
        <v>24</v>
      </c>
      <c r="D83" s="134"/>
      <c r="E83" s="133"/>
      <c r="F83" s="134"/>
      <c r="G83" s="133"/>
      <c r="H83" s="134"/>
      <c r="I83" s="133"/>
      <c r="J83" s="134"/>
      <c r="K83" s="133"/>
      <c r="L83" s="134"/>
      <c r="M83" s="133"/>
      <c r="N83" s="134"/>
      <c r="O83" s="133"/>
      <c r="P83" s="134"/>
      <c r="Q83" s="133"/>
      <c r="R83" s="134"/>
      <c r="S83" s="133"/>
      <c r="T83" s="134"/>
    </row>
    <row r="84" spans="2:20">
      <c r="B84" s="117" t="s">
        <v>25</v>
      </c>
      <c r="C84" s="136" t="s">
        <v>26</v>
      </c>
      <c r="D84" s="134"/>
      <c r="E84" s="133"/>
      <c r="F84" s="134"/>
      <c r="G84" s="133"/>
      <c r="H84" s="134"/>
      <c r="I84" s="133"/>
      <c r="J84" s="134"/>
      <c r="K84" s="133"/>
      <c r="L84" s="134"/>
      <c r="M84" s="133"/>
      <c r="N84" s="134"/>
      <c r="O84" s="133"/>
      <c r="P84" s="134"/>
      <c r="Q84" s="133"/>
      <c r="R84" s="134"/>
      <c r="S84" s="133"/>
      <c r="T84" s="134"/>
    </row>
    <row r="85" spans="2:20">
      <c r="B85" s="117" t="s">
        <v>27</v>
      </c>
      <c r="C85" s="136" t="s">
        <v>28</v>
      </c>
      <c r="D85" s="134"/>
      <c r="E85" s="133"/>
      <c r="F85" s="134"/>
      <c r="G85" s="133"/>
      <c r="H85" s="134"/>
      <c r="I85" s="133"/>
      <c r="J85" s="134"/>
      <c r="K85" s="133"/>
      <c r="L85" s="134"/>
      <c r="M85" s="133"/>
      <c r="N85" s="134"/>
      <c r="O85" s="133"/>
      <c r="P85" s="134"/>
      <c r="Q85" s="133"/>
      <c r="R85" s="134"/>
      <c r="S85" s="133"/>
      <c r="T85" s="134"/>
    </row>
    <row r="86" spans="2:20">
      <c r="B86" s="117" t="s">
        <v>29</v>
      </c>
      <c r="C86" s="136" t="s">
        <v>30</v>
      </c>
      <c r="D86" s="134"/>
      <c r="E86" s="133"/>
      <c r="F86" s="134"/>
      <c r="G86" s="133"/>
      <c r="H86" s="134"/>
      <c r="I86" s="133"/>
      <c r="J86" s="134"/>
      <c r="K86" s="133"/>
      <c r="L86" s="134"/>
      <c r="M86" s="133"/>
      <c r="N86" s="134"/>
      <c r="O86" s="133"/>
      <c r="P86" s="134"/>
      <c r="Q86" s="133"/>
      <c r="R86" s="134"/>
      <c r="S86" s="133"/>
      <c r="T86" s="134"/>
    </row>
    <row r="87" spans="2:20">
      <c r="B87" s="117" t="s">
        <v>31</v>
      </c>
      <c r="C87" s="136" t="s">
        <v>176</v>
      </c>
      <c r="D87" s="134"/>
      <c r="E87" s="133"/>
      <c r="F87" s="134"/>
      <c r="G87" s="133"/>
      <c r="H87" s="134"/>
      <c r="I87" s="133"/>
      <c r="J87" s="134"/>
      <c r="K87" s="133"/>
      <c r="L87" s="134"/>
      <c r="M87" s="133"/>
      <c r="N87" s="134"/>
      <c r="O87" s="133"/>
      <c r="P87" s="134"/>
      <c r="Q87" s="133"/>
      <c r="R87" s="134"/>
      <c r="S87" s="133"/>
      <c r="T87" s="134"/>
    </row>
    <row r="88" spans="2:20">
      <c r="B88" s="117" t="s">
        <v>32</v>
      </c>
      <c r="C88" s="122" t="s">
        <v>33</v>
      </c>
      <c r="D88" s="134"/>
      <c r="E88" s="133"/>
      <c r="F88" s="134"/>
      <c r="G88" s="133"/>
      <c r="H88" s="134"/>
      <c r="I88" s="133"/>
      <c r="J88" s="134"/>
      <c r="K88" s="133"/>
      <c r="L88" s="134"/>
      <c r="M88" s="133"/>
      <c r="N88" s="134"/>
      <c r="O88" s="133"/>
      <c r="P88" s="134"/>
      <c r="Q88" s="133"/>
      <c r="R88" s="134"/>
      <c r="S88" s="133"/>
      <c r="T88" s="134"/>
    </row>
    <row r="89" spans="2:20">
      <c r="B89" s="117" t="s">
        <v>34</v>
      </c>
      <c r="C89" s="122" t="s">
        <v>35</v>
      </c>
      <c r="D89" s="134"/>
      <c r="E89" s="135"/>
      <c r="F89" s="134"/>
      <c r="G89" s="135"/>
      <c r="H89" s="134"/>
      <c r="I89" s="135"/>
      <c r="J89" s="134"/>
      <c r="K89" s="135"/>
      <c r="L89" s="134"/>
      <c r="M89" s="135"/>
      <c r="N89" s="134"/>
      <c r="O89" s="135"/>
      <c r="P89" s="134"/>
      <c r="Q89" s="135"/>
      <c r="R89" s="134"/>
      <c r="S89" s="135"/>
      <c r="T89" s="134"/>
    </row>
    <row r="90" spans="2:20">
      <c r="B90" s="117" t="s">
        <v>37</v>
      </c>
      <c r="C90" s="122" t="s">
        <v>38</v>
      </c>
      <c r="D90" s="134"/>
      <c r="E90" s="133"/>
      <c r="F90" s="134"/>
      <c r="G90" s="133"/>
      <c r="H90" s="134"/>
      <c r="I90" s="133"/>
      <c r="J90" s="134"/>
      <c r="K90" s="133"/>
      <c r="L90" s="134"/>
      <c r="M90" s="133"/>
      <c r="N90" s="134"/>
      <c r="O90" s="133"/>
      <c r="P90" s="134"/>
      <c r="Q90" s="133"/>
      <c r="R90" s="134"/>
      <c r="S90" s="133"/>
      <c r="T90" s="134"/>
    </row>
    <row r="91" spans="2:20">
      <c r="B91" s="117" t="s">
        <v>39</v>
      </c>
      <c r="C91" s="122" t="s">
        <v>169</v>
      </c>
      <c r="D91" s="134"/>
      <c r="E91" s="133"/>
      <c r="F91" s="134"/>
      <c r="G91" s="133"/>
      <c r="H91" s="134"/>
      <c r="I91" s="133"/>
      <c r="J91" s="134"/>
      <c r="K91" s="133"/>
      <c r="L91" s="134"/>
      <c r="M91" s="133"/>
      <c r="N91" s="134"/>
      <c r="O91" s="133"/>
      <c r="P91" s="134"/>
      <c r="Q91" s="133"/>
      <c r="R91" s="134"/>
      <c r="S91" s="133"/>
      <c r="T91" s="134"/>
    </row>
    <row r="92" spans="2:20">
      <c r="B92" s="117" t="s">
        <v>40</v>
      </c>
      <c r="C92" s="122" t="s">
        <v>41</v>
      </c>
      <c r="D92" s="134"/>
      <c r="E92" s="133"/>
      <c r="F92" s="134"/>
      <c r="G92" s="133"/>
      <c r="H92" s="134"/>
      <c r="I92" s="133"/>
      <c r="J92" s="134"/>
      <c r="K92" s="133"/>
      <c r="L92" s="134"/>
      <c r="M92" s="133"/>
      <c r="N92" s="134"/>
      <c r="O92" s="133"/>
      <c r="P92" s="134"/>
      <c r="Q92" s="133"/>
      <c r="R92" s="134"/>
      <c r="S92" s="133"/>
      <c r="T92" s="134"/>
    </row>
    <row r="93" spans="2:20">
      <c r="B93" s="117" t="s">
        <v>42</v>
      </c>
      <c r="C93" s="122" t="s">
        <v>43</v>
      </c>
      <c r="D93" s="134"/>
      <c r="E93" s="133"/>
      <c r="F93" s="134"/>
      <c r="G93" s="133"/>
      <c r="H93" s="134"/>
      <c r="I93" s="133"/>
      <c r="J93" s="134"/>
      <c r="K93" s="133"/>
      <c r="L93" s="134"/>
      <c r="M93" s="133"/>
      <c r="N93" s="134"/>
      <c r="O93" s="133"/>
      <c r="P93" s="134"/>
      <c r="Q93" s="133"/>
      <c r="R93" s="134"/>
      <c r="S93" s="133"/>
      <c r="T93" s="134"/>
    </row>
    <row r="94" spans="2:20">
      <c r="B94" s="117" t="s">
        <v>45</v>
      </c>
      <c r="C94" s="122" t="s">
        <v>46</v>
      </c>
      <c r="D94" s="134"/>
      <c r="E94" s="135"/>
      <c r="F94" s="134"/>
      <c r="G94" s="135"/>
      <c r="H94" s="134"/>
      <c r="I94" s="135"/>
      <c r="J94" s="134"/>
      <c r="K94" s="135"/>
      <c r="L94" s="134"/>
      <c r="M94" s="135"/>
      <c r="N94" s="134"/>
      <c r="O94" s="135"/>
      <c r="P94" s="134"/>
      <c r="Q94" s="135"/>
      <c r="R94" s="134"/>
      <c r="S94" s="135"/>
      <c r="T94" s="134"/>
    </row>
    <row r="95" spans="2:20">
      <c r="B95" s="117" t="s">
        <v>47</v>
      </c>
      <c r="C95" s="122" t="s">
        <v>48</v>
      </c>
      <c r="D95" s="134"/>
      <c r="E95" s="135"/>
      <c r="F95" s="134"/>
      <c r="G95" s="135"/>
      <c r="H95" s="134"/>
      <c r="I95" s="135"/>
      <c r="J95" s="134"/>
      <c r="K95" s="135"/>
      <c r="L95" s="134"/>
      <c r="M95" s="135"/>
      <c r="N95" s="134"/>
      <c r="O95" s="135"/>
      <c r="P95" s="134"/>
      <c r="Q95" s="135"/>
      <c r="R95" s="134"/>
      <c r="S95" s="135"/>
      <c r="T95" s="134"/>
    </row>
    <row r="96" spans="2:20">
      <c r="B96" s="117" t="s">
        <v>50</v>
      </c>
      <c r="C96" s="122" t="s">
        <v>170</v>
      </c>
      <c r="D96" s="134"/>
      <c r="E96" s="135"/>
      <c r="F96" s="134"/>
      <c r="G96" s="135"/>
      <c r="H96" s="134"/>
      <c r="I96" s="135"/>
      <c r="J96" s="134"/>
      <c r="K96" s="135"/>
      <c r="L96" s="134"/>
      <c r="M96" s="135"/>
      <c r="N96" s="134"/>
      <c r="O96" s="135"/>
      <c r="P96" s="134"/>
      <c r="Q96" s="135"/>
      <c r="R96" s="134"/>
      <c r="S96" s="135"/>
      <c r="T96" s="134"/>
    </row>
    <row r="97" spans="2:20">
      <c r="B97" s="117" t="s">
        <v>51</v>
      </c>
      <c r="C97" s="122" t="s">
        <v>52</v>
      </c>
      <c r="D97" s="132"/>
      <c r="E97" s="133"/>
      <c r="F97" s="132"/>
      <c r="G97" s="133"/>
      <c r="H97" s="132"/>
      <c r="I97" s="133"/>
      <c r="J97" s="132"/>
      <c r="K97" s="133"/>
      <c r="L97" s="132"/>
      <c r="M97" s="133"/>
      <c r="N97" s="132"/>
      <c r="O97" s="133"/>
      <c r="P97" s="132"/>
      <c r="Q97" s="133"/>
      <c r="R97" s="132"/>
      <c r="S97" s="133"/>
      <c r="T97" s="132"/>
    </row>
    <row r="98" spans="2:20">
      <c r="B98" s="117" t="s">
        <v>53</v>
      </c>
      <c r="C98" s="122" t="s">
        <v>54</v>
      </c>
      <c r="D98" s="132"/>
      <c r="E98" s="133"/>
      <c r="F98" s="132"/>
      <c r="G98" s="133"/>
      <c r="H98" s="132"/>
      <c r="I98" s="133"/>
      <c r="J98" s="132"/>
      <c r="K98" s="133"/>
      <c r="L98" s="132"/>
      <c r="M98" s="133"/>
      <c r="N98" s="132"/>
      <c r="O98" s="133"/>
      <c r="P98" s="132"/>
      <c r="Q98" s="133"/>
      <c r="R98" s="132"/>
      <c r="S98" s="133"/>
      <c r="T98" s="132"/>
    </row>
    <row r="99" spans="2:20">
      <c r="B99" s="117" t="s">
        <v>55</v>
      </c>
      <c r="C99" s="122" t="s">
        <v>56</v>
      </c>
      <c r="D99" s="132"/>
      <c r="E99" s="133"/>
      <c r="F99" s="132"/>
      <c r="G99" s="133"/>
      <c r="H99" s="132"/>
      <c r="I99" s="133"/>
      <c r="J99" s="132"/>
      <c r="K99" s="133"/>
      <c r="L99" s="132"/>
      <c r="M99" s="133"/>
      <c r="N99" s="132"/>
      <c r="O99" s="133"/>
      <c r="P99" s="132"/>
      <c r="Q99" s="133"/>
      <c r="R99" s="132"/>
      <c r="S99" s="133"/>
      <c r="T99" s="132"/>
    </row>
    <row r="100" spans="2:20">
      <c r="B100" s="117" t="s">
        <v>57</v>
      </c>
      <c r="C100" s="122" t="s">
        <v>58</v>
      </c>
      <c r="D100" s="132"/>
      <c r="E100" s="133"/>
      <c r="F100" s="132"/>
      <c r="G100" s="133"/>
      <c r="H100" s="132"/>
      <c r="I100" s="133"/>
      <c r="J100" s="132"/>
      <c r="K100" s="133"/>
      <c r="L100" s="132"/>
      <c r="M100" s="133"/>
      <c r="N100" s="132"/>
      <c r="O100" s="133"/>
      <c r="P100" s="132"/>
      <c r="Q100" s="133"/>
      <c r="R100" s="132"/>
      <c r="S100" s="133"/>
      <c r="T100" s="132"/>
    </row>
    <row r="101" spans="2:20">
      <c r="B101" s="117" t="s">
        <v>59</v>
      </c>
      <c r="C101" s="122" t="s">
        <v>60</v>
      </c>
      <c r="D101" s="132"/>
      <c r="E101" s="133"/>
      <c r="F101" s="132"/>
      <c r="G101" s="133"/>
      <c r="H101" s="132"/>
      <c r="I101" s="133"/>
      <c r="J101" s="132"/>
      <c r="K101" s="133"/>
      <c r="L101" s="132"/>
      <c r="M101" s="133"/>
      <c r="N101" s="132"/>
      <c r="O101" s="133"/>
      <c r="P101" s="132"/>
      <c r="Q101" s="133"/>
      <c r="R101" s="132"/>
      <c r="S101" s="133"/>
      <c r="T101" s="132"/>
    </row>
    <row r="102" spans="2:20">
      <c r="B102" s="117" t="s">
        <v>53</v>
      </c>
      <c r="C102" s="122" t="s">
        <v>54</v>
      </c>
      <c r="D102" s="132"/>
      <c r="E102" s="133"/>
      <c r="F102" s="132"/>
      <c r="G102" s="133"/>
      <c r="H102" s="132"/>
      <c r="I102" s="133"/>
      <c r="J102" s="132"/>
      <c r="K102" s="133"/>
      <c r="L102" s="132"/>
      <c r="M102" s="133"/>
      <c r="N102" s="132"/>
      <c r="O102" s="133"/>
      <c r="P102" s="132"/>
      <c r="Q102" s="133"/>
      <c r="R102" s="132"/>
      <c r="S102" s="133"/>
      <c r="T102" s="132"/>
    </row>
    <row r="103" spans="2:20">
      <c r="B103" s="117" t="s">
        <v>256</v>
      </c>
      <c r="C103" s="122" t="s">
        <v>61</v>
      </c>
      <c r="D103" s="132"/>
      <c r="E103" s="133"/>
      <c r="F103" s="132"/>
      <c r="G103" s="133"/>
      <c r="H103" s="132"/>
      <c r="I103" s="133"/>
      <c r="J103" s="132"/>
      <c r="K103" s="133"/>
      <c r="L103" s="132"/>
      <c r="M103" s="133"/>
      <c r="N103" s="132"/>
      <c r="O103" s="133"/>
      <c r="P103" s="132"/>
      <c r="Q103" s="133"/>
      <c r="R103" s="132"/>
      <c r="S103" s="133"/>
      <c r="T103" s="132"/>
    </row>
    <row r="104" spans="2:20">
      <c r="B104" s="117" t="s">
        <v>62</v>
      </c>
      <c r="C104" s="122" t="s">
        <v>342</v>
      </c>
      <c r="D104" s="132"/>
      <c r="E104" s="133"/>
      <c r="F104" s="132"/>
      <c r="G104" s="133"/>
      <c r="H104" s="132"/>
      <c r="I104" s="133"/>
      <c r="J104" s="132"/>
      <c r="K104" s="133"/>
      <c r="L104" s="132"/>
      <c r="M104" s="133"/>
      <c r="N104" s="132"/>
      <c r="O104" s="133"/>
      <c r="P104" s="132"/>
      <c r="Q104" s="133"/>
      <c r="R104" s="132"/>
      <c r="S104" s="133"/>
      <c r="T104" s="132"/>
    </row>
    <row r="105" spans="2:20">
      <c r="B105" s="117" t="s">
        <v>126</v>
      </c>
      <c r="C105" s="122" t="s">
        <v>171</v>
      </c>
      <c r="D105" s="132"/>
      <c r="E105" s="133"/>
      <c r="F105" s="132"/>
      <c r="G105" s="133"/>
      <c r="H105" s="132"/>
      <c r="I105" s="133"/>
      <c r="J105" s="132"/>
      <c r="K105" s="133"/>
      <c r="L105" s="132"/>
      <c r="M105" s="133"/>
      <c r="N105" s="132"/>
      <c r="O105" s="133"/>
      <c r="P105" s="132"/>
      <c r="Q105" s="133"/>
      <c r="R105" s="132"/>
      <c r="S105" s="133"/>
      <c r="T105" s="132"/>
    </row>
    <row r="106" spans="2:20">
      <c r="B106" s="119" t="s">
        <v>63</v>
      </c>
      <c r="C106" s="122" t="s">
        <v>343</v>
      </c>
      <c r="D106" s="132"/>
      <c r="E106" s="133"/>
      <c r="F106" s="132"/>
      <c r="G106" s="133"/>
      <c r="H106" s="132"/>
      <c r="I106" s="133"/>
      <c r="J106" s="132"/>
      <c r="K106" s="133"/>
      <c r="L106" s="132"/>
      <c r="M106" s="133"/>
      <c r="N106" s="132"/>
      <c r="O106" s="133"/>
      <c r="P106" s="132"/>
      <c r="Q106" s="133"/>
      <c r="R106" s="132"/>
      <c r="S106" s="133"/>
      <c r="T106" s="132"/>
    </row>
    <row r="107" spans="2:20">
      <c r="B107" s="119" t="s">
        <v>64</v>
      </c>
      <c r="C107" s="122" t="s">
        <v>65</v>
      </c>
      <c r="D107" s="132"/>
      <c r="E107" s="133"/>
      <c r="F107" s="132"/>
      <c r="G107" s="133"/>
      <c r="H107" s="132"/>
      <c r="I107" s="133"/>
      <c r="J107" s="132"/>
      <c r="K107" s="133"/>
      <c r="L107" s="132"/>
      <c r="M107" s="133"/>
      <c r="N107" s="132"/>
      <c r="O107" s="133"/>
      <c r="P107" s="132"/>
      <c r="Q107" s="133"/>
      <c r="R107" s="132"/>
      <c r="S107" s="133"/>
      <c r="T107" s="132"/>
    </row>
    <row r="108" spans="2:20">
      <c r="B108" s="119" t="s">
        <v>66</v>
      </c>
      <c r="C108" s="122" t="s">
        <v>67</v>
      </c>
      <c r="D108" s="132"/>
      <c r="E108" s="133"/>
      <c r="F108" s="132"/>
      <c r="G108" s="133"/>
      <c r="H108" s="132"/>
      <c r="I108" s="133"/>
      <c r="J108" s="132"/>
      <c r="K108" s="133"/>
      <c r="L108" s="132"/>
      <c r="M108" s="133"/>
      <c r="N108" s="132"/>
      <c r="O108" s="133"/>
      <c r="P108" s="132"/>
      <c r="Q108" s="133"/>
      <c r="R108" s="132"/>
      <c r="S108" s="133"/>
      <c r="T108" s="132"/>
    </row>
    <row r="109" spans="2:20">
      <c r="B109" s="119" t="s">
        <v>68</v>
      </c>
      <c r="C109" s="122" t="s">
        <v>69</v>
      </c>
      <c r="D109" s="132"/>
      <c r="E109" s="133"/>
      <c r="F109" s="132"/>
      <c r="G109" s="133"/>
      <c r="H109" s="132"/>
      <c r="I109" s="133"/>
      <c r="J109" s="132"/>
      <c r="K109" s="133"/>
      <c r="L109" s="132"/>
      <c r="M109" s="133"/>
      <c r="N109" s="132"/>
      <c r="O109" s="133"/>
      <c r="P109" s="132"/>
      <c r="Q109" s="133"/>
      <c r="R109" s="132"/>
      <c r="S109" s="133"/>
      <c r="T109" s="132"/>
    </row>
    <row r="110" spans="2:20">
      <c r="B110" s="119" t="s">
        <v>70</v>
      </c>
      <c r="C110" s="122" t="s">
        <v>71</v>
      </c>
      <c r="D110" s="132"/>
      <c r="E110" s="133"/>
      <c r="F110" s="132"/>
      <c r="G110" s="133"/>
      <c r="H110" s="132"/>
      <c r="I110" s="133"/>
      <c r="J110" s="132"/>
      <c r="K110" s="133"/>
      <c r="L110" s="132"/>
      <c r="M110" s="133"/>
      <c r="N110" s="132"/>
      <c r="O110" s="133"/>
      <c r="P110" s="132"/>
      <c r="Q110" s="133"/>
      <c r="R110" s="132"/>
      <c r="S110" s="133"/>
      <c r="T110" s="132"/>
    </row>
    <row r="111" spans="2:20">
      <c r="B111" s="119" t="s">
        <v>72</v>
      </c>
      <c r="C111" s="122" t="s">
        <v>73</v>
      </c>
      <c r="D111" s="132"/>
      <c r="E111" s="133"/>
      <c r="F111" s="132"/>
      <c r="G111" s="133"/>
      <c r="H111" s="132"/>
      <c r="I111" s="133"/>
      <c r="J111" s="132"/>
      <c r="K111" s="133"/>
      <c r="L111" s="132"/>
      <c r="M111" s="133"/>
      <c r="N111" s="132"/>
      <c r="O111" s="133"/>
      <c r="P111" s="132"/>
      <c r="Q111" s="133"/>
      <c r="R111" s="132"/>
      <c r="S111" s="133"/>
      <c r="T111" s="132"/>
    </row>
    <row r="112" spans="2:20">
      <c r="B112" s="119" t="s">
        <v>129</v>
      </c>
      <c r="C112" s="122" t="s">
        <v>180</v>
      </c>
      <c r="D112" s="134"/>
      <c r="E112" s="135"/>
      <c r="F112" s="134"/>
      <c r="G112" s="135"/>
      <c r="H112" s="134"/>
      <c r="I112" s="135"/>
      <c r="J112" s="134"/>
      <c r="K112" s="135"/>
      <c r="L112" s="134"/>
      <c r="M112" s="135"/>
      <c r="N112" s="134"/>
      <c r="O112" s="135"/>
      <c r="P112" s="134"/>
      <c r="Q112" s="135"/>
      <c r="R112" s="134"/>
      <c r="S112" s="135"/>
      <c r="T112" s="134"/>
    </row>
    <row r="113" spans="2:20">
      <c r="B113" s="119" t="s">
        <v>75</v>
      </c>
      <c r="C113" s="122" t="s">
        <v>76</v>
      </c>
      <c r="D113" s="132"/>
      <c r="E113" s="133"/>
      <c r="F113" s="132"/>
      <c r="G113" s="133"/>
      <c r="H113" s="132"/>
      <c r="I113" s="133"/>
      <c r="J113" s="132"/>
      <c r="K113" s="133"/>
      <c r="L113" s="132"/>
      <c r="M113" s="133"/>
      <c r="N113" s="132"/>
      <c r="O113" s="133"/>
      <c r="P113" s="132"/>
      <c r="Q113" s="133"/>
      <c r="R113" s="132"/>
      <c r="S113" s="133"/>
      <c r="T113" s="132"/>
    </row>
    <row r="114" spans="2:20">
      <c r="B114" s="119" t="s">
        <v>77</v>
      </c>
      <c r="C114" s="122" t="s">
        <v>78</v>
      </c>
      <c r="D114" s="132"/>
      <c r="E114" s="133"/>
      <c r="F114" s="132"/>
      <c r="G114" s="133"/>
      <c r="H114" s="132"/>
      <c r="I114" s="133"/>
      <c r="J114" s="132"/>
      <c r="K114" s="133"/>
      <c r="L114" s="132"/>
      <c r="M114" s="133"/>
      <c r="N114" s="132"/>
      <c r="O114" s="133"/>
      <c r="P114" s="132"/>
      <c r="Q114" s="133"/>
      <c r="R114" s="132"/>
      <c r="S114" s="133"/>
      <c r="T114" s="132"/>
    </row>
    <row r="115" spans="2:20">
      <c r="B115" s="119" t="s">
        <v>79</v>
      </c>
      <c r="C115" s="122" t="s">
        <v>151</v>
      </c>
      <c r="D115" s="132"/>
      <c r="E115" s="133"/>
      <c r="F115" s="132"/>
      <c r="G115" s="133"/>
      <c r="H115" s="132"/>
      <c r="I115" s="133"/>
      <c r="J115" s="132"/>
      <c r="K115" s="133"/>
      <c r="L115" s="132"/>
      <c r="M115" s="133"/>
      <c r="N115" s="132"/>
      <c r="O115" s="133"/>
      <c r="P115" s="132"/>
      <c r="Q115" s="133"/>
      <c r="R115" s="132"/>
      <c r="S115" s="133"/>
      <c r="T115" s="132"/>
    </row>
    <row r="116" spans="2:20">
      <c r="B116" s="119" t="s">
        <v>80</v>
      </c>
      <c r="C116" s="122" t="s">
        <v>81</v>
      </c>
      <c r="D116" s="132"/>
      <c r="E116" s="133"/>
      <c r="F116" s="132"/>
      <c r="G116" s="133"/>
      <c r="H116" s="132"/>
      <c r="I116" s="133"/>
      <c r="J116" s="132"/>
      <c r="K116" s="133"/>
      <c r="L116" s="132"/>
      <c r="M116" s="133"/>
      <c r="N116" s="132"/>
      <c r="O116" s="133"/>
      <c r="P116" s="132"/>
      <c r="Q116" s="133"/>
      <c r="R116" s="132"/>
      <c r="S116" s="133"/>
      <c r="T116" s="132"/>
    </row>
    <row r="117" spans="2:20">
      <c r="B117" s="119" t="s">
        <v>82</v>
      </c>
      <c r="C117" s="122" t="s">
        <v>83</v>
      </c>
      <c r="D117" s="132"/>
      <c r="E117" s="133"/>
      <c r="F117" s="132"/>
      <c r="G117" s="133"/>
      <c r="H117" s="132"/>
      <c r="I117" s="133"/>
      <c r="J117" s="132"/>
      <c r="K117" s="133"/>
      <c r="L117" s="132"/>
      <c r="M117" s="133"/>
      <c r="N117" s="132"/>
      <c r="O117" s="133"/>
      <c r="P117" s="132"/>
      <c r="Q117" s="133"/>
      <c r="R117" s="132"/>
      <c r="S117" s="133"/>
      <c r="T117" s="132"/>
    </row>
    <row r="118" spans="2:20">
      <c r="B118" s="119" t="s">
        <v>84</v>
      </c>
      <c r="C118" s="122" t="s">
        <v>85</v>
      </c>
      <c r="D118" s="134"/>
      <c r="E118" s="135"/>
      <c r="F118" s="134"/>
      <c r="G118" s="135"/>
      <c r="H118" s="134"/>
      <c r="I118" s="135"/>
      <c r="J118" s="134"/>
      <c r="K118" s="135"/>
      <c r="L118" s="134"/>
      <c r="M118" s="135"/>
      <c r="N118" s="134"/>
      <c r="O118" s="135"/>
      <c r="P118" s="134"/>
      <c r="Q118" s="135"/>
      <c r="R118" s="134"/>
      <c r="S118" s="135"/>
      <c r="T118" s="134"/>
    </row>
    <row r="119" spans="2:20">
      <c r="B119" s="119" t="s">
        <v>86</v>
      </c>
      <c r="C119" s="122" t="s">
        <v>344</v>
      </c>
      <c r="D119" s="132"/>
      <c r="E119" s="133"/>
      <c r="F119" s="132"/>
      <c r="G119" s="133"/>
      <c r="H119" s="132"/>
      <c r="I119" s="133"/>
      <c r="J119" s="132"/>
      <c r="K119" s="133"/>
      <c r="L119" s="132"/>
      <c r="M119" s="133"/>
      <c r="N119" s="132"/>
      <c r="O119" s="133"/>
      <c r="P119" s="132"/>
      <c r="Q119" s="133"/>
      <c r="R119" s="132"/>
      <c r="S119" s="133"/>
      <c r="T119" s="132"/>
    </row>
    <row r="120" spans="2:20">
      <c r="B120" s="119" t="s">
        <v>130</v>
      </c>
      <c r="C120" s="122" t="s">
        <v>181</v>
      </c>
      <c r="D120" s="132"/>
      <c r="E120" s="133"/>
      <c r="F120" s="132"/>
      <c r="G120" s="133"/>
      <c r="H120" s="132"/>
      <c r="I120" s="133"/>
      <c r="J120" s="132"/>
      <c r="K120" s="133"/>
      <c r="L120" s="132"/>
      <c r="M120" s="133"/>
      <c r="N120" s="132"/>
      <c r="O120" s="133"/>
      <c r="P120" s="132"/>
      <c r="Q120" s="133"/>
      <c r="R120" s="132"/>
      <c r="S120" s="133"/>
      <c r="T120" s="132"/>
    </row>
    <row r="121" spans="2:20">
      <c r="B121" s="119" t="s">
        <v>87</v>
      </c>
      <c r="C121" s="122" t="s">
        <v>88</v>
      </c>
      <c r="D121" s="132"/>
      <c r="E121" s="133"/>
      <c r="F121" s="132"/>
      <c r="G121" s="133"/>
      <c r="H121" s="132"/>
      <c r="I121" s="133"/>
      <c r="J121" s="132"/>
      <c r="K121" s="133"/>
      <c r="L121" s="132"/>
      <c r="M121" s="133"/>
      <c r="N121" s="132"/>
      <c r="O121" s="133"/>
      <c r="P121" s="132"/>
      <c r="Q121" s="133"/>
      <c r="R121" s="132"/>
      <c r="S121" s="133"/>
      <c r="T121" s="132"/>
    </row>
    <row r="122" spans="2:20">
      <c r="B122" s="119" t="s">
        <v>89</v>
      </c>
      <c r="C122" s="122" t="s">
        <v>90</v>
      </c>
      <c r="D122" s="132"/>
      <c r="E122" s="133"/>
      <c r="F122" s="132"/>
      <c r="G122" s="133"/>
      <c r="H122" s="132"/>
      <c r="I122" s="133"/>
      <c r="J122" s="132"/>
      <c r="K122" s="133"/>
      <c r="L122" s="132"/>
      <c r="M122" s="133"/>
      <c r="N122" s="132"/>
      <c r="O122" s="133"/>
      <c r="P122" s="132"/>
      <c r="Q122" s="133"/>
      <c r="R122" s="132"/>
      <c r="S122" s="133"/>
      <c r="T122" s="132"/>
    </row>
    <row r="123" spans="2:20">
      <c r="B123" s="119" t="s">
        <v>91</v>
      </c>
      <c r="C123" s="122" t="s">
        <v>92</v>
      </c>
      <c r="D123" s="132"/>
      <c r="E123" s="133"/>
      <c r="F123" s="132"/>
      <c r="G123" s="133"/>
      <c r="H123" s="132"/>
      <c r="I123" s="133"/>
      <c r="J123" s="132"/>
      <c r="K123" s="133"/>
      <c r="L123" s="132"/>
      <c r="M123" s="133"/>
      <c r="N123" s="132"/>
      <c r="O123" s="133"/>
      <c r="P123" s="132"/>
      <c r="Q123" s="133"/>
      <c r="R123" s="132"/>
      <c r="S123" s="133"/>
      <c r="T123" s="132"/>
    </row>
    <row r="124" spans="2:20">
      <c r="B124" s="119" t="s">
        <v>93</v>
      </c>
      <c r="C124" s="122" t="s">
        <v>94</v>
      </c>
      <c r="D124" s="134"/>
      <c r="E124" s="135"/>
      <c r="F124" s="134"/>
      <c r="G124" s="135"/>
      <c r="H124" s="134"/>
      <c r="I124" s="135"/>
      <c r="J124" s="134"/>
      <c r="K124" s="135"/>
      <c r="L124" s="134"/>
      <c r="M124" s="135"/>
      <c r="N124" s="134"/>
      <c r="O124" s="135"/>
      <c r="P124" s="134"/>
      <c r="Q124" s="135"/>
      <c r="R124" s="134"/>
      <c r="S124" s="135"/>
      <c r="T124" s="134"/>
    </row>
    <row r="125" spans="2:20">
      <c r="B125" s="119" t="s">
        <v>95</v>
      </c>
      <c r="C125" s="122" t="s">
        <v>96</v>
      </c>
      <c r="D125" s="134"/>
      <c r="E125" s="135"/>
      <c r="F125" s="134"/>
      <c r="G125" s="135"/>
      <c r="H125" s="134"/>
      <c r="I125" s="135"/>
      <c r="J125" s="134"/>
      <c r="K125" s="135"/>
      <c r="L125" s="134"/>
      <c r="M125" s="135"/>
      <c r="N125" s="134"/>
      <c r="O125" s="135"/>
      <c r="P125" s="134"/>
      <c r="Q125" s="135"/>
      <c r="R125" s="134"/>
      <c r="S125" s="135"/>
      <c r="T125" s="134"/>
    </row>
    <row r="126" spans="2:20">
      <c r="B126" s="119" t="s">
        <v>97</v>
      </c>
      <c r="C126" s="122" t="s">
        <v>98</v>
      </c>
      <c r="D126" s="134"/>
      <c r="E126" s="135"/>
      <c r="F126" s="134"/>
      <c r="G126" s="135"/>
      <c r="H126" s="134"/>
      <c r="I126" s="135"/>
      <c r="J126" s="134"/>
      <c r="K126" s="135"/>
      <c r="L126" s="134"/>
      <c r="M126" s="135"/>
      <c r="N126" s="134"/>
      <c r="O126" s="135"/>
      <c r="P126" s="134"/>
      <c r="Q126" s="135"/>
      <c r="R126" s="134"/>
      <c r="S126" s="135"/>
      <c r="T126" s="134"/>
    </row>
    <row r="127" spans="2:20">
      <c r="B127" s="119" t="s">
        <v>100</v>
      </c>
      <c r="C127" s="122" t="s">
        <v>101</v>
      </c>
      <c r="D127" s="134"/>
      <c r="E127" s="135"/>
      <c r="F127" s="134"/>
      <c r="G127" s="135"/>
      <c r="H127" s="134"/>
      <c r="I127" s="135"/>
      <c r="J127" s="134"/>
      <c r="K127" s="135"/>
      <c r="L127" s="134"/>
      <c r="M127" s="135"/>
      <c r="N127" s="134"/>
      <c r="O127" s="135"/>
      <c r="P127" s="134"/>
      <c r="Q127" s="135"/>
      <c r="R127" s="134"/>
      <c r="S127" s="135"/>
      <c r="T127" s="134"/>
    </row>
    <row r="128" spans="2:20">
      <c r="B128" s="119" t="s">
        <v>102</v>
      </c>
      <c r="C128" s="122" t="s">
        <v>103</v>
      </c>
      <c r="D128" s="134"/>
      <c r="E128" s="135"/>
      <c r="F128" s="134"/>
      <c r="G128" s="135"/>
      <c r="H128" s="134"/>
      <c r="I128" s="135"/>
      <c r="J128" s="134"/>
      <c r="K128" s="135"/>
      <c r="L128" s="134"/>
      <c r="M128" s="135"/>
      <c r="N128" s="134"/>
      <c r="O128" s="135"/>
      <c r="P128" s="134"/>
      <c r="Q128" s="135"/>
      <c r="R128" s="134"/>
      <c r="S128" s="135"/>
      <c r="T128" s="134"/>
    </row>
    <row r="129" spans="2:20">
      <c r="B129" s="119" t="s">
        <v>104</v>
      </c>
      <c r="C129" s="122" t="s">
        <v>105</v>
      </c>
      <c r="D129" s="134"/>
      <c r="E129" s="135"/>
      <c r="F129" s="134"/>
      <c r="G129" s="135"/>
      <c r="H129" s="134"/>
      <c r="I129" s="135"/>
      <c r="J129" s="134"/>
      <c r="K129" s="135"/>
      <c r="L129" s="134"/>
      <c r="M129" s="135"/>
      <c r="N129" s="134"/>
      <c r="O129" s="135"/>
      <c r="P129" s="134"/>
      <c r="Q129" s="135"/>
      <c r="R129" s="134"/>
      <c r="S129" s="135"/>
      <c r="T129" s="134"/>
    </row>
    <row r="130" spans="2:20">
      <c r="B130" s="119" t="s">
        <v>106</v>
      </c>
      <c r="C130" s="122" t="s">
        <v>107</v>
      </c>
      <c r="D130" s="134"/>
      <c r="E130" s="135"/>
      <c r="F130" s="134"/>
      <c r="G130" s="135"/>
      <c r="H130" s="134"/>
      <c r="I130" s="135"/>
      <c r="J130" s="134"/>
      <c r="K130" s="135"/>
      <c r="L130" s="134"/>
      <c r="M130" s="135"/>
      <c r="N130" s="134"/>
      <c r="O130" s="135"/>
      <c r="P130" s="134"/>
      <c r="Q130" s="135"/>
      <c r="R130" s="134"/>
      <c r="S130" s="135"/>
      <c r="T130" s="134"/>
    </row>
    <row r="131" spans="2:20">
      <c r="B131" s="119" t="s">
        <v>108</v>
      </c>
      <c r="C131" s="122" t="s">
        <v>174</v>
      </c>
      <c r="D131" s="134"/>
      <c r="E131" s="135"/>
      <c r="F131" s="134"/>
      <c r="G131" s="135"/>
      <c r="H131" s="134"/>
      <c r="I131" s="135"/>
      <c r="J131" s="134"/>
      <c r="K131" s="135"/>
      <c r="L131" s="134"/>
      <c r="M131" s="135"/>
      <c r="N131" s="134"/>
      <c r="O131" s="135"/>
      <c r="P131" s="134"/>
      <c r="Q131" s="135"/>
      <c r="R131" s="134"/>
      <c r="S131" s="135"/>
      <c r="T131" s="134"/>
    </row>
    <row r="132" spans="2:20">
      <c r="B132" s="119" t="s">
        <v>109</v>
      </c>
      <c r="C132" s="122" t="s">
        <v>175</v>
      </c>
      <c r="D132" s="132"/>
      <c r="E132" s="133"/>
      <c r="F132" s="132"/>
      <c r="G132" s="133"/>
      <c r="H132" s="132"/>
      <c r="I132" s="133"/>
      <c r="J132" s="132"/>
      <c r="K132" s="133"/>
      <c r="L132" s="132"/>
      <c r="M132" s="133"/>
      <c r="N132" s="132"/>
      <c r="O132" s="133"/>
      <c r="P132" s="132"/>
      <c r="Q132" s="133"/>
      <c r="R132" s="132"/>
      <c r="S132" s="133"/>
      <c r="T132" s="132"/>
    </row>
    <row r="133" spans="2:20">
      <c r="B133" s="119" t="s">
        <v>131</v>
      </c>
      <c r="C133" s="122" t="s">
        <v>177</v>
      </c>
      <c r="D133" s="132"/>
      <c r="E133" s="133"/>
      <c r="F133" s="132"/>
      <c r="G133" s="133"/>
      <c r="H133" s="132"/>
      <c r="I133" s="133"/>
      <c r="J133" s="132"/>
      <c r="K133" s="133"/>
      <c r="L133" s="132"/>
      <c r="M133" s="133"/>
      <c r="N133" s="132"/>
      <c r="O133" s="133"/>
      <c r="P133" s="132"/>
      <c r="Q133" s="133"/>
      <c r="R133" s="132"/>
      <c r="S133" s="133"/>
      <c r="T133" s="132"/>
    </row>
    <row r="134" spans="2:20">
      <c r="B134" s="119" t="s">
        <v>111</v>
      </c>
      <c r="C134" s="122" t="s">
        <v>112</v>
      </c>
      <c r="D134" s="132"/>
      <c r="E134" s="133"/>
      <c r="F134" s="132"/>
      <c r="G134" s="133"/>
      <c r="H134" s="132"/>
      <c r="I134" s="133"/>
      <c r="J134" s="132"/>
      <c r="K134" s="133"/>
      <c r="L134" s="132"/>
      <c r="M134" s="133"/>
      <c r="N134" s="132"/>
      <c r="O134" s="133"/>
      <c r="P134" s="132"/>
      <c r="Q134" s="133"/>
      <c r="R134" s="132"/>
      <c r="S134" s="133"/>
      <c r="T134" s="132"/>
    </row>
    <row r="135" spans="2:20">
      <c r="B135" s="119" t="s">
        <v>118</v>
      </c>
      <c r="C135" s="122" t="s">
        <v>119</v>
      </c>
      <c r="D135" s="132"/>
      <c r="E135" s="133"/>
      <c r="F135" s="132"/>
      <c r="G135" s="133"/>
      <c r="H135" s="132"/>
      <c r="I135" s="133"/>
      <c r="J135" s="132"/>
      <c r="K135" s="133"/>
      <c r="L135" s="132"/>
      <c r="M135" s="133"/>
      <c r="N135" s="132"/>
      <c r="O135" s="133"/>
      <c r="P135" s="132"/>
      <c r="Q135" s="133"/>
      <c r="R135" s="132"/>
      <c r="S135" s="133"/>
      <c r="T135" s="132"/>
    </row>
    <row r="136" spans="2:20">
      <c r="B136" s="119" t="s">
        <v>152</v>
      </c>
      <c r="C136" s="122" t="s">
        <v>178</v>
      </c>
      <c r="D136" s="134"/>
      <c r="E136" s="135"/>
      <c r="F136" s="134"/>
      <c r="G136" s="135"/>
      <c r="H136" s="134"/>
      <c r="I136" s="135"/>
      <c r="J136" s="134"/>
      <c r="K136" s="135"/>
      <c r="L136" s="134"/>
      <c r="M136" s="135"/>
      <c r="N136" s="134"/>
      <c r="O136" s="135"/>
      <c r="P136" s="134"/>
      <c r="Q136" s="135"/>
      <c r="R136" s="134"/>
      <c r="S136" s="135"/>
      <c r="T136" s="134"/>
    </row>
    <row r="137" spans="2:20">
      <c r="B137" s="119" t="s">
        <v>132</v>
      </c>
      <c r="C137" s="122" t="s">
        <v>120</v>
      </c>
      <c r="D137" s="134"/>
      <c r="E137" s="135"/>
      <c r="F137" s="134"/>
      <c r="G137" s="135"/>
      <c r="H137" s="134"/>
      <c r="I137" s="135"/>
      <c r="J137" s="134"/>
      <c r="K137" s="135"/>
      <c r="L137" s="134"/>
      <c r="M137" s="135"/>
      <c r="N137" s="134"/>
      <c r="O137" s="135"/>
      <c r="P137" s="134"/>
      <c r="Q137" s="135"/>
      <c r="R137" s="134"/>
      <c r="S137" s="135"/>
      <c r="T137" s="134"/>
    </row>
    <row r="138" spans="2:20">
      <c r="B138" s="119" t="s">
        <v>133</v>
      </c>
      <c r="C138" s="122" t="s">
        <v>179</v>
      </c>
      <c r="D138" s="132"/>
      <c r="E138" s="133"/>
      <c r="F138" s="132"/>
      <c r="G138" s="133"/>
      <c r="H138" s="132"/>
      <c r="I138" s="133"/>
      <c r="J138" s="132"/>
      <c r="K138" s="133"/>
      <c r="L138" s="132"/>
      <c r="M138" s="133"/>
      <c r="N138" s="132"/>
      <c r="O138" s="133"/>
      <c r="P138" s="132"/>
      <c r="Q138" s="133"/>
      <c r="R138" s="132"/>
      <c r="S138" s="133"/>
      <c r="T138" s="132"/>
    </row>
    <row r="139" spans="2:20">
      <c r="B139" s="119" t="s">
        <v>0</v>
      </c>
      <c r="C139" s="122" t="s">
        <v>134</v>
      </c>
      <c r="D139" s="132"/>
      <c r="E139" s="133"/>
      <c r="F139" s="132"/>
      <c r="G139" s="133"/>
      <c r="H139" s="132"/>
      <c r="I139" s="133"/>
      <c r="J139" s="132"/>
      <c r="K139" s="133"/>
      <c r="L139" s="132"/>
      <c r="M139" s="133"/>
      <c r="N139" s="132"/>
      <c r="O139" s="133"/>
      <c r="P139" s="132"/>
      <c r="Q139" s="133"/>
      <c r="R139" s="132"/>
      <c r="S139" s="133"/>
      <c r="T139" s="132"/>
    </row>
    <row r="140" spans="2:20">
      <c r="B140" s="119" t="s">
        <v>135</v>
      </c>
      <c r="C140" s="122" t="s">
        <v>136</v>
      </c>
      <c r="D140" s="132"/>
      <c r="E140" s="133"/>
      <c r="F140" s="132"/>
      <c r="G140" s="133"/>
      <c r="H140" s="132"/>
      <c r="I140" s="133"/>
      <c r="J140" s="132"/>
      <c r="K140" s="133"/>
      <c r="L140" s="132"/>
      <c r="M140" s="133"/>
      <c r="N140" s="132"/>
      <c r="O140" s="133"/>
      <c r="P140" s="132"/>
      <c r="Q140" s="133"/>
      <c r="R140" s="132"/>
      <c r="S140" s="133"/>
      <c r="T140" s="132"/>
    </row>
    <row r="141" spans="2:20">
      <c r="B141" s="119" t="s">
        <v>137</v>
      </c>
      <c r="C141" s="122" t="s">
        <v>138</v>
      </c>
      <c r="D141" s="132"/>
      <c r="E141" s="133"/>
      <c r="F141" s="132"/>
      <c r="G141" s="133"/>
      <c r="H141" s="132"/>
      <c r="I141" s="133"/>
      <c r="J141" s="132"/>
      <c r="K141" s="133"/>
      <c r="L141" s="132"/>
      <c r="M141" s="133"/>
      <c r="N141" s="132"/>
      <c r="O141" s="133"/>
      <c r="P141" s="132"/>
      <c r="Q141" s="133"/>
      <c r="R141" s="132"/>
      <c r="S141" s="133"/>
      <c r="T141" s="132"/>
    </row>
    <row r="142" spans="2:20">
      <c r="B142" s="119" t="s">
        <v>116</v>
      </c>
      <c r="C142" s="122" t="s">
        <v>139</v>
      </c>
    </row>
    <row r="143" spans="2:20">
      <c r="B143" s="119" t="s">
        <v>113</v>
      </c>
      <c r="C143" s="122" t="s">
        <v>140</v>
      </c>
    </row>
    <row r="144" spans="2:20">
      <c r="B144" s="119" t="s">
        <v>141</v>
      </c>
      <c r="C144" s="122" t="s">
        <v>142</v>
      </c>
    </row>
    <row r="145" spans="2:22">
      <c r="B145" s="119" t="s">
        <v>121</v>
      </c>
      <c r="C145" s="122" t="s">
        <v>143</v>
      </c>
    </row>
    <row r="146" spans="2:22">
      <c r="B146" s="119" t="s">
        <v>144</v>
      </c>
      <c r="C146" s="122" t="s">
        <v>145</v>
      </c>
    </row>
    <row r="147" spans="2:22">
      <c r="B147" s="119" t="s">
        <v>122</v>
      </c>
      <c r="C147" s="122" t="s">
        <v>146</v>
      </c>
    </row>
    <row r="148" spans="2:22">
      <c r="B148" s="119" t="s">
        <v>123</v>
      </c>
      <c r="C148" s="122" t="s">
        <v>147</v>
      </c>
    </row>
    <row r="149" spans="2:22">
      <c r="B149" s="119" t="s">
        <v>330</v>
      </c>
      <c r="C149" s="122" t="s">
        <v>148</v>
      </c>
    </row>
    <row r="150" spans="2:22">
      <c r="B150" s="119" t="s">
        <v>125</v>
      </c>
      <c r="C150" s="122" t="s">
        <v>149</v>
      </c>
    </row>
    <row r="151" spans="2:22">
      <c r="B151" s="121" t="s">
        <v>267</v>
      </c>
      <c r="C151" s="121" t="s">
        <v>268</v>
      </c>
    </row>
    <row r="154" spans="2:22">
      <c r="B154" s="628" t="s">
        <v>257</v>
      </c>
      <c r="C154" s="628"/>
      <c r="D154" s="628"/>
      <c r="E154" s="628"/>
      <c r="F154" s="628"/>
      <c r="G154" s="628"/>
      <c r="H154" s="628"/>
      <c r="I154" s="628"/>
      <c r="J154" s="628"/>
      <c r="K154" s="628"/>
      <c r="L154" s="628"/>
      <c r="M154" s="628"/>
      <c r="N154" s="628"/>
      <c r="O154" s="628"/>
      <c r="P154" s="628"/>
      <c r="Q154" s="628"/>
      <c r="R154" s="628"/>
      <c r="S154" s="628"/>
      <c r="T154" s="628"/>
    </row>
    <row r="158" spans="2:22">
      <c r="C158" s="121">
        <v>2006</v>
      </c>
      <c r="E158" s="121">
        <v>2007</v>
      </c>
      <c r="G158" s="121">
        <v>2008</v>
      </c>
      <c r="I158" s="121">
        <v>2009</v>
      </c>
      <c r="K158" s="121">
        <v>2010</v>
      </c>
      <c r="M158" s="121">
        <v>2011</v>
      </c>
      <c r="O158" s="121">
        <v>2012</v>
      </c>
      <c r="Q158" s="121">
        <v>2013</v>
      </c>
      <c r="S158" s="121">
        <v>2014</v>
      </c>
      <c r="U158" s="121">
        <v>2015</v>
      </c>
    </row>
    <row r="159" spans="2:22">
      <c r="B159" s="121" t="s">
        <v>260</v>
      </c>
      <c r="C159" s="121" t="s">
        <v>264</v>
      </c>
      <c r="D159" s="121" t="s">
        <v>154</v>
      </c>
      <c r="E159" s="121" t="s">
        <v>264</v>
      </c>
      <c r="F159" s="121" t="s">
        <v>154</v>
      </c>
      <c r="G159" s="121" t="s">
        <v>264</v>
      </c>
      <c r="H159" s="121" t="s">
        <v>154</v>
      </c>
      <c r="I159" s="121" t="s">
        <v>264</v>
      </c>
      <c r="J159" s="121" t="s">
        <v>154</v>
      </c>
      <c r="K159" s="121" t="s">
        <v>264</v>
      </c>
      <c r="L159" s="121" t="s">
        <v>154</v>
      </c>
      <c r="M159" s="121" t="s">
        <v>264</v>
      </c>
      <c r="N159" s="121" t="s">
        <v>154</v>
      </c>
      <c r="O159" s="121" t="s">
        <v>264</v>
      </c>
      <c r="P159" s="121" t="s">
        <v>154</v>
      </c>
      <c r="Q159" s="121" t="s">
        <v>264</v>
      </c>
      <c r="R159" s="121" t="s">
        <v>154</v>
      </c>
      <c r="S159" s="121" t="s">
        <v>264</v>
      </c>
      <c r="T159" s="121" t="s">
        <v>154</v>
      </c>
      <c r="U159" s="121" t="s">
        <v>264</v>
      </c>
      <c r="V159" s="18" t="s">
        <v>154</v>
      </c>
    </row>
    <row r="160" spans="2:22">
      <c r="B160" s="121" t="s">
        <v>259</v>
      </c>
      <c r="C160" s="121" t="s">
        <v>264</v>
      </c>
      <c r="D160" s="121" t="s">
        <v>258</v>
      </c>
      <c r="E160" s="121" t="s">
        <v>264</v>
      </c>
      <c r="F160" s="121" t="s">
        <v>258</v>
      </c>
      <c r="G160" s="121" t="s">
        <v>264</v>
      </c>
      <c r="H160" s="121" t="s">
        <v>258</v>
      </c>
      <c r="I160" s="121" t="s">
        <v>264</v>
      </c>
      <c r="J160" s="121" t="s">
        <v>258</v>
      </c>
      <c r="K160" s="121" t="s">
        <v>264</v>
      </c>
      <c r="L160" s="121" t="s">
        <v>258</v>
      </c>
      <c r="M160" s="121" t="s">
        <v>264</v>
      </c>
      <c r="N160" s="121" t="s">
        <v>258</v>
      </c>
      <c r="O160" s="121" t="s">
        <v>264</v>
      </c>
      <c r="P160" s="121" t="s">
        <v>258</v>
      </c>
      <c r="Q160" s="121" t="s">
        <v>264</v>
      </c>
      <c r="R160" s="121" t="s">
        <v>258</v>
      </c>
      <c r="S160" s="121" t="s">
        <v>264</v>
      </c>
      <c r="T160" s="121" t="s">
        <v>258</v>
      </c>
      <c r="U160" s="121" t="s">
        <v>264</v>
      </c>
      <c r="V160" s="18" t="s">
        <v>258</v>
      </c>
    </row>
    <row r="161" spans="2:3">
      <c r="B161" s="121" t="s">
        <v>262</v>
      </c>
      <c r="C161" s="121" t="s">
        <v>261</v>
      </c>
    </row>
    <row r="162" spans="2:3">
      <c r="B162" s="121" t="s">
        <v>128</v>
      </c>
      <c r="C162" s="121" t="s">
        <v>1</v>
      </c>
    </row>
    <row r="163" spans="2:3">
      <c r="B163" s="121" t="s">
        <v>2</v>
      </c>
      <c r="C163" s="121" t="s">
        <v>168</v>
      </c>
    </row>
    <row r="164" spans="2:3">
      <c r="B164" s="121" t="s">
        <v>3</v>
      </c>
      <c r="C164" s="121" t="s">
        <v>4</v>
      </c>
    </row>
    <row r="165" spans="2:3">
      <c r="B165" s="121" t="s">
        <v>5</v>
      </c>
      <c r="C165" s="121" t="s">
        <v>6</v>
      </c>
    </row>
    <row r="166" spans="2:3">
      <c r="B166" s="121" t="s">
        <v>7</v>
      </c>
      <c r="C166" s="121" t="s">
        <v>8</v>
      </c>
    </row>
    <row r="167" spans="2:3">
      <c r="B167" s="121" t="s">
        <v>9</v>
      </c>
      <c r="C167" s="121" t="s">
        <v>10</v>
      </c>
    </row>
    <row r="168" spans="2:3">
      <c r="B168" s="121" t="s">
        <v>11</v>
      </c>
      <c r="C168" s="121" t="s">
        <v>265</v>
      </c>
    </row>
    <row r="169" spans="2:3">
      <c r="B169" s="121" t="s">
        <v>12</v>
      </c>
      <c r="C169" s="121" t="s">
        <v>13</v>
      </c>
    </row>
    <row r="170" spans="2:3">
      <c r="B170" s="121" t="s">
        <v>14</v>
      </c>
      <c r="C170" s="121" t="s">
        <v>15</v>
      </c>
    </row>
    <row r="171" spans="2:3">
      <c r="B171" s="121" t="s">
        <v>16</v>
      </c>
      <c r="C171" s="121" t="s">
        <v>18</v>
      </c>
    </row>
    <row r="172" spans="2:3">
      <c r="B172" s="121" t="s">
        <v>19</v>
      </c>
      <c r="C172" s="121" t="s">
        <v>20</v>
      </c>
    </row>
    <row r="173" spans="2:3">
      <c r="B173" s="121" t="s">
        <v>21</v>
      </c>
      <c r="C173" s="121" t="s">
        <v>22</v>
      </c>
    </row>
    <row r="174" spans="2:3">
      <c r="B174" s="121" t="s">
        <v>23</v>
      </c>
      <c r="C174" s="121" t="s">
        <v>24</v>
      </c>
    </row>
    <row r="175" spans="2:3">
      <c r="B175" s="121" t="s">
        <v>25</v>
      </c>
      <c r="C175" s="121" t="s">
        <v>26</v>
      </c>
    </row>
    <row r="176" spans="2:3">
      <c r="B176" s="121" t="s">
        <v>27</v>
      </c>
      <c r="C176" s="121" t="s">
        <v>28</v>
      </c>
    </row>
    <row r="177" spans="2:3">
      <c r="B177" s="121" t="s">
        <v>29</v>
      </c>
      <c r="C177" s="121" t="s">
        <v>30</v>
      </c>
    </row>
    <row r="178" spans="2:3">
      <c r="B178" s="121" t="s">
        <v>31</v>
      </c>
      <c r="C178" s="121" t="s">
        <v>176</v>
      </c>
    </row>
    <row r="179" spans="2:3">
      <c r="B179" s="121" t="s">
        <v>32</v>
      </c>
      <c r="C179" s="121" t="s">
        <v>33</v>
      </c>
    </row>
    <row r="180" spans="2:3">
      <c r="B180" s="121" t="s">
        <v>34</v>
      </c>
      <c r="C180" s="121" t="s">
        <v>269</v>
      </c>
    </row>
    <row r="181" spans="2:3">
      <c r="B181" s="121" t="s">
        <v>36</v>
      </c>
      <c r="C181" s="121" t="s">
        <v>274</v>
      </c>
    </row>
    <row r="182" spans="2:3">
      <c r="B182" s="121" t="s">
        <v>37</v>
      </c>
      <c r="C182" s="121" t="s">
        <v>38</v>
      </c>
    </row>
    <row r="183" spans="2:3">
      <c r="B183" s="121" t="s">
        <v>39</v>
      </c>
      <c r="C183" s="121" t="s">
        <v>169</v>
      </c>
    </row>
    <row r="184" spans="2:3">
      <c r="B184" s="121" t="s">
        <v>40</v>
      </c>
      <c r="C184" s="121" t="s">
        <v>41</v>
      </c>
    </row>
    <row r="185" spans="2:3">
      <c r="B185" s="121" t="s">
        <v>42</v>
      </c>
      <c r="C185" s="121" t="s">
        <v>43</v>
      </c>
    </row>
    <row r="186" spans="2:3">
      <c r="B186" s="121" t="s">
        <v>163</v>
      </c>
      <c r="C186" s="121" t="s">
        <v>279</v>
      </c>
    </row>
    <row r="187" spans="2:3">
      <c r="B187" s="121" t="s">
        <v>44</v>
      </c>
      <c r="C187" s="121" t="s">
        <v>278</v>
      </c>
    </row>
    <row r="188" spans="2:3">
      <c r="B188" s="121" t="s">
        <v>45</v>
      </c>
      <c r="C188" s="121" t="s">
        <v>46</v>
      </c>
    </row>
    <row r="189" spans="2:3">
      <c r="B189" s="121" t="s">
        <v>47</v>
      </c>
      <c r="C189" s="121" t="s">
        <v>48</v>
      </c>
    </row>
    <row r="190" spans="2:3">
      <c r="B190" s="121" t="s">
        <v>49</v>
      </c>
      <c r="C190" s="121" t="s">
        <v>270</v>
      </c>
    </row>
    <row r="191" spans="2:3">
      <c r="B191" s="121" t="s">
        <v>50</v>
      </c>
      <c r="C191" s="121" t="s">
        <v>170</v>
      </c>
    </row>
    <row r="192" spans="2:3">
      <c r="B192" s="121" t="s">
        <v>51</v>
      </c>
      <c r="C192" s="121" t="s">
        <v>52</v>
      </c>
    </row>
    <row r="193" spans="2:3">
      <c r="B193" s="121" t="s">
        <v>53</v>
      </c>
      <c r="C193" s="121" t="s">
        <v>54</v>
      </c>
    </row>
    <row r="194" spans="2:3">
      <c r="B194" s="121" t="s">
        <v>55</v>
      </c>
      <c r="C194" s="121" t="s">
        <v>56</v>
      </c>
    </row>
    <row r="195" spans="2:3">
      <c r="B195" s="121" t="s">
        <v>57</v>
      </c>
      <c r="C195" s="121" t="s">
        <v>58</v>
      </c>
    </row>
    <row r="196" spans="2:3">
      <c r="B196" s="121" t="s">
        <v>59</v>
      </c>
      <c r="C196" s="121" t="s">
        <v>60</v>
      </c>
    </row>
    <row r="197" spans="2:3">
      <c r="B197" s="121" t="s">
        <v>53</v>
      </c>
      <c r="C197" s="121" t="s">
        <v>54</v>
      </c>
    </row>
    <row r="198" spans="2:3">
      <c r="B198" s="117" t="s">
        <v>256</v>
      </c>
      <c r="C198" s="121" t="s">
        <v>61</v>
      </c>
    </row>
    <row r="199" spans="2:3">
      <c r="B199" s="121" t="s">
        <v>123</v>
      </c>
      <c r="C199" s="121" t="s">
        <v>147</v>
      </c>
    </row>
    <row r="200" spans="2:3">
      <c r="B200" s="121" t="s">
        <v>62</v>
      </c>
      <c r="C200" s="121" t="s">
        <v>342</v>
      </c>
    </row>
    <row r="201" spans="2:3">
      <c r="B201" s="121" t="s">
        <v>263</v>
      </c>
      <c r="C201" s="121" t="s">
        <v>271</v>
      </c>
    </row>
    <row r="202" spans="2:3">
      <c r="B202" s="121" t="s">
        <v>63</v>
      </c>
      <c r="C202" s="121" t="s">
        <v>343</v>
      </c>
    </row>
    <row r="203" spans="2:3">
      <c r="B203" s="121" t="s">
        <v>64</v>
      </c>
      <c r="C203" s="121" t="s">
        <v>65</v>
      </c>
    </row>
    <row r="204" spans="2:3">
      <c r="B204" s="121" t="s">
        <v>66</v>
      </c>
      <c r="C204" s="121" t="s">
        <v>67</v>
      </c>
    </row>
    <row r="205" spans="2:3">
      <c r="B205" s="121" t="s">
        <v>68</v>
      </c>
      <c r="C205" s="121" t="s">
        <v>69</v>
      </c>
    </row>
    <row r="206" spans="2:3">
      <c r="B206" s="121" t="s">
        <v>70</v>
      </c>
      <c r="C206" s="121" t="s">
        <v>71</v>
      </c>
    </row>
    <row r="207" spans="2:3">
      <c r="B207" s="121" t="s">
        <v>72</v>
      </c>
      <c r="C207" s="121" t="s">
        <v>73</v>
      </c>
    </row>
    <row r="208" spans="2:3">
      <c r="B208" s="121" t="s">
        <v>74</v>
      </c>
      <c r="C208" s="121" t="s">
        <v>272</v>
      </c>
    </row>
    <row r="209" spans="2:3">
      <c r="B209" s="121" t="s">
        <v>75</v>
      </c>
      <c r="C209" s="121" t="s">
        <v>76</v>
      </c>
    </row>
    <row r="210" spans="2:3">
      <c r="B210" s="121" t="s">
        <v>77</v>
      </c>
      <c r="C210" s="121" t="s">
        <v>78</v>
      </c>
    </row>
    <row r="211" spans="2:3">
      <c r="B211" s="121" t="s">
        <v>79</v>
      </c>
      <c r="C211" s="121" t="s">
        <v>273</v>
      </c>
    </row>
    <row r="212" spans="2:3">
      <c r="B212" s="121" t="s">
        <v>80</v>
      </c>
      <c r="C212" s="121" t="s">
        <v>81</v>
      </c>
    </row>
    <row r="213" spans="2:3">
      <c r="B213" s="121" t="s">
        <v>82</v>
      </c>
      <c r="C213" s="121" t="s">
        <v>83</v>
      </c>
    </row>
    <row r="214" spans="2:3">
      <c r="B214" s="121" t="s">
        <v>84</v>
      </c>
      <c r="C214" s="121" t="s">
        <v>85</v>
      </c>
    </row>
    <row r="215" spans="2:3">
      <c r="B215" s="121" t="s">
        <v>86</v>
      </c>
      <c r="C215" s="121" t="s">
        <v>344</v>
      </c>
    </row>
    <row r="216" spans="2:3">
      <c r="B216" s="121" t="s">
        <v>87</v>
      </c>
      <c r="C216" s="121" t="s">
        <v>88</v>
      </c>
    </row>
    <row r="217" spans="2:3">
      <c r="B217" s="121" t="s">
        <v>89</v>
      </c>
      <c r="C217" s="121" t="s">
        <v>90</v>
      </c>
    </row>
    <row r="218" spans="2:3">
      <c r="B218" s="121" t="s">
        <v>91</v>
      </c>
      <c r="C218" s="121" t="s">
        <v>92</v>
      </c>
    </row>
    <row r="219" spans="2:3">
      <c r="B219" s="121" t="s">
        <v>93</v>
      </c>
      <c r="C219" s="121" t="s">
        <v>94</v>
      </c>
    </row>
    <row r="220" spans="2:3">
      <c r="B220" s="121" t="s">
        <v>95</v>
      </c>
      <c r="C220" s="121" t="s">
        <v>96</v>
      </c>
    </row>
    <row r="221" spans="2:3">
      <c r="B221" s="121" t="s">
        <v>97</v>
      </c>
      <c r="C221" s="121" t="s">
        <v>98</v>
      </c>
    </row>
    <row r="222" spans="2:3">
      <c r="B222" s="121" t="s">
        <v>99</v>
      </c>
      <c r="C222" s="121" t="s">
        <v>101</v>
      </c>
    </row>
    <row r="223" spans="2:3">
      <c r="B223" s="121" t="s">
        <v>102</v>
      </c>
      <c r="C223" s="121" t="s">
        <v>103</v>
      </c>
    </row>
    <row r="224" spans="2:3">
      <c r="B224" s="121" t="s">
        <v>104</v>
      </c>
      <c r="C224" s="121" t="s">
        <v>105</v>
      </c>
    </row>
    <row r="225" spans="2:3">
      <c r="B225" s="121" t="s">
        <v>106</v>
      </c>
      <c r="C225" s="121" t="s">
        <v>107</v>
      </c>
    </row>
    <row r="226" spans="2:3">
      <c r="B226" s="121" t="s">
        <v>108</v>
      </c>
      <c r="C226" s="122" t="s">
        <v>174</v>
      </c>
    </row>
    <row r="227" spans="2:3">
      <c r="B227" s="121" t="s">
        <v>109</v>
      </c>
      <c r="C227" s="122" t="s">
        <v>175</v>
      </c>
    </row>
    <row r="228" spans="2:3">
      <c r="B228" s="121" t="s">
        <v>164</v>
      </c>
      <c r="C228" s="121" t="s">
        <v>345</v>
      </c>
    </row>
    <row r="229" spans="2:3">
      <c r="B229" s="121" t="s">
        <v>110</v>
      </c>
      <c r="C229" s="122" t="s">
        <v>177</v>
      </c>
    </row>
    <row r="230" spans="2:3">
      <c r="B230" s="121" t="s">
        <v>111</v>
      </c>
      <c r="C230" s="121" t="s">
        <v>112</v>
      </c>
    </row>
    <row r="231" spans="2:3">
      <c r="B231" s="121" t="s">
        <v>113</v>
      </c>
      <c r="C231" s="121" t="s">
        <v>114</v>
      </c>
    </row>
    <row r="232" spans="2:3">
      <c r="B232" s="121" t="s">
        <v>115</v>
      </c>
      <c r="C232" s="121" t="s">
        <v>117</v>
      </c>
    </row>
    <row r="233" spans="2:3">
      <c r="B233" s="121" t="s">
        <v>118</v>
      </c>
      <c r="C233" s="121" t="s">
        <v>119</v>
      </c>
    </row>
    <row r="234" spans="2:3">
      <c r="B234" s="121" t="s">
        <v>152</v>
      </c>
      <c r="C234" s="122" t="s">
        <v>178</v>
      </c>
    </row>
    <row r="235" spans="2:3">
      <c r="B235" s="121" t="s">
        <v>266</v>
      </c>
      <c r="C235" s="121" t="s">
        <v>288</v>
      </c>
    </row>
    <row r="236" spans="2:3">
      <c r="B236" s="121" t="s">
        <v>133</v>
      </c>
      <c r="C236" s="122" t="s">
        <v>179</v>
      </c>
    </row>
    <row r="237" spans="2:3">
      <c r="B237" s="121" t="s">
        <v>0</v>
      </c>
      <c r="C237" s="122" t="s">
        <v>134</v>
      </c>
    </row>
    <row r="238" spans="2:3">
      <c r="B238" s="121" t="s">
        <v>159</v>
      </c>
      <c r="C238" s="122" t="s">
        <v>136</v>
      </c>
    </row>
    <row r="239" spans="2:3">
      <c r="B239" s="121" t="s">
        <v>160</v>
      </c>
      <c r="C239" s="122" t="s">
        <v>138</v>
      </c>
    </row>
    <row r="240" spans="2:3">
      <c r="B240" s="121" t="s">
        <v>161</v>
      </c>
      <c r="C240" s="122" t="s">
        <v>139</v>
      </c>
    </row>
    <row r="241" spans="2:21">
      <c r="B241" s="121" t="s">
        <v>113</v>
      </c>
      <c r="C241" s="122" t="s">
        <v>140</v>
      </c>
    </row>
    <row r="242" spans="2:21">
      <c r="B242" s="121" t="s">
        <v>141</v>
      </c>
      <c r="C242" s="122" t="s">
        <v>142</v>
      </c>
    </row>
    <row r="243" spans="2:21">
      <c r="B243" s="121" t="s">
        <v>121</v>
      </c>
      <c r="C243" s="122" t="s">
        <v>143</v>
      </c>
    </row>
    <row r="244" spans="2:21">
      <c r="B244" s="121" t="s">
        <v>144</v>
      </c>
      <c r="C244" s="122" t="s">
        <v>145</v>
      </c>
    </row>
    <row r="245" spans="2:21">
      <c r="B245" s="121" t="s">
        <v>122</v>
      </c>
      <c r="C245" s="122" t="s">
        <v>146</v>
      </c>
    </row>
    <row r="246" spans="2:21">
      <c r="B246" s="121" t="s">
        <v>124</v>
      </c>
      <c r="C246" s="122" t="s">
        <v>148</v>
      </c>
    </row>
    <row r="247" spans="2:21">
      <c r="B247" s="121" t="s">
        <v>123</v>
      </c>
      <c r="C247" s="115" t="s">
        <v>147</v>
      </c>
    </row>
    <row r="248" spans="2:21">
      <c r="B248" s="121" t="s">
        <v>165</v>
      </c>
      <c r="C248" s="115" t="s">
        <v>276</v>
      </c>
    </row>
    <row r="249" spans="2:21">
      <c r="B249" s="121" t="s">
        <v>166</v>
      </c>
      <c r="C249" s="115" t="s">
        <v>277</v>
      </c>
    </row>
    <row r="250" spans="2:21">
      <c r="B250" s="121" t="s">
        <v>267</v>
      </c>
      <c r="C250" s="121" t="s">
        <v>275</v>
      </c>
    </row>
    <row r="253" spans="2:21">
      <c r="B253" s="628" t="s">
        <v>280</v>
      </c>
      <c r="C253" s="628"/>
      <c r="D253" s="628"/>
      <c r="E253" s="628"/>
      <c r="F253" s="628"/>
      <c r="G253" s="628"/>
      <c r="H253" s="628"/>
      <c r="I253" s="628"/>
      <c r="J253" s="628"/>
      <c r="K253" s="628"/>
      <c r="L253" s="628"/>
      <c r="M253" s="628"/>
      <c r="N253" s="628"/>
      <c r="O253" s="628"/>
      <c r="P253" s="628"/>
      <c r="Q253" s="628"/>
      <c r="R253" s="628"/>
      <c r="S253" s="628"/>
      <c r="T253" s="628"/>
    </row>
    <row r="256" spans="2:21">
      <c r="C256" s="121">
        <v>2006</v>
      </c>
      <c r="E256" s="121">
        <v>2007</v>
      </c>
      <c r="G256" s="121">
        <v>2008</v>
      </c>
      <c r="I256" s="121">
        <v>2009</v>
      </c>
      <c r="K256" s="121">
        <v>2010</v>
      </c>
      <c r="M256" s="121">
        <v>2011</v>
      </c>
      <c r="O256" s="121">
        <v>2012</v>
      </c>
      <c r="Q256" s="121">
        <v>2013</v>
      </c>
      <c r="S256" s="121">
        <v>2014</v>
      </c>
      <c r="U256" s="121">
        <v>2015</v>
      </c>
    </row>
    <row r="257" spans="2:22">
      <c r="B257" s="121" t="s">
        <v>236</v>
      </c>
      <c r="C257" s="121" t="s">
        <v>264</v>
      </c>
      <c r="D257" s="121" t="s">
        <v>154</v>
      </c>
      <c r="E257" s="121" t="s">
        <v>264</v>
      </c>
      <c r="F257" s="121" t="s">
        <v>154</v>
      </c>
      <c r="G257" s="121" t="s">
        <v>264</v>
      </c>
      <c r="H257" s="121" t="s">
        <v>154</v>
      </c>
      <c r="I257" s="121" t="s">
        <v>264</v>
      </c>
      <c r="J257" s="121" t="s">
        <v>154</v>
      </c>
      <c r="K257" s="121" t="s">
        <v>264</v>
      </c>
      <c r="L257" s="121" t="s">
        <v>154</v>
      </c>
      <c r="M257" s="121" t="s">
        <v>264</v>
      </c>
      <c r="N257" s="121" t="s">
        <v>154</v>
      </c>
      <c r="O257" s="121" t="s">
        <v>264</v>
      </c>
      <c r="P257" s="121" t="s">
        <v>154</v>
      </c>
      <c r="Q257" s="121" t="s">
        <v>264</v>
      </c>
      <c r="R257" s="121" t="s">
        <v>154</v>
      </c>
      <c r="S257" s="121" t="s">
        <v>264</v>
      </c>
      <c r="T257" s="121" t="s">
        <v>154</v>
      </c>
      <c r="U257" s="121" t="s">
        <v>264</v>
      </c>
      <c r="V257" s="18" t="s">
        <v>154</v>
      </c>
    </row>
    <row r="258" spans="2:22">
      <c r="B258" s="121" t="s">
        <v>193</v>
      </c>
      <c r="C258" s="121" t="s">
        <v>264</v>
      </c>
      <c r="D258" s="121" t="s">
        <v>258</v>
      </c>
      <c r="E258" s="121" t="s">
        <v>264</v>
      </c>
      <c r="F258" s="121" t="s">
        <v>258</v>
      </c>
      <c r="G258" s="121" t="s">
        <v>264</v>
      </c>
      <c r="H258" s="121" t="s">
        <v>258</v>
      </c>
      <c r="I258" s="121" t="s">
        <v>264</v>
      </c>
      <c r="J258" s="121" t="s">
        <v>258</v>
      </c>
      <c r="K258" s="121" t="s">
        <v>264</v>
      </c>
      <c r="L258" s="121" t="s">
        <v>258</v>
      </c>
      <c r="M258" s="121" t="s">
        <v>264</v>
      </c>
      <c r="N258" s="121" t="s">
        <v>258</v>
      </c>
      <c r="O258" s="121" t="s">
        <v>264</v>
      </c>
      <c r="P258" s="121" t="s">
        <v>258</v>
      </c>
      <c r="Q258" s="121" t="s">
        <v>264</v>
      </c>
      <c r="R258" s="121" t="s">
        <v>258</v>
      </c>
      <c r="S258" s="121" t="s">
        <v>264</v>
      </c>
      <c r="T258" s="121" t="s">
        <v>258</v>
      </c>
      <c r="U258" s="121" t="s">
        <v>264</v>
      </c>
      <c r="V258" s="18" t="s">
        <v>258</v>
      </c>
    </row>
    <row r="259" spans="2:22">
      <c r="B259" s="121" t="s">
        <v>128</v>
      </c>
      <c r="C259" s="121" t="s">
        <v>1</v>
      </c>
    </row>
    <row r="260" spans="2:22">
      <c r="B260" s="121" t="s">
        <v>2</v>
      </c>
      <c r="C260" s="121" t="s">
        <v>168</v>
      </c>
    </row>
    <row r="261" spans="2:22">
      <c r="B261" s="121" t="s">
        <v>3</v>
      </c>
      <c r="C261" s="121" t="s">
        <v>4</v>
      </c>
    </row>
    <row r="262" spans="2:22">
      <c r="B262" s="121" t="s">
        <v>5</v>
      </c>
      <c r="C262" s="121" t="s">
        <v>6</v>
      </c>
    </row>
    <row r="263" spans="2:22">
      <c r="B263" s="121" t="s">
        <v>7</v>
      </c>
      <c r="C263" s="121" t="s">
        <v>8</v>
      </c>
    </row>
    <row r="264" spans="2:22">
      <c r="B264" s="121" t="s">
        <v>9</v>
      </c>
      <c r="C264" s="121" t="s">
        <v>10</v>
      </c>
    </row>
    <row r="265" spans="2:22">
      <c r="B265" s="121" t="s">
        <v>12</v>
      </c>
      <c r="C265" s="121" t="s">
        <v>13</v>
      </c>
    </row>
    <row r="266" spans="2:22">
      <c r="B266" s="121" t="s">
        <v>14</v>
      </c>
      <c r="C266" s="121" t="s">
        <v>15</v>
      </c>
    </row>
    <row r="267" spans="2:22">
      <c r="B267" s="121" t="s">
        <v>11</v>
      </c>
      <c r="C267" s="121" t="s">
        <v>283</v>
      </c>
    </row>
    <row r="268" spans="2:22">
      <c r="B268" s="121" t="s">
        <v>16</v>
      </c>
      <c r="C268" s="121" t="s">
        <v>18</v>
      </c>
    </row>
    <row r="269" spans="2:22">
      <c r="B269" s="121" t="s">
        <v>19</v>
      </c>
      <c r="C269" s="121" t="s">
        <v>20</v>
      </c>
    </row>
    <row r="270" spans="2:22">
      <c r="B270" s="121" t="s">
        <v>21</v>
      </c>
      <c r="C270" s="121" t="s">
        <v>22</v>
      </c>
    </row>
    <row r="271" spans="2:22">
      <c r="B271" s="121" t="s">
        <v>23</v>
      </c>
      <c r="C271" s="121" t="s">
        <v>24</v>
      </c>
    </row>
    <row r="272" spans="2:22">
      <c r="B272" s="121" t="s">
        <v>25</v>
      </c>
      <c r="C272" s="121" t="s">
        <v>26</v>
      </c>
    </row>
    <row r="273" spans="2:3">
      <c r="B273" s="121" t="s">
        <v>27</v>
      </c>
      <c r="C273" s="121" t="s">
        <v>28</v>
      </c>
    </row>
    <row r="274" spans="2:3">
      <c r="B274" s="121" t="s">
        <v>29</v>
      </c>
      <c r="C274" s="121" t="s">
        <v>30</v>
      </c>
    </row>
    <row r="275" spans="2:3">
      <c r="B275" s="121" t="s">
        <v>39</v>
      </c>
      <c r="C275" s="121" t="s">
        <v>169</v>
      </c>
    </row>
    <row r="276" spans="2:3">
      <c r="B276" s="121" t="s">
        <v>53</v>
      </c>
      <c r="C276" s="121" t="s">
        <v>54</v>
      </c>
    </row>
    <row r="277" spans="2:3">
      <c r="B277" s="117" t="s">
        <v>256</v>
      </c>
      <c r="C277" s="121" t="s">
        <v>61</v>
      </c>
    </row>
    <row r="278" spans="2:3">
      <c r="B278" s="121" t="s">
        <v>236</v>
      </c>
      <c r="C278" s="121" t="s">
        <v>284</v>
      </c>
    </row>
    <row r="279" spans="2:3">
      <c r="B279" s="121" t="s">
        <v>281</v>
      </c>
      <c r="C279" s="121" t="s">
        <v>285</v>
      </c>
    </row>
    <row r="280" spans="2:3">
      <c r="B280" s="121" t="s">
        <v>63</v>
      </c>
      <c r="C280" s="121" t="s">
        <v>343</v>
      </c>
    </row>
    <row r="281" spans="2:3">
      <c r="B281" s="121" t="s">
        <v>64</v>
      </c>
      <c r="C281" s="121" t="s">
        <v>65</v>
      </c>
    </row>
    <row r="282" spans="2:3">
      <c r="B282" s="121" t="s">
        <v>66</v>
      </c>
      <c r="C282" s="121" t="s">
        <v>67</v>
      </c>
    </row>
    <row r="283" spans="2:3">
      <c r="B283" s="121" t="s">
        <v>68</v>
      </c>
      <c r="C283" s="121" t="s">
        <v>69</v>
      </c>
    </row>
    <row r="284" spans="2:3">
      <c r="B284" s="121" t="s">
        <v>70</v>
      </c>
      <c r="C284" s="121" t="s">
        <v>71</v>
      </c>
    </row>
    <row r="285" spans="2:3">
      <c r="B285" s="121" t="s">
        <v>72</v>
      </c>
      <c r="C285" s="121" t="s">
        <v>73</v>
      </c>
    </row>
    <row r="286" spans="2:3">
      <c r="B286" s="121" t="s">
        <v>155</v>
      </c>
      <c r="C286" s="121" t="s">
        <v>272</v>
      </c>
    </row>
    <row r="287" spans="2:3">
      <c r="B287" s="121" t="s">
        <v>75</v>
      </c>
      <c r="C287" s="121" t="s">
        <v>76</v>
      </c>
    </row>
    <row r="288" spans="2:3">
      <c r="B288" s="121" t="s">
        <v>77</v>
      </c>
      <c r="C288" s="121" t="s">
        <v>78</v>
      </c>
    </row>
    <row r="289" spans="2:3">
      <c r="B289" s="121" t="s">
        <v>79</v>
      </c>
      <c r="C289" s="121" t="s">
        <v>273</v>
      </c>
    </row>
    <row r="290" spans="2:3">
      <c r="B290" s="121" t="s">
        <v>80</v>
      </c>
      <c r="C290" s="121" t="s">
        <v>81</v>
      </c>
    </row>
    <row r="291" spans="2:3">
      <c r="B291" s="121" t="s">
        <v>82</v>
      </c>
      <c r="C291" s="121" t="s">
        <v>83</v>
      </c>
    </row>
    <row r="292" spans="2:3">
      <c r="B292" s="121" t="s">
        <v>84</v>
      </c>
      <c r="C292" s="121" t="s">
        <v>85</v>
      </c>
    </row>
    <row r="293" spans="2:3">
      <c r="B293" s="121" t="s">
        <v>86</v>
      </c>
      <c r="C293" s="121" t="s">
        <v>344</v>
      </c>
    </row>
    <row r="294" spans="2:3">
      <c r="B294" s="121" t="s">
        <v>156</v>
      </c>
      <c r="C294" s="121" t="s">
        <v>346</v>
      </c>
    </row>
    <row r="295" spans="2:3">
      <c r="B295" s="121" t="s">
        <v>87</v>
      </c>
      <c r="C295" s="121" t="s">
        <v>88</v>
      </c>
    </row>
    <row r="296" spans="2:3">
      <c r="B296" s="121" t="s">
        <v>89</v>
      </c>
      <c r="C296" s="121" t="s">
        <v>90</v>
      </c>
    </row>
    <row r="297" spans="2:3">
      <c r="B297" s="121" t="s">
        <v>91</v>
      </c>
      <c r="C297" s="121" t="s">
        <v>92</v>
      </c>
    </row>
    <row r="298" spans="2:3">
      <c r="B298" s="121" t="s">
        <v>93</v>
      </c>
      <c r="C298" s="121" t="s">
        <v>94</v>
      </c>
    </row>
    <row r="299" spans="2:3">
      <c r="B299" s="121" t="s">
        <v>95</v>
      </c>
      <c r="C299" s="121" t="s">
        <v>96</v>
      </c>
    </row>
    <row r="300" spans="2:3">
      <c r="B300" s="121" t="s">
        <v>97</v>
      </c>
      <c r="C300" s="121" t="s">
        <v>98</v>
      </c>
    </row>
    <row r="301" spans="2:3">
      <c r="B301" s="121" t="s">
        <v>157</v>
      </c>
      <c r="C301" s="121" t="s">
        <v>101</v>
      </c>
    </row>
    <row r="302" spans="2:3">
      <c r="B302" s="121" t="s">
        <v>102</v>
      </c>
      <c r="C302" s="121" t="s">
        <v>103</v>
      </c>
    </row>
    <row r="303" spans="2:3">
      <c r="B303" s="121" t="s">
        <v>104</v>
      </c>
      <c r="C303" s="121" t="s">
        <v>105</v>
      </c>
    </row>
    <row r="304" spans="2:3">
      <c r="B304" s="121" t="s">
        <v>109</v>
      </c>
      <c r="C304" s="122" t="s">
        <v>175</v>
      </c>
    </row>
    <row r="305" spans="2:3">
      <c r="B305" s="121" t="s">
        <v>106</v>
      </c>
      <c r="C305" s="121" t="s">
        <v>107</v>
      </c>
    </row>
    <row r="306" spans="2:3">
      <c r="B306" s="121" t="s">
        <v>282</v>
      </c>
      <c r="C306" s="121" t="s">
        <v>345</v>
      </c>
    </row>
    <row r="307" spans="2:3">
      <c r="B307" s="121" t="s">
        <v>110</v>
      </c>
      <c r="C307" s="121" t="s">
        <v>286</v>
      </c>
    </row>
    <row r="308" spans="2:3">
      <c r="B308" s="121" t="s">
        <v>158</v>
      </c>
      <c r="C308" s="121" t="s">
        <v>287</v>
      </c>
    </row>
    <row r="309" spans="2:3">
      <c r="B309" s="121" t="s">
        <v>111</v>
      </c>
      <c r="C309" s="121" t="s">
        <v>112</v>
      </c>
    </row>
    <row r="310" spans="2:3">
      <c r="B310" s="121" t="s">
        <v>113</v>
      </c>
      <c r="C310" s="121" t="s">
        <v>114</v>
      </c>
    </row>
    <row r="311" spans="2:3">
      <c r="B311" s="121" t="s">
        <v>116</v>
      </c>
      <c r="C311" s="121" t="s">
        <v>117</v>
      </c>
    </row>
    <row r="312" spans="2:3">
      <c r="B312" s="121" t="s">
        <v>118</v>
      </c>
      <c r="C312" s="121" t="s">
        <v>119</v>
      </c>
    </row>
    <row r="313" spans="2:3">
      <c r="B313" s="121" t="s">
        <v>152</v>
      </c>
      <c r="C313" s="122" t="s">
        <v>178</v>
      </c>
    </row>
    <row r="314" spans="2:3">
      <c r="B314" s="121" t="s">
        <v>266</v>
      </c>
      <c r="C314" s="121" t="s">
        <v>288</v>
      </c>
    </row>
    <row r="315" spans="2:3">
      <c r="B315" s="121" t="s">
        <v>133</v>
      </c>
      <c r="C315" s="122" t="s">
        <v>179</v>
      </c>
    </row>
    <row r="316" spans="2:3">
      <c r="B316" s="121" t="s">
        <v>0</v>
      </c>
      <c r="C316" s="122" t="s">
        <v>134</v>
      </c>
    </row>
    <row r="317" spans="2:3">
      <c r="B317" s="121" t="s">
        <v>159</v>
      </c>
      <c r="C317" s="122" t="s">
        <v>136</v>
      </c>
    </row>
    <row r="318" spans="2:3">
      <c r="B318" s="121" t="s">
        <v>160</v>
      </c>
      <c r="C318" s="122" t="s">
        <v>138</v>
      </c>
    </row>
    <row r="319" spans="2:3">
      <c r="B319" s="121" t="s">
        <v>116</v>
      </c>
      <c r="C319" s="122" t="s">
        <v>139</v>
      </c>
    </row>
    <row r="320" spans="2:3">
      <c r="B320" s="121" t="s">
        <v>113</v>
      </c>
      <c r="C320" s="122" t="s">
        <v>140</v>
      </c>
    </row>
    <row r="321" spans="2:20">
      <c r="B321" s="121" t="s">
        <v>141</v>
      </c>
      <c r="C321" s="122" t="s">
        <v>142</v>
      </c>
    </row>
    <row r="322" spans="2:20">
      <c r="B322" s="121" t="s">
        <v>121</v>
      </c>
      <c r="C322" s="122" t="s">
        <v>289</v>
      </c>
    </row>
    <row r="323" spans="2:20">
      <c r="B323" s="121" t="s">
        <v>144</v>
      </c>
      <c r="C323" s="122" t="s">
        <v>145</v>
      </c>
    </row>
    <row r="324" spans="2:20">
      <c r="B324" s="121" t="s">
        <v>122</v>
      </c>
      <c r="C324" s="122" t="s">
        <v>146</v>
      </c>
    </row>
    <row r="325" spans="2:20">
      <c r="B325" s="121" t="s">
        <v>123</v>
      </c>
      <c r="C325" s="115" t="s">
        <v>147</v>
      </c>
    </row>
    <row r="326" spans="2:20">
      <c r="B326" s="121" t="s">
        <v>124</v>
      </c>
      <c r="C326" s="122" t="s">
        <v>290</v>
      </c>
    </row>
    <row r="327" spans="2:20">
      <c r="B327" s="121" t="s">
        <v>162</v>
      </c>
      <c r="C327" s="122" t="s">
        <v>149</v>
      </c>
    </row>
    <row r="328" spans="2:20">
      <c r="B328" s="121" t="s">
        <v>267</v>
      </c>
      <c r="C328" s="121" t="s">
        <v>275</v>
      </c>
    </row>
    <row r="331" spans="2:20">
      <c r="B331" s="628" t="s">
        <v>316</v>
      </c>
      <c r="C331" s="628"/>
      <c r="D331" s="628"/>
      <c r="E331" s="628"/>
      <c r="F331" s="628"/>
      <c r="G331" s="628"/>
      <c r="H331" s="628"/>
      <c r="I331" s="628"/>
      <c r="J331" s="628"/>
      <c r="K331" s="628"/>
      <c r="L331" s="628"/>
      <c r="M331" s="628"/>
      <c r="N331" s="628"/>
      <c r="O331" s="628"/>
      <c r="P331" s="628"/>
      <c r="Q331" s="628"/>
      <c r="R331" s="628"/>
      <c r="S331" s="628"/>
      <c r="T331" s="628"/>
    </row>
    <row r="334" spans="2:20">
      <c r="C334" s="121">
        <v>2013</v>
      </c>
    </row>
    <row r="335" spans="2:20">
      <c r="B335" s="121" t="s">
        <v>390</v>
      </c>
      <c r="C335" s="121" t="s">
        <v>294</v>
      </c>
      <c r="D335" s="121" t="s">
        <v>295</v>
      </c>
      <c r="E335" s="121" t="s">
        <v>296</v>
      </c>
      <c r="F335" s="121" t="s">
        <v>297</v>
      </c>
      <c r="G335" s="121" t="s">
        <v>298</v>
      </c>
      <c r="H335" s="121" t="s">
        <v>299</v>
      </c>
      <c r="I335" s="121" t="s">
        <v>300</v>
      </c>
      <c r="J335" s="121" t="s">
        <v>301</v>
      </c>
      <c r="K335" s="121" t="s">
        <v>302</v>
      </c>
      <c r="L335" s="121" t="s">
        <v>303</v>
      </c>
      <c r="M335" s="121" t="s">
        <v>304</v>
      </c>
      <c r="N335" s="121" t="s">
        <v>305</v>
      </c>
      <c r="O335" s="121" t="s">
        <v>414</v>
      </c>
    </row>
    <row r="336" spans="2:20">
      <c r="B336" s="121" t="s">
        <v>391</v>
      </c>
      <c r="C336" s="121" t="s">
        <v>317</v>
      </c>
      <c r="D336" s="121" t="s">
        <v>318</v>
      </c>
      <c r="E336" s="121" t="s">
        <v>319</v>
      </c>
      <c r="F336" s="121" t="s">
        <v>297</v>
      </c>
      <c r="G336" s="121" t="s">
        <v>320</v>
      </c>
      <c r="H336" s="121" t="s">
        <v>321</v>
      </c>
      <c r="I336" s="121" t="s">
        <v>322</v>
      </c>
      <c r="J336" s="121" t="s">
        <v>323</v>
      </c>
      <c r="K336" s="121" t="s">
        <v>324</v>
      </c>
      <c r="L336" s="121" t="s">
        <v>325</v>
      </c>
      <c r="M336" s="121" t="s">
        <v>326</v>
      </c>
      <c r="N336" s="121" t="s">
        <v>327</v>
      </c>
      <c r="O336" s="121" t="s">
        <v>415</v>
      </c>
    </row>
    <row r="337" spans="2:3">
      <c r="B337" s="121" t="s">
        <v>128</v>
      </c>
      <c r="C337" s="121" t="s">
        <v>1</v>
      </c>
    </row>
    <row r="338" spans="2:3">
      <c r="B338" s="121" t="s">
        <v>2</v>
      </c>
      <c r="C338" s="121" t="s">
        <v>168</v>
      </c>
    </row>
    <row r="339" spans="2:3">
      <c r="B339" s="121" t="s">
        <v>3</v>
      </c>
      <c r="C339" s="121" t="s">
        <v>4</v>
      </c>
    </row>
    <row r="340" spans="2:3">
      <c r="B340" s="121" t="s">
        <v>5</v>
      </c>
      <c r="C340" s="121" t="s">
        <v>6</v>
      </c>
    </row>
    <row r="341" spans="2:3">
      <c r="B341" s="121" t="s">
        <v>306</v>
      </c>
      <c r="C341" s="121" t="s">
        <v>8</v>
      </c>
    </row>
    <row r="342" spans="2:3">
      <c r="B342" s="121" t="s">
        <v>9</v>
      </c>
      <c r="C342" s="121" t="s">
        <v>10</v>
      </c>
    </row>
    <row r="343" spans="2:3">
      <c r="B343" s="121" t="s">
        <v>307</v>
      </c>
      <c r="C343" s="121" t="s">
        <v>13</v>
      </c>
    </row>
    <row r="344" spans="2:3">
      <c r="B344" s="121" t="s">
        <v>308</v>
      </c>
      <c r="C344" s="121" t="s">
        <v>15</v>
      </c>
    </row>
    <row r="345" spans="2:3">
      <c r="B345" s="121" t="s">
        <v>16</v>
      </c>
      <c r="C345" s="121" t="s">
        <v>18</v>
      </c>
    </row>
    <row r="346" spans="2:3">
      <c r="B346" s="121" t="s">
        <v>19</v>
      </c>
      <c r="C346" s="121" t="s">
        <v>20</v>
      </c>
    </row>
    <row r="347" spans="2:3">
      <c r="B347" s="121" t="s">
        <v>309</v>
      </c>
      <c r="C347" s="121" t="s">
        <v>22</v>
      </c>
    </row>
    <row r="348" spans="2:3">
      <c r="B348" s="121" t="s">
        <v>310</v>
      </c>
      <c r="C348" s="121" t="s">
        <v>24</v>
      </c>
    </row>
    <row r="349" spans="2:3">
      <c r="B349" s="121" t="s">
        <v>311</v>
      </c>
      <c r="C349" s="121" t="s">
        <v>26</v>
      </c>
    </row>
    <row r="350" spans="2:3">
      <c r="B350" s="121" t="s">
        <v>27</v>
      </c>
      <c r="C350" s="121" t="s">
        <v>28</v>
      </c>
    </row>
    <row r="351" spans="2:3">
      <c r="B351" s="121" t="s">
        <v>29</v>
      </c>
      <c r="C351" s="121" t="s">
        <v>30</v>
      </c>
    </row>
    <row r="352" spans="2:3">
      <c r="B352" s="121" t="s">
        <v>31</v>
      </c>
      <c r="C352" s="121" t="s">
        <v>176</v>
      </c>
    </row>
    <row r="353" spans="2:3">
      <c r="B353" s="121" t="s">
        <v>32</v>
      </c>
      <c r="C353" s="121" t="s">
        <v>33</v>
      </c>
    </row>
    <row r="354" spans="2:3">
      <c r="B354" s="121" t="s">
        <v>34</v>
      </c>
      <c r="C354" s="121" t="s">
        <v>35</v>
      </c>
    </row>
    <row r="355" spans="2:3">
      <c r="B355" s="121" t="s">
        <v>37</v>
      </c>
      <c r="C355" s="121" t="s">
        <v>38</v>
      </c>
    </row>
    <row r="356" spans="2:3">
      <c r="B356" s="121" t="s">
        <v>39</v>
      </c>
      <c r="C356" s="121" t="s">
        <v>169</v>
      </c>
    </row>
    <row r="357" spans="2:3">
      <c r="B357" s="121" t="s">
        <v>329</v>
      </c>
      <c r="C357" s="121" t="s">
        <v>41</v>
      </c>
    </row>
    <row r="358" spans="2:3">
      <c r="B358" s="121" t="s">
        <v>312</v>
      </c>
      <c r="C358" s="121" t="s">
        <v>43</v>
      </c>
    </row>
    <row r="359" spans="2:3">
      <c r="B359" s="121" t="s">
        <v>45</v>
      </c>
      <c r="C359" s="121" t="s">
        <v>46</v>
      </c>
    </row>
    <row r="360" spans="2:3">
      <c r="B360" s="121" t="s">
        <v>313</v>
      </c>
      <c r="C360" s="121" t="s">
        <v>48</v>
      </c>
    </row>
    <row r="361" spans="2:3">
      <c r="B361" s="121" t="s">
        <v>314</v>
      </c>
      <c r="C361" s="121" t="s">
        <v>170</v>
      </c>
    </row>
    <row r="362" spans="2:3">
      <c r="B362" s="121" t="s">
        <v>51</v>
      </c>
      <c r="C362" s="121" t="s">
        <v>52</v>
      </c>
    </row>
    <row r="363" spans="2:3">
      <c r="B363" s="121" t="s">
        <v>53</v>
      </c>
      <c r="C363" s="121" t="s">
        <v>54</v>
      </c>
    </row>
    <row r="364" spans="2:3">
      <c r="B364" s="121" t="s">
        <v>55</v>
      </c>
      <c r="C364" s="121" t="s">
        <v>56</v>
      </c>
    </row>
    <row r="365" spans="2:3">
      <c r="B365" s="121" t="s">
        <v>57</v>
      </c>
      <c r="C365" s="121" t="s">
        <v>58</v>
      </c>
    </row>
    <row r="366" spans="2:3">
      <c r="B366" s="121" t="s">
        <v>315</v>
      </c>
      <c r="C366" s="121" t="s">
        <v>60</v>
      </c>
    </row>
    <row r="367" spans="2:3">
      <c r="B367" s="121" t="s">
        <v>53</v>
      </c>
      <c r="C367" s="121" t="s">
        <v>54</v>
      </c>
    </row>
    <row r="368" spans="2:3">
      <c r="B368" s="117" t="s">
        <v>256</v>
      </c>
      <c r="C368" s="121" t="s">
        <v>61</v>
      </c>
    </row>
    <row r="369" spans="2:3">
      <c r="B369" s="121" t="s">
        <v>62</v>
      </c>
      <c r="C369" s="121" t="s">
        <v>342</v>
      </c>
    </row>
    <row r="370" spans="2:3">
      <c r="B370" s="121" t="s">
        <v>126</v>
      </c>
      <c r="C370" s="121" t="s">
        <v>171</v>
      </c>
    </row>
    <row r="371" spans="2:3">
      <c r="B371" s="121" t="s">
        <v>63</v>
      </c>
      <c r="C371" s="121" t="s">
        <v>343</v>
      </c>
    </row>
    <row r="372" spans="2:3">
      <c r="B372" s="121" t="s">
        <v>64</v>
      </c>
      <c r="C372" s="121" t="s">
        <v>65</v>
      </c>
    </row>
    <row r="373" spans="2:3">
      <c r="B373" s="121" t="s">
        <v>66</v>
      </c>
      <c r="C373" s="121" t="s">
        <v>67</v>
      </c>
    </row>
    <row r="374" spans="2:3">
      <c r="B374" s="121" t="s">
        <v>68</v>
      </c>
      <c r="C374" s="121" t="s">
        <v>69</v>
      </c>
    </row>
    <row r="375" spans="2:3">
      <c r="B375" s="121" t="s">
        <v>70</v>
      </c>
      <c r="C375" s="121" t="s">
        <v>71</v>
      </c>
    </row>
    <row r="376" spans="2:3">
      <c r="B376" s="121" t="s">
        <v>72</v>
      </c>
      <c r="C376" s="121" t="s">
        <v>73</v>
      </c>
    </row>
    <row r="377" spans="2:3">
      <c r="B377" s="121" t="s">
        <v>129</v>
      </c>
      <c r="C377" s="121" t="s">
        <v>180</v>
      </c>
    </row>
    <row r="378" spans="2:3">
      <c r="B378" s="121" t="s">
        <v>75</v>
      </c>
      <c r="C378" s="121" t="s">
        <v>76</v>
      </c>
    </row>
    <row r="379" spans="2:3">
      <c r="B379" s="121" t="s">
        <v>77</v>
      </c>
      <c r="C379" s="121" t="s">
        <v>78</v>
      </c>
    </row>
    <row r="380" spans="2:3">
      <c r="B380" s="121" t="s">
        <v>79</v>
      </c>
      <c r="C380" s="121" t="s">
        <v>151</v>
      </c>
    </row>
    <row r="381" spans="2:3">
      <c r="B381" s="121" t="s">
        <v>80</v>
      </c>
      <c r="C381" s="121" t="s">
        <v>81</v>
      </c>
    </row>
    <row r="382" spans="2:3">
      <c r="B382" s="121" t="s">
        <v>82</v>
      </c>
      <c r="C382" s="121" t="s">
        <v>83</v>
      </c>
    </row>
    <row r="383" spans="2:3">
      <c r="B383" s="121" t="s">
        <v>84</v>
      </c>
      <c r="C383" s="121" t="s">
        <v>85</v>
      </c>
    </row>
    <row r="384" spans="2:3">
      <c r="B384" s="121" t="s">
        <v>86</v>
      </c>
      <c r="C384" s="121" t="s">
        <v>344</v>
      </c>
    </row>
    <row r="385" spans="2:3">
      <c r="B385" s="121" t="s">
        <v>130</v>
      </c>
      <c r="C385" s="121" t="s">
        <v>181</v>
      </c>
    </row>
    <row r="386" spans="2:3">
      <c r="B386" s="121" t="s">
        <v>87</v>
      </c>
      <c r="C386" s="121" t="s">
        <v>88</v>
      </c>
    </row>
    <row r="387" spans="2:3">
      <c r="B387" s="121" t="s">
        <v>89</v>
      </c>
      <c r="C387" s="121" t="s">
        <v>90</v>
      </c>
    </row>
    <row r="388" spans="2:3">
      <c r="B388" s="121" t="s">
        <v>91</v>
      </c>
      <c r="C388" s="121" t="s">
        <v>92</v>
      </c>
    </row>
    <row r="389" spans="2:3">
      <c r="B389" s="121" t="s">
        <v>93</v>
      </c>
      <c r="C389" s="121" t="s">
        <v>94</v>
      </c>
    </row>
    <row r="390" spans="2:3">
      <c r="B390" s="121" t="s">
        <v>95</v>
      </c>
      <c r="C390" s="121" t="s">
        <v>96</v>
      </c>
    </row>
    <row r="391" spans="2:3">
      <c r="B391" s="121" t="s">
        <v>97</v>
      </c>
      <c r="C391" s="121" t="s">
        <v>98</v>
      </c>
    </row>
    <row r="392" spans="2:3">
      <c r="B392" s="121" t="s">
        <v>100</v>
      </c>
      <c r="C392" s="121" t="s">
        <v>101</v>
      </c>
    </row>
    <row r="393" spans="2:3">
      <c r="B393" s="121" t="s">
        <v>102</v>
      </c>
      <c r="C393" s="121" t="s">
        <v>103</v>
      </c>
    </row>
    <row r="394" spans="2:3">
      <c r="B394" s="121" t="s">
        <v>104</v>
      </c>
      <c r="C394" s="121" t="s">
        <v>105</v>
      </c>
    </row>
    <row r="395" spans="2:3">
      <c r="B395" s="121" t="s">
        <v>106</v>
      </c>
      <c r="C395" s="121" t="s">
        <v>107</v>
      </c>
    </row>
    <row r="396" spans="2:3">
      <c r="B396" s="121" t="s">
        <v>108</v>
      </c>
      <c r="C396" s="121" t="s">
        <v>174</v>
      </c>
    </row>
    <row r="397" spans="2:3">
      <c r="B397" s="121" t="s">
        <v>109</v>
      </c>
      <c r="C397" s="121" t="s">
        <v>175</v>
      </c>
    </row>
    <row r="398" spans="2:3">
      <c r="B398" s="121" t="s">
        <v>131</v>
      </c>
      <c r="C398" s="121" t="s">
        <v>376</v>
      </c>
    </row>
    <row r="399" spans="2:3">
      <c r="B399" s="121" t="s">
        <v>111</v>
      </c>
      <c r="C399" s="121" t="s">
        <v>112</v>
      </c>
    </row>
    <row r="400" spans="2:3">
      <c r="B400" s="121" t="s">
        <v>118</v>
      </c>
      <c r="C400" s="121" t="s">
        <v>119</v>
      </c>
    </row>
    <row r="401" spans="2:3">
      <c r="B401" s="121" t="s">
        <v>152</v>
      </c>
      <c r="C401" s="121" t="s">
        <v>178</v>
      </c>
    </row>
    <row r="402" spans="2:3">
      <c r="B402" s="121" t="s">
        <v>132</v>
      </c>
      <c r="C402" s="121" t="s">
        <v>120</v>
      </c>
    </row>
    <row r="403" spans="2:3">
      <c r="B403" s="121" t="s">
        <v>133</v>
      </c>
      <c r="C403" s="121" t="s">
        <v>179</v>
      </c>
    </row>
    <row r="404" spans="2:3">
      <c r="B404" s="121" t="s">
        <v>0</v>
      </c>
      <c r="C404" s="121" t="s">
        <v>134</v>
      </c>
    </row>
    <row r="405" spans="2:3">
      <c r="B405" s="121" t="s">
        <v>135</v>
      </c>
      <c r="C405" s="121" t="s">
        <v>136</v>
      </c>
    </row>
    <row r="406" spans="2:3">
      <c r="B406" s="121" t="s">
        <v>137</v>
      </c>
      <c r="C406" s="121" t="s">
        <v>138</v>
      </c>
    </row>
    <row r="407" spans="2:3">
      <c r="B407" s="121" t="s">
        <v>116</v>
      </c>
      <c r="C407" s="121" t="s">
        <v>139</v>
      </c>
    </row>
    <row r="408" spans="2:3">
      <c r="B408" s="121" t="s">
        <v>113</v>
      </c>
      <c r="C408" s="121" t="s">
        <v>140</v>
      </c>
    </row>
    <row r="409" spans="2:3">
      <c r="B409" s="121" t="s">
        <v>141</v>
      </c>
      <c r="C409" s="121" t="s">
        <v>142</v>
      </c>
    </row>
    <row r="410" spans="2:3">
      <c r="B410" s="121" t="s">
        <v>121</v>
      </c>
      <c r="C410" s="121" t="s">
        <v>143</v>
      </c>
    </row>
    <row r="411" spans="2:3">
      <c r="B411" s="121" t="s">
        <v>144</v>
      </c>
      <c r="C411" s="121" t="s">
        <v>145</v>
      </c>
    </row>
    <row r="412" spans="2:3">
      <c r="B412" s="121" t="s">
        <v>122</v>
      </c>
      <c r="C412" s="121" t="s">
        <v>146</v>
      </c>
    </row>
    <row r="413" spans="2:3">
      <c r="B413" s="121" t="s">
        <v>123</v>
      </c>
      <c r="C413" s="121" t="s">
        <v>147</v>
      </c>
    </row>
    <row r="414" spans="2:3">
      <c r="B414" s="121" t="s">
        <v>330</v>
      </c>
      <c r="C414" s="121" t="s">
        <v>148</v>
      </c>
    </row>
    <row r="415" spans="2:3">
      <c r="B415" s="121" t="s">
        <v>125</v>
      </c>
      <c r="C415" s="121" t="s">
        <v>149</v>
      </c>
    </row>
    <row r="416" spans="2:3">
      <c r="B416" s="121" t="s">
        <v>267</v>
      </c>
      <c r="C416" s="121" t="s">
        <v>268</v>
      </c>
    </row>
    <row r="419" spans="2:23">
      <c r="B419" s="628" t="s">
        <v>392</v>
      </c>
      <c r="C419" s="628"/>
      <c r="D419" s="628"/>
      <c r="E419" s="628"/>
      <c r="F419" s="628"/>
      <c r="G419" s="628"/>
      <c r="H419" s="628"/>
      <c r="I419" s="628"/>
      <c r="J419" s="628"/>
      <c r="K419" s="628"/>
      <c r="L419" s="628"/>
      <c r="M419" s="628"/>
      <c r="N419" s="628"/>
      <c r="O419" s="628"/>
      <c r="P419" s="628"/>
      <c r="Q419" s="628"/>
      <c r="R419" s="628"/>
      <c r="S419" s="628"/>
      <c r="T419" s="628"/>
    </row>
    <row r="421" spans="2:23">
      <c r="B421" s="121" t="s">
        <v>328</v>
      </c>
    </row>
    <row r="422" spans="2:23">
      <c r="B422" s="121" t="s">
        <v>335</v>
      </c>
      <c r="O422" s="18"/>
    </row>
    <row r="424" spans="2:23">
      <c r="B424" s="121" t="s">
        <v>394</v>
      </c>
    </row>
    <row r="425" spans="2:23">
      <c r="B425" s="121" t="s">
        <v>394</v>
      </c>
    </row>
    <row r="427" spans="2:23">
      <c r="B427" s="628" t="s">
        <v>331</v>
      </c>
      <c r="C427" s="628"/>
      <c r="D427" s="628"/>
      <c r="E427" s="628"/>
      <c r="F427" s="628"/>
      <c r="G427" s="628"/>
      <c r="H427" s="628"/>
      <c r="I427" s="628"/>
      <c r="J427" s="628"/>
      <c r="K427" s="628"/>
      <c r="L427" s="628"/>
      <c r="M427" s="628"/>
      <c r="N427" s="628"/>
      <c r="O427" s="628"/>
      <c r="P427" s="628"/>
      <c r="Q427" s="628"/>
      <c r="R427" s="628"/>
      <c r="S427" s="628"/>
      <c r="T427" s="628"/>
    </row>
    <row r="429" spans="2:23">
      <c r="B429" s="121" t="s">
        <v>337</v>
      </c>
      <c r="C429" s="121" t="s">
        <v>241</v>
      </c>
      <c r="D429" s="121" t="s">
        <v>393</v>
      </c>
      <c r="E429" s="137" t="s">
        <v>395</v>
      </c>
      <c r="F429" s="137" t="s">
        <v>396</v>
      </c>
      <c r="G429" s="137" t="s">
        <v>399</v>
      </c>
      <c r="H429" s="137" t="s">
        <v>404</v>
      </c>
      <c r="I429" s="160" t="s">
        <v>405</v>
      </c>
      <c r="J429" s="160" t="s">
        <v>406</v>
      </c>
    </row>
    <row r="430" spans="2:23">
      <c r="B430" s="121" t="s">
        <v>338</v>
      </c>
      <c r="C430" s="121" t="s">
        <v>341</v>
      </c>
      <c r="D430" s="121" t="s">
        <v>393</v>
      </c>
      <c r="E430" s="137" t="s">
        <v>395</v>
      </c>
      <c r="F430" s="137" t="s">
        <v>401</v>
      </c>
      <c r="G430" s="137" t="s">
        <v>400</v>
      </c>
      <c r="H430" s="121" t="s">
        <v>403</v>
      </c>
      <c r="I430" s="160" t="s">
        <v>405</v>
      </c>
      <c r="J430" s="160" t="s">
        <v>406</v>
      </c>
      <c r="W430" s="141"/>
    </row>
    <row r="432" spans="2:23">
      <c r="B432" s="628" t="s">
        <v>347</v>
      </c>
      <c r="C432" s="628"/>
      <c r="D432" s="628"/>
      <c r="E432" s="628"/>
      <c r="F432" s="628"/>
      <c r="G432" s="628"/>
      <c r="H432" s="628"/>
      <c r="I432" s="628"/>
      <c r="J432" s="628"/>
      <c r="K432" s="628"/>
      <c r="L432" s="628"/>
      <c r="M432" s="628"/>
      <c r="N432" s="628"/>
      <c r="O432" s="628"/>
      <c r="P432" s="628"/>
      <c r="Q432" s="628"/>
      <c r="R432" s="628"/>
      <c r="S432" s="628"/>
      <c r="T432" s="628"/>
    </row>
    <row r="435" spans="2:6">
      <c r="B435" s="121" t="s">
        <v>355</v>
      </c>
      <c r="C435" s="121" t="s">
        <v>356</v>
      </c>
    </row>
    <row r="437" spans="2:6">
      <c r="B437" s="121" t="s">
        <v>348</v>
      </c>
      <c r="C437" s="121" t="s">
        <v>347</v>
      </c>
    </row>
    <row r="438" spans="2:6">
      <c r="B438" s="121" t="s">
        <v>349</v>
      </c>
      <c r="C438" s="121" t="s">
        <v>357</v>
      </c>
    </row>
    <row r="439" spans="2:6">
      <c r="B439" s="121" t="s">
        <v>350</v>
      </c>
      <c r="C439" s="121" t="s">
        <v>358</v>
      </c>
    </row>
    <row r="441" spans="2:6">
      <c r="B441" s="121" t="s">
        <v>359</v>
      </c>
      <c r="C441" s="121" t="s">
        <v>351</v>
      </c>
      <c r="D441" s="121" t="s">
        <v>352</v>
      </c>
      <c r="E441" s="121" t="s">
        <v>353</v>
      </c>
      <c r="F441" s="121" t="s">
        <v>354</v>
      </c>
    </row>
    <row r="442" spans="2:6">
      <c r="B442" s="121" t="s">
        <v>360</v>
      </c>
      <c r="C442" s="121" t="s">
        <v>361</v>
      </c>
      <c r="D442" s="121" t="s">
        <v>362</v>
      </c>
      <c r="E442" s="121" t="s">
        <v>363</v>
      </c>
      <c r="F442" s="121" t="s">
        <v>364</v>
      </c>
    </row>
    <row r="443" spans="2:6">
      <c r="B443" s="121" t="s">
        <v>365</v>
      </c>
    </row>
    <row r="444" spans="2:6">
      <c r="B444" s="121" t="s">
        <v>366</v>
      </c>
    </row>
    <row r="448" spans="2:6">
      <c r="B448" s="121" t="s">
        <v>410</v>
      </c>
    </row>
    <row r="450" spans="2:2">
      <c r="B450" s="121" t="s">
        <v>128</v>
      </c>
    </row>
    <row r="451" spans="2:2">
      <c r="B451" s="121" t="s">
        <v>2</v>
      </c>
    </row>
    <row r="452" spans="2:2">
      <c r="B452" s="121" t="s">
        <v>3</v>
      </c>
    </row>
    <row r="453" spans="2:2">
      <c r="B453" s="121" t="s">
        <v>5</v>
      </c>
    </row>
    <row r="454" spans="2:2">
      <c r="B454" s="121" t="s">
        <v>306</v>
      </c>
    </row>
    <row r="455" spans="2:2">
      <c r="B455" s="121" t="s">
        <v>9</v>
      </c>
    </row>
    <row r="456" spans="2:2">
      <c r="B456" s="121" t="s">
        <v>307</v>
      </c>
    </row>
    <row r="457" spans="2:2">
      <c r="B457" s="121" t="s">
        <v>308</v>
      </c>
    </row>
    <row r="458" spans="2:2">
      <c r="B458" s="121" t="s">
        <v>16</v>
      </c>
    </row>
    <row r="459" spans="2:2">
      <c r="B459" s="121" t="s">
        <v>19</v>
      </c>
    </row>
    <row r="460" spans="2:2">
      <c r="B460" s="121" t="s">
        <v>309</v>
      </c>
    </row>
    <row r="461" spans="2:2">
      <c r="B461" s="121" t="s">
        <v>310</v>
      </c>
    </row>
    <row r="462" spans="2:2">
      <c r="B462" s="121" t="s">
        <v>311</v>
      </c>
    </row>
    <row r="463" spans="2:2">
      <c r="B463" s="121" t="s">
        <v>27</v>
      </c>
    </row>
    <row r="464" spans="2:2">
      <c r="B464" s="121" t="s">
        <v>29</v>
      </c>
    </row>
    <row r="465" spans="2:2">
      <c r="B465" s="121" t="s">
        <v>31</v>
      </c>
    </row>
    <row r="466" spans="2:2">
      <c r="B466" s="121" t="s">
        <v>32</v>
      </c>
    </row>
    <row r="467" spans="2:2">
      <c r="B467" s="121" t="s">
        <v>34</v>
      </c>
    </row>
    <row r="468" spans="2:2">
      <c r="B468" s="121" t="s">
        <v>37</v>
      </c>
    </row>
    <row r="469" spans="2:2">
      <c r="B469" s="121" t="s">
        <v>39</v>
      </c>
    </row>
    <row r="470" spans="2:2">
      <c r="B470" s="121" t="s">
        <v>329</v>
      </c>
    </row>
    <row r="471" spans="2:2">
      <c r="B471" s="121" t="s">
        <v>312</v>
      </c>
    </row>
    <row r="472" spans="2:2">
      <c r="B472" s="121" t="s">
        <v>45</v>
      </c>
    </row>
    <row r="473" spans="2:2">
      <c r="B473" s="121" t="s">
        <v>313</v>
      </c>
    </row>
    <row r="474" spans="2:2">
      <c r="B474" s="121" t="s">
        <v>314</v>
      </c>
    </row>
    <row r="475" spans="2:2">
      <c r="B475" s="121" t="s">
        <v>51</v>
      </c>
    </row>
    <row r="476" spans="2:2">
      <c r="B476" s="121" t="s">
        <v>53</v>
      </c>
    </row>
    <row r="477" spans="2:2">
      <c r="B477" s="121" t="s">
        <v>55</v>
      </c>
    </row>
    <row r="478" spans="2:2">
      <c r="B478" s="121" t="s">
        <v>57</v>
      </c>
    </row>
    <row r="479" spans="2:2">
      <c r="B479" s="121" t="s">
        <v>315</v>
      </c>
    </row>
    <row r="480" spans="2:2">
      <c r="B480" s="121" t="s">
        <v>53</v>
      </c>
    </row>
    <row r="481" spans="2:2">
      <c r="B481" s="121" t="s">
        <v>256</v>
      </c>
    </row>
    <row r="482" spans="2:2">
      <c r="B482" s="121" t="s">
        <v>62</v>
      </c>
    </row>
    <row r="483" spans="2:2">
      <c r="B483" s="121" t="s">
        <v>126</v>
      </c>
    </row>
    <row r="484" spans="2:2">
      <c r="B484" s="121" t="s">
        <v>63</v>
      </c>
    </row>
    <row r="485" spans="2:2">
      <c r="B485" s="121" t="s">
        <v>64</v>
      </c>
    </row>
    <row r="486" spans="2:2">
      <c r="B486" s="121" t="s">
        <v>66</v>
      </c>
    </row>
    <row r="487" spans="2:2">
      <c r="B487" s="121" t="s">
        <v>68</v>
      </c>
    </row>
    <row r="488" spans="2:2">
      <c r="B488" s="121" t="s">
        <v>70</v>
      </c>
    </row>
    <row r="489" spans="2:2">
      <c r="B489" s="121" t="s">
        <v>72</v>
      </c>
    </row>
    <row r="490" spans="2:2">
      <c r="B490" s="121" t="s">
        <v>129</v>
      </c>
    </row>
    <row r="491" spans="2:2">
      <c r="B491" s="121" t="s">
        <v>75</v>
      </c>
    </row>
    <row r="492" spans="2:2">
      <c r="B492" s="121" t="s">
        <v>77</v>
      </c>
    </row>
    <row r="493" spans="2:2">
      <c r="B493" s="121" t="s">
        <v>79</v>
      </c>
    </row>
    <row r="494" spans="2:2">
      <c r="B494" s="121" t="s">
        <v>80</v>
      </c>
    </row>
    <row r="495" spans="2:2">
      <c r="B495" s="121" t="s">
        <v>82</v>
      </c>
    </row>
    <row r="496" spans="2:2">
      <c r="B496" s="121" t="s">
        <v>84</v>
      </c>
    </row>
    <row r="497" spans="2:2">
      <c r="B497" s="121" t="s">
        <v>86</v>
      </c>
    </row>
    <row r="498" spans="2:2">
      <c r="B498" s="121" t="s">
        <v>130</v>
      </c>
    </row>
    <row r="499" spans="2:2">
      <c r="B499" s="121" t="s">
        <v>87</v>
      </c>
    </row>
    <row r="500" spans="2:2">
      <c r="B500" s="121" t="s">
        <v>89</v>
      </c>
    </row>
    <row r="501" spans="2:2">
      <c r="B501" s="121" t="s">
        <v>91</v>
      </c>
    </row>
    <row r="502" spans="2:2">
      <c r="B502" s="121" t="s">
        <v>93</v>
      </c>
    </row>
    <row r="503" spans="2:2">
      <c r="B503" s="121" t="s">
        <v>95</v>
      </c>
    </row>
    <row r="504" spans="2:2">
      <c r="B504" s="121" t="s">
        <v>97</v>
      </c>
    </row>
    <row r="505" spans="2:2">
      <c r="B505" s="121" t="s">
        <v>100</v>
      </c>
    </row>
    <row r="506" spans="2:2">
      <c r="B506" s="121" t="s">
        <v>102</v>
      </c>
    </row>
    <row r="507" spans="2:2">
      <c r="B507" s="121" t="s">
        <v>104</v>
      </c>
    </row>
    <row r="508" spans="2:2">
      <c r="B508" s="121" t="s">
        <v>106</v>
      </c>
    </row>
    <row r="509" spans="2:2">
      <c r="B509" s="121" t="s">
        <v>108</v>
      </c>
    </row>
    <row r="510" spans="2:2">
      <c r="B510" s="121" t="s">
        <v>412</v>
      </c>
    </row>
    <row r="511" spans="2:2">
      <c r="B511" s="121" t="s">
        <v>109</v>
      </c>
    </row>
    <row r="512" spans="2:2">
      <c r="B512" s="121" t="s">
        <v>131</v>
      </c>
    </row>
    <row r="513" spans="2:2">
      <c r="B513" s="121" t="s">
        <v>111</v>
      </c>
    </row>
    <row r="514" spans="2:2">
      <c r="B514" s="121" t="s">
        <v>118</v>
      </c>
    </row>
    <row r="515" spans="2:2">
      <c r="B515" s="121" t="s">
        <v>113</v>
      </c>
    </row>
    <row r="516" spans="2:2">
      <c r="B516" s="121" t="s">
        <v>152</v>
      </c>
    </row>
    <row r="517" spans="2:2">
      <c r="B517" s="121" t="s">
        <v>132</v>
      </c>
    </row>
    <row r="518" spans="2:2">
      <c r="B518" s="121" t="s">
        <v>133</v>
      </c>
    </row>
    <row r="519" spans="2:2">
      <c r="B519" s="121" t="s">
        <v>0</v>
      </c>
    </row>
    <row r="520" spans="2:2">
      <c r="B520" s="121" t="s">
        <v>135</v>
      </c>
    </row>
    <row r="521" spans="2:2">
      <c r="B521" s="121" t="s">
        <v>137</v>
      </c>
    </row>
    <row r="522" spans="2:2">
      <c r="B522" s="121" t="s">
        <v>116</v>
      </c>
    </row>
    <row r="523" spans="2:2">
      <c r="B523" s="121" t="s">
        <v>141</v>
      </c>
    </row>
    <row r="524" spans="2:2">
      <c r="B524" s="121" t="s">
        <v>121</v>
      </c>
    </row>
    <row r="525" spans="2:2">
      <c r="B525" s="121" t="s">
        <v>144</v>
      </c>
    </row>
    <row r="526" spans="2:2">
      <c r="B526" s="121" t="s">
        <v>122</v>
      </c>
    </row>
    <row r="527" spans="2:2">
      <c r="B527" s="121" t="s">
        <v>123</v>
      </c>
    </row>
    <row r="528" spans="2:2">
      <c r="B528" s="121" t="s">
        <v>330</v>
      </c>
    </row>
    <row r="529" spans="2:2">
      <c r="B529" s="121" t="s">
        <v>125</v>
      </c>
    </row>
    <row r="530" spans="2:2">
      <c r="B530" s="121" t="s">
        <v>267</v>
      </c>
    </row>
  </sheetData>
  <mergeCells count="21">
    <mergeCell ref="B419:T419"/>
    <mergeCell ref="B432:T432"/>
    <mergeCell ref="B427:T427"/>
    <mergeCell ref="B331:T331"/>
    <mergeCell ref="B253:T253"/>
    <mergeCell ref="B3:C3"/>
    <mergeCell ref="B154:T154"/>
    <mergeCell ref="B62:T62"/>
    <mergeCell ref="D52:D59"/>
    <mergeCell ref="B52:B59"/>
    <mergeCell ref="M42:P42"/>
    <mergeCell ref="J42:L42"/>
    <mergeCell ref="F42:H42"/>
    <mergeCell ref="D42:D51"/>
    <mergeCell ref="B42:B51"/>
    <mergeCell ref="J40:L40"/>
    <mergeCell ref="F40:H40"/>
    <mergeCell ref="D40:E41"/>
    <mergeCell ref="B37:T37"/>
    <mergeCell ref="B40:C41"/>
    <mergeCell ref="M40:P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Analitics tab 2014</vt:lpstr>
      <vt:lpstr>2014 - plan</vt:lpstr>
      <vt:lpstr>2014 - execution </vt:lpstr>
      <vt:lpstr>2013 - execution</vt:lpstr>
      <vt:lpstr>2013 - plan</vt:lpstr>
      <vt:lpstr>2012 - execution </vt:lpstr>
      <vt:lpstr>2012 - plan</vt:lpstr>
      <vt:lpstr>Public debt tab</vt:lpstr>
      <vt:lpstr>MasterSheet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2014-02-12T13:33:14Z</cp:lastPrinted>
  <dcterms:created xsi:type="dcterms:W3CDTF">2008-03-17T08:49:23Z</dcterms:created>
  <dcterms:modified xsi:type="dcterms:W3CDTF">2014-05-16T14:25:28Z</dcterms:modified>
</cp:coreProperties>
</file>