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mara.poleksic\Desktop\"/>
    </mc:Choice>
  </mc:AlternateContent>
  <bookViews>
    <workbookView xWindow="0" yWindow="0" windowWidth="21570" windowHeight="745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Budget'!$B$13:$C$75</definedName>
    <definedName name="Z_05AB59A7_9F04_4F70_A17E_8EF60EF35C7C_.wvu.PrintArea" localSheetId="1" hidden="1">'Local Government'!$B$13:$M$59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5251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H16" i="10" l="1"/>
  <c r="H22" i="10"/>
  <c r="H38" i="10"/>
  <c r="H60" i="32"/>
  <c r="D28" i="32" l="1"/>
  <c r="D26" i="32" s="1"/>
  <c r="D27" i="32" s="1"/>
  <c r="D38" i="32"/>
  <c r="F60" i="33" l="1"/>
  <c r="F67" i="33"/>
  <c r="J67" i="33"/>
  <c r="D67" i="33"/>
  <c r="D49" i="32"/>
  <c r="J49" i="32"/>
  <c r="I67" i="33" l="1"/>
  <c r="L67" i="33"/>
  <c r="M67" i="33"/>
  <c r="H67" i="33"/>
  <c r="F28" i="32" l="1"/>
  <c r="F38" i="32"/>
  <c r="F26" i="32" l="1"/>
  <c r="F27" i="32" s="1"/>
  <c r="F41" i="33" l="1"/>
  <c r="F49" i="32"/>
  <c r="H49" i="32" s="1"/>
  <c r="M52" i="32"/>
  <c r="L52" i="32"/>
  <c r="I52" i="32"/>
  <c r="H52" i="32"/>
  <c r="F17" i="32"/>
  <c r="F16" i="32" s="1"/>
  <c r="J18" i="33"/>
  <c r="J19" i="33"/>
  <c r="J20" i="33"/>
  <c r="J21" i="33"/>
  <c r="J22" i="33"/>
  <c r="J23" i="33"/>
  <c r="J24" i="33"/>
  <c r="J25" i="33"/>
  <c r="J27" i="33"/>
  <c r="J28" i="33"/>
  <c r="J29" i="33"/>
  <c r="J30" i="33"/>
  <c r="J31" i="33"/>
  <c r="J32" i="33"/>
  <c r="J33" i="33"/>
  <c r="J34" i="33"/>
  <c r="J35" i="33"/>
  <c r="J39" i="33"/>
  <c r="J40" i="33"/>
  <c r="L40" i="33" s="1"/>
  <c r="J41" i="33"/>
  <c r="J42" i="33"/>
  <c r="J43" i="33"/>
  <c r="J44" i="33"/>
  <c r="J45" i="33"/>
  <c r="J46" i="33"/>
  <c r="J47" i="33"/>
  <c r="J48" i="33"/>
  <c r="J49" i="33"/>
  <c r="J56" i="33"/>
  <c r="J57" i="33"/>
  <c r="J58" i="33"/>
  <c r="J59" i="33"/>
  <c r="J61" i="33"/>
  <c r="J60" i="33"/>
  <c r="J65" i="33"/>
  <c r="J66" i="33"/>
  <c r="J68" i="33"/>
  <c r="F18" i="33"/>
  <c r="F19" i="33"/>
  <c r="F20" i="33"/>
  <c r="F21" i="33"/>
  <c r="F22" i="33"/>
  <c r="F23" i="33"/>
  <c r="F24" i="33"/>
  <c r="F25" i="33"/>
  <c r="F27" i="33"/>
  <c r="F28" i="33"/>
  <c r="F29" i="33"/>
  <c r="F30" i="33"/>
  <c r="F31" i="33"/>
  <c r="F32" i="33"/>
  <c r="F33" i="33"/>
  <c r="F34" i="33"/>
  <c r="F35" i="33"/>
  <c r="F39" i="33"/>
  <c r="F40" i="33"/>
  <c r="F42" i="33"/>
  <c r="F43" i="33"/>
  <c r="F44" i="33"/>
  <c r="F45" i="33"/>
  <c r="F46" i="33"/>
  <c r="F47" i="33"/>
  <c r="F48" i="33"/>
  <c r="F56" i="33"/>
  <c r="F57" i="33"/>
  <c r="F58" i="33"/>
  <c r="F59" i="33"/>
  <c r="F61" i="33"/>
  <c r="F65" i="33"/>
  <c r="F66" i="33"/>
  <c r="F68" i="33"/>
  <c r="D33" i="33"/>
  <c r="D31" i="33"/>
  <c r="D32" i="33"/>
  <c r="D18" i="33"/>
  <c r="D19" i="33"/>
  <c r="D20" i="33"/>
  <c r="D21" i="33"/>
  <c r="D22" i="33"/>
  <c r="D23" i="33"/>
  <c r="D24" i="33"/>
  <c r="D25" i="33"/>
  <c r="D34" i="33"/>
  <c r="D35" i="33"/>
  <c r="D39" i="33"/>
  <c r="D40" i="33"/>
  <c r="D41" i="33"/>
  <c r="D42" i="33"/>
  <c r="D43" i="33"/>
  <c r="D44" i="33"/>
  <c r="D45" i="33"/>
  <c r="D46" i="33"/>
  <c r="D47" i="33"/>
  <c r="D48" i="33"/>
  <c r="D56" i="33"/>
  <c r="D57" i="33"/>
  <c r="D58" i="33"/>
  <c r="D59" i="33"/>
  <c r="D60" i="33"/>
  <c r="D61" i="33"/>
  <c r="D65" i="33"/>
  <c r="D66" i="33"/>
  <c r="D68" i="33"/>
  <c r="H68" i="33" s="1"/>
  <c r="I46" i="32"/>
  <c r="M46" i="32"/>
  <c r="M45" i="32"/>
  <c r="L45" i="32"/>
  <c r="J11" i="32"/>
  <c r="K45" i="32" s="1"/>
  <c r="D11" i="32"/>
  <c r="G52" i="32" s="1"/>
  <c r="I45" i="32"/>
  <c r="H45" i="32"/>
  <c r="J17" i="32"/>
  <c r="J16" i="32" s="1"/>
  <c r="K16" i="32" s="1"/>
  <c r="J28" i="32"/>
  <c r="J38" i="32"/>
  <c r="D17" i="32"/>
  <c r="D16" i="32" s="1"/>
  <c r="M74" i="10"/>
  <c r="M73" i="10"/>
  <c r="M72" i="10"/>
  <c r="M69" i="10"/>
  <c r="M68" i="10"/>
  <c r="M67" i="10"/>
  <c r="M66" i="10"/>
  <c r="H69" i="10"/>
  <c r="L69" i="10"/>
  <c r="K69" i="10"/>
  <c r="I69" i="10"/>
  <c r="G69" i="10"/>
  <c r="E69" i="10"/>
  <c r="D17" i="10"/>
  <c r="D16" i="10" s="1"/>
  <c r="D25" i="10"/>
  <c r="D26" i="33" s="1"/>
  <c r="D37" i="10"/>
  <c r="D48" i="10"/>
  <c r="D54" i="10"/>
  <c r="D65" i="10"/>
  <c r="F17" i="10"/>
  <c r="F25" i="10"/>
  <c r="G25" i="10" s="1"/>
  <c r="F37" i="10"/>
  <c r="F48" i="10"/>
  <c r="F49" i="33" s="1"/>
  <c r="F54" i="10"/>
  <c r="F55" i="33" s="1"/>
  <c r="F65" i="10"/>
  <c r="G65" i="10" s="1"/>
  <c r="J17" i="10"/>
  <c r="J25" i="10"/>
  <c r="J16" i="10" s="1"/>
  <c r="J37" i="10"/>
  <c r="J48" i="10"/>
  <c r="J54" i="10"/>
  <c r="J55" i="33" s="1"/>
  <c r="M62" i="10"/>
  <c r="M61" i="10"/>
  <c r="E18" i="10"/>
  <c r="E19" i="10"/>
  <c r="E20" i="10"/>
  <c r="E21" i="10"/>
  <c r="E22" i="10"/>
  <c r="E23" i="10"/>
  <c r="E24" i="10"/>
  <c r="F74" i="33"/>
  <c r="D74" i="33"/>
  <c r="J74" i="33"/>
  <c r="M55" i="10"/>
  <c r="M56" i="10"/>
  <c r="L55" i="10"/>
  <c r="L56" i="10"/>
  <c r="I55" i="10"/>
  <c r="I56" i="10"/>
  <c r="H55" i="10"/>
  <c r="H56" i="10"/>
  <c r="G56" i="10"/>
  <c r="G55" i="10"/>
  <c r="K56" i="10"/>
  <c r="K55" i="10"/>
  <c r="D54" i="33"/>
  <c r="D53" i="33"/>
  <c r="D52" i="33"/>
  <c r="D51" i="33"/>
  <c r="D50" i="33"/>
  <c r="L68" i="10"/>
  <c r="K68" i="10"/>
  <c r="I68" i="10"/>
  <c r="H68" i="10"/>
  <c r="C33" i="10"/>
  <c r="I32" i="32"/>
  <c r="I24" i="32"/>
  <c r="H14" i="32"/>
  <c r="L14" i="32" s="1"/>
  <c r="D15" i="32"/>
  <c r="E15" i="32"/>
  <c r="F15" i="32"/>
  <c r="G15" i="32"/>
  <c r="H15" i="32"/>
  <c r="J15" i="32"/>
  <c r="K15" i="32"/>
  <c r="L15" i="32"/>
  <c r="C16" i="32"/>
  <c r="C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C22" i="32"/>
  <c r="C23" i="32"/>
  <c r="C24" i="32"/>
  <c r="H24" i="32"/>
  <c r="L24" i="32"/>
  <c r="M24" i="32"/>
  <c r="H25" i="32"/>
  <c r="I25" i="32"/>
  <c r="L25" i="32"/>
  <c r="M25" i="32"/>
  <c r="C26" i="32"/>
  <c r="C27" i="32"/>
  <c r="C28" i="32"/>
  <c r="C29" i="32"/>
  <c r="H29" i="32"/>
  <c r="I29" i="32"/>
  <c r="L29" i="32"/>
  <c r="M29" i="32"/>
  <c r="C30" i="32"/>
  <c r="H30" i="32"/>
  <c r="I30" i="32"/>
  <c r="L30" i="32"/>
  <c r="M30" i="32"/>
  <c r="C31" i="32"/>
  <c r="H31" i="32"/>
  <c r="I31" i="32"/>
  <c r="L31" i="32"/>
  <c r="M31" i="32"/>
  <c r="C32" i="32"/>
  <c r="H32" i="32"/>
  <c r="L32" i="32"/>
  <c r="M32" i="32"/>
  <c r="C33" i="32"/>
  <c r="H33" i="32"/>
  <c r="I33" i="32"/>
  <c r="L33" i="32"/>
  <c r="M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7" i="32"/>
  <c r="I37" i="32"/>
  <c r="L37" i="32"/>
  <c r="M37" i="32"/>
  <c r="C38" i="32"/>
  <c r="H39" i="32"/>
  <c r="I39" i="32"/>
  <c r="L39" i="32"/>
  <c r="M39" i="32"/>
  <c r="C40" i="32"/>
  <c r="C41" i="32"/>
  <c r="H41" i="32"/>
  <c r="I41" i="32"/>
  <c r="L41" i="32"/>
  <c r="M41" i="32"/>
  <c r="C42" i="32"/>
  <c r="H42" i="32"/>
  <c r="I42" i="32"/>
  <c r="L42" i="32"/>
  <c r="M42" i="32"/>
  <c r="C43" i="32"/>
  <c r="H43" i="32"/>
  <c r="I43" i="32"/>
  <c r="L43" i="32"/>
  <c r="M43" i="32"/>
  <c r="H44" i="32"/>
  <c r="I44" i="32"/>
  <c r="L44" i="32"/>
  <c r="M44" i="32"/>
  <c r="H46" i="32"/>
  <c r="L46" i="32"/>
  <c r="C47" i="32"/>
  <c r="C48" i="32"/>
  <c r="C49" i="32"/>
  <c r="C50" i="32"/>
  <c r="H50" i="32"/>
  <c r="I50" i="32"/>
  <c r="L50" i="32"/>
  <c r="M50" i="32"/>
  <c r="C51" i="32"/>
  <c r="H51" i="32"/>
  <c r="I51" i="32"/>
  <c r="L51" i="32"/>
  <c r="M51" i="32"/>
  <c r="H53" i="32"/>
  <c r="I53" i="32"/>
  <c r="L53" i="32"/>
  <c r="M53" i="32"/>
  <c r="C54" i="32"/>
  <c r="C55" i="32"/>
  <c r="C56" i="32"/>
  <c r="H56" i="32"/>
  <c r="I56" i="32"/>
  <c r="L56" i="32"/>
  <c r="M56" i="32"/>
  <c r="C57" i="32"/>
  <c r="H57" i="32"/>
  <c r="I57" i="32"/>
  <c r="L57" i="32"/>
  <c r="M57" i="32"/>
  <c r="C58" i="32"/>
  <c r="H58" i="32"/>
  <c r="I58" i="32"/>
  <c r="L58" i="32"/>
  <c r="M58" i="32"/>
  <c r="C59" i="32"/>
  <c r="I60" i="32"/>
  <c r="L60" i="32"/>
  <c r="M60" i="32"/>
  <c r="H40" i="32"/>
  <c r="I23" i="32"/>
  <c r="M23" i="32"/>
  <c r="L40" i="32"/>
  <c r="L23" i="32"/>
  <c r="H23" i="32"/>
  <c r="M22" i="32"/>
  <c r="I22" i="32"/>
  <c r="M21" i="32"/>
  <c r="I21" i="32"/>
  <c r="M40" i="32"/>
  <c r="I40" i="32"/>
  <c r="L22" i="32"/>
  <c r="H22" i="32"/>
  <c r="L21" i="32"/>
  <c r="H21" i="32"/>
  <c r="M17" i="32"/>
  <c r="E56" i="10"/>
  <c r="E55" i="10"/>
  <c r="D73" i="33"/>
  <c r="D72" i="33"/>
  <c r="D71" i="33"/>
  <c r="L74" i="10"/>
  <c r="E48" i="10"/>
  <c r="J65" i="10"/>
  <c r="M65" i="10" s="1"/>
  <c r="H74" i="10"/>
  <c r="H73" i="10"/>
  <c r="H72" i="10"/>
  <c r="M59" i="10"/>
  <c r="M58" i="10"/>
  <c r="M57" i="10"/>
  <c r="M54" i="10"/>
  <c r="M53" i="10"/>
  <c r="M52" i="10"/>
  <c r="M51" i="10"/>
  <c r="M50" i="10"/>
  <c r="M49" i="10"/>
  <c r="M47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7" i="10"/>
  <c r="M60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/>
  <c r="E54" i="36"/>
  <c r="F54" i="36"/>
  <c r="C54" i="36"/>
  <c r="D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/>
  <c r="E34" i="36"/>
  <c r="F34" i="36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H27" i="36"/>
  <c r="E27" i="36"/>
  <c r="F27" i="36"/>
  <c r="C27" i="36"/>
  <c r="D27" i="36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/>
  <c r="F22" i="36"/>
  <c r="E22" i="36"/>
  <c r="C22" i="36"/>
  <c r="D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H17" i="36"/>
  <c r="E17" i="36"/>
  <c r="F17" i="36"/>
  <c r="C17" i="36"/>
  <c r="D17" i="36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/>
  <c r="L16" i="36"/>
  <c r="E9" i="36"/>
  <c r="F9" i="36"/>
  <c r="C9" i="36"/>
  <c r="C8" i="36"/>
  <c r="D7" i="36"/>
  <c r="C7" i="36"/>
  <c r="P7" i="31"/>
  <c r="P6" i="31"/>
  <c r="P5" i="31"/>
  <c r="E22" i="30"/>
  <c r="E21" i="30"/>
  <c r="E20" i="30"/>
  <c r="E19" i="30"/>
  <c r="E18" i="30"/>
  <c r="G18" i="30"/>
  <c r="E15" i="30"/>
  <c r="E14" i="30"/>
  <c r="E13" i="30"/>
  <c r="E12" i="30"/>
  <c r="G12" i="30"/>
  <c r="E11" i="30"/>
  <c r="E9" i="30"/>
  <c r="E7" i="30"/>
  <c r="G7" i="30"/>
  <c r="E8" i="30"/>
  <c r="D58" i="29"/>
  <c r="D57" i="29"/>
  <c r="D56" i="29"/>
  <c r="D55" i="29"/>
  <c r="D53" i="29"/>
  <c r="D52" i="29"/>
  <c r="D45" i="29"/>
  <c r="D44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F4" i="29"/>
  <c r="C76" i="33"/>
  <c r="J73" i="33"/>
  <c r="F73" i="33"/>
  <c r="J72" i="33"/>
  <c r="F72" i="33"/>
  <c r="J71" i="33"/>
  <c r="F71" i="33"/>
  <c r="J54" i="33"/>
  <c r="F54" i="33"/>
  <c r="J53" i="33"/>
  <c r="F53" i="33"/>
  <c r="J52" i="33"/>
  <c r="F52" i="33"/>
  <c r="J51" i="33"/>
  <c r="F51" i="33"/>
  <c r="J50" i="33"/>
  <c r="F50" i="33"/>
  <c r="C34" i="33"/>
  <c r="C33" i="33"/>
  <c r="C32" i="33"/>
  <c r="C31" i="33"/>
  <c r="D30" i="33"/>
  <c r="C30" i="33"/>
  <c r="D29" i="33"/>
  <c r="C29" i="33"/>
  <c r="D28" i="33"/>
  <c r="C28" i="33"/>
  <c r="D27" i="33"/>
  <c r="C27" i="33"/>
  <c r="C26" i="33"/>
  <c r="C23" i="33"/>
  <c r="C22" i="33"/>
  <c r="C21" i="33"/>
  <c r="C20" i="33"/>
  <c r="C19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K67" i="33" s="1"/>
  <c r="D11" i="33"/>
  <c r="C11" i="33"/>
  <c r="C61" i="32"/>
  <c r="K11" i="32"/>
  <c r="C76" i="10"/>
  <c r="K17" i="10"/>
  <c r="K25" i="10"/>
  <c r="K74" i="10"/>
  <c r="I74" i="10"/>
  <c r="G74" i="10"/>
  <c r="E74" i="10"/>
  <c r="L73" i="10"/>
  <c r="K73" i="10"/>
  <c r="I73" i="10"/>
  <c r="G73" i="10"/>
  <c r="E73" i="10"/>
  <c r="L72" i="10"/>
  <c r="K72" i="10"/>
  <c r="I72" i="10"/>
  <c r="G72" i="10"/>
  <c r="E72" i="10"/>
  <c r="G68" i="10"/>
  <c r="E68" i="10"/>
  <c r="L67" i="10"/>
  <c r="K67" i="10"/>
  <c r="I67" i="10"/>
  <c r="H67" i="10"/>
  <c r="G67" i="10"/>
  <c r="E67" i="10"/>
  <c r="L66" i="10"/>
  <c r="K66" i="10"/>
  <c r="I66" i="10"/>
  <c r="H66" i="10"/>
  <c r="G66" i="10"/>
  <c r="E66" i="10"/>
  <c r="K65" i="10"/>
  <c r="L62" i="10"/>
  <c r="K62" i="10"/>
  <c r="I62" i="10"/>
  <c r="H62" i="10"/>
  <c r="G62" i="10"/>
  <c r="E62" i="10"/>
  <c r="L61" i="10"/>
  <c r="K61" i="10"/>
  <c r="I61" i="10"/>
  <c r="H61" i="10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K57" i="10"/>
  <c r="I57" i="10"/>
  <c r="H57" i="10"/>
  <c r="G57" i="10"/>
  <c r="E57" i="10"/>
  <c r="L54" i="10"/>
  <c r="K54" i="10"/>
  <c r="I54" i="10"/>
  <c r="H54" i="10"/>
  <c r="G54" i="10"/>
  <c r="E54" i="10"/>
  <c r="L53" i="10"/>
  <c r="K53" i="10"/>
  <c r="I53" i="10"/>
  <c r="H53" i="10"/>
  <c r="G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L47" i="10"/>
  <c r="K47" i="10"/>
  <c r="I47" i="10"/>
  <c r="H47" i="10"/>
  <c r="G47" i="10"/>
  <c r="E47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I25" i="10"/>
  <c r="C25" i="10"/>
  <c r="L24" i="10"/>
  <c r="K24" i="10"/>
  <c r="I24" i="10"/>
  <c r="H24" i="10"/>
  <c r="G24" i="10"/>
  <c r="L23" i="10"/>
  <c r="K23" i="10"/>
  <c r="I23" i="10"/>
  <c r="H23" i="10"/>
  <c r="G23" i="10"/>
  <c r="C23" i="10"/>
  <c r="L22" i="10"/>
  <c r="K22" i="10"/>
  <c r="I22" i="10"/>
  <c r="G22" i="10"/>
  <c r="C22" i="10"/>
  <c r="L21" i="10"/>
  <c r="K21" i="10"/>
  <c r="I21" i="10"/>
  <c r="H21" i="10"/>
  <c r="G21" i="10"/>
  <c r="C21" i="10"/>
  <c r="L20" i="10"/>
  <c r="K20" i="10"/>
  <c r="I20" i="10"/>
  <c r="H20" i="10"/>
  <c r="G20" i="10"/>
  <c r="C20" i="10"/>
  <c r="L19" i="10"/>
  <c r="K19" i="10"/>
  <c r="I19" i="10"/>
  <c r="H19" i="10"/>
  <c r="G19" i="10"/>
  <c r="C19" i="10"/>
  <c r="L18" i="10"/>
  <c r="K18" i="10"/>
  <c r="I18" i="10"/>
  <c r="H18" i="10"/>
  <c r="G18" i="10"/>
  <c r="C18" i="10"/>
  <c r="C17" i="10"/>
  <c r="C16" i="10"/>
  <c r="E15" i="10"/>
  <c r="D15" i="10"/>
  <c r="C15" i="10"/>
  <c r="L14" i="10"/>
  <c r="C14" i="10"/>
  <c r="C11" i="10"/>
  <c r="C11" i="32"/>
  <c r="J9" i="10"/>
  <c r="J8" i="10"/>
  <c r="E25" i="10"/>
  <c r="H25" i="10"/>
  <c r="J27" i="36"/>
  <c r="I22" i="36"/>
  <c r="J22" i="36"/>
  <c r="J34" i="36"/>
  <c r="H43" i="36"/>
  <c r="I54" i="36"/>
  <c r="J54" i="36"/>
  <c r="I70" i="36"/>
  <c r="L25" i="10"/>
  <c r="I17" i="36"/>
  <c r="J60" i="36"/>
  <c r="H60" i="36"/>
  <c r="G41" i="36"/>
  <c r="H79" i="36"/>
  <c r="G75" i="36"/>
  <c r="M25" i="10"/>
  <c r="J17" i="36"/>
  <c r="F60" i="36"/>
  <c r="I60" i="36"/>
  <c r="G42" i="36"/>
  <c r="H41" i="36"/>
  <c r="H75" i="36"/>
  <c r="K48" i="10"/>
  <c r="E25" i="33"/>
  <c r="G48" i="10"/>
  <c r="G37" i="10"/>
  <c r="H48" i="10"/>
  <c r="L48" i="10"/>
  <c r="M48" i="10"/>
  <c r="I48" i="10"/>
  <c r="E41" i="36"/>
  <c r="F41" i="36"/>
  <c r="I9" i="36"/>
  <c r="H9" i="36"/>
  <c r="M17" i="10"/>
  <c r="I27" i="36"/>
  <c r="E6" i="30"/>
  <c r="J43" i="36"/>
  <c r="L65" i="10"/>
  <c r="I43" i="36"/>
  <c r="E5" i="30"/>
  <c r="E4" i="30"/>
  <c r="D5" i="29"/>
  <c r="D4" i="29"/>
  <c r="G4" i="29"/>
  <c r="D8" i="36"/>
  <c r="H42" i="36"/>
  <c r="J41" i="36"/>
  <c r="E42" i="36"/>
  <c r="E8" i="36"/>
  <c r="I8" i="36"/>
  <c r="C41" i="36"/>
  <c r="C68" i="36"/>
  <c r="J9" i="36"/>
  <c r="H65" i="10"/>
  <c r="I34" i="36"/>
  <c r="D9" i="36"/>
  <c r="F70" i="36"/>
  <c r="H8" i="36"/>
  <c r="G68" i="36"/>
  <c r="E65" i="10"/>
  <c r="E10" i="30"/>
  <c r="G4" i="30"/>
  <c r="E29" i="32"/>
  <c r="E58" i="32"/>
  <c r="G17" i="32"/>
  <c r="K29" i="32"/>
  <c r="K30" i="32"/>
  <c r="K32" i="32"/>
  <c r="K35" i="32"/>
  <c r="K41" i="32"/>
  <c r="K42" i="32"/>
  <c r="K57" i="32"/>
  <c r="K58" i="32"/>
  <c r="K19" i="32"/>
  <c r="K38" i="32"/>
  <c r="K37" i="32"/>
  <c r="K46" i="32"/>
  <c r="K60" i="32"/>
  <c r="K36" i="32"/>
  <c r="K49" i="32"/>
  <c r="K21" i="32"/>
  <c r="K23" i="32"/>
  <c r="H37" i="10"/>
  <c r="I37" i="10"/>
  <c r="E37" i="10"/>
  <c r="I41" i="36"/>
  <c r="C69" i="36"/>
  <c r="D69" i="36"/>
  <c r="C74" i="36"/>
  <c r="D68" i="36"/>
  <c r="J42" i="36"/>
  <c r="F42" i="36"/>
  <c r="G69" i="36"/>
  <c r="H68" i="36"/>
  <c r="C42" i="36"/>
  <c r="D42" i="36"/>
  <c r="D41" i="36"/>
  <c r="E68" i="36"/>
  <c r="J68" i="36"/>
  <c r="F8" i="36"/>
  <c r="J8" i="36"/>
  <c r="I42" i="36"/>
  <c r="G10" i="30"/>
  <c r="E17" i="30"/>
  <c r="E69" i="36"/>
  <c r="F69" i="36"/>
  <c r="F68" i="36"/>
  <c r="E74" i="36"/>
  <c r="D74" i="36"/>
  <c r="C79" i="36"/>
  <c r="H69" i="36"/>
  <c r="I68" i="36"/>
  <c r="E23" i="30"/>
  <c r="G23" i="30"/>
  <c r="G17" i="30"/>
  <c r="I69" i="36"/>
  <c r="J69" i="36"/>
  <c r="C75" i="36"/>
  <c r="D75" i="36"/>
  <c r="D79" i="36"/>
  <c r="I74" i="36"/>
  <c r="F74" i="36"/>
  <c r="J74" i="36"/>
  <c r="E79" i="36"/>
  <c r="I79" i="36"/>
  <c r="F79" i="36"/>
  <c r="J79" i="36"/>
  <c r="E75" i="36"/>
  <c r="F75" i="36"/>
  <c r="J75" i="36"/>
  <c r="I75" i="36"/>
  <c r="L72" i="33" l="1"/>
  <c r="J35" i="10"/>
  <c r="K35" i="10" s="1"/>
  <c r="J36" i="10"/>
  <c r="K36" i="10" s="1"/>
  <c r="L37" i="10"/>
  <c r="K37" i="10"/>
  <c r="M37" i="10"/>
  <c r="J63" i="10"/>
  <c r="K63" i="10" s="1"/>
  <c r="F35" i="10"/>
  <c r="F36" i="10" s="1"/>
  <c r="G36" i="10" s="1"/>
  <c r="I65" i="10"/>
  <c r="G35" i="10"/>
  <c r="D55" i="33"/>
  <c r="D35" i="10"/>
  <c r="E35" i="10" s="1"/>
  <c r="H73" i="33"/>
  <c r="E61" i="33"/>
  <c r="D49" i="33"/>
  <c r="E49" i="33" s="1"/>
  <c r="K16" i="10"/>
  <c r="G9" i="10"/>
  <c r="F16" i="10"/>
  <c r="G16" i="10"/>
  <c r="G8" i="10"/>
  <c r="F63" i="10"/>
  <c r="I17" i="10"/>
  <c r="G17" i="10"/>
  <c r="L16" i="10"/>
  <c r="M16" i="10"/>
  <c r="E16" i="10"/>
  <c r="I16" i="10"/>
  <c r="L17" i="10"/>
  <c r="H17" i="10"/>
  <c r="E17" i="10"/>
  <c r="E32" i="33"/>
  <c r="E51" i="33"/>
  <c r="G67" i="33"/>
  <c r="E67" i="33"/>
  <c r="K28" i="32"/>
  <c r="F64" i="33"/>
  <c r="L20" i="33"/>
  <c r="E57" i="33"/>
  <c r="E27" i="33"/>
  <c r="E28" i="33"/>
  <c r="K52" i="33"/>
  <c r="E72" i="33"/>
  <c r="E53" i="33"/>
  <c r="G74" i="33"/>
  <c r="E66" i="33"/>
  <c r="E59" i="33"/>
  <c r="E41" i="33"/>
  <c r="E23" i="33"/>
  <c r="E19" i="33"/>
  <c r="E33" i="33"/>
  <c r="G60" i="33"/>
  <c r="G57" i="33"/>
  <c r="G35" i="33"/>
  <c r="G27" i="33"/>
  <c r="G22" i="33"/>
  <c r="G18" i="33"/>
  <c r="K60" i="33"/>
  <c r="K57" i="33"/>
  <c r="K32" i="33"/>
  <c r="K28" i="33"/>
  <c r="K23" i="33"/>
  <c r="G41" i="33"/>
  <c r="G53" i="33"/>
  <c r="G71" i="33"/>
  <c r="E50" i="33"/>
  <c r="E54" i="33"/>
  <c r="E65" i="33"/>
  <c r="E58" i="33"/>
  <c r="E44" i="33"/>
  <c r="E40" i="33"/>
  <c r="E26" i="33"/>
  <c r="G56" i="33"/>
  <c r="G34" i="33"/>
  <c r="G30" i="33"/>
  <c r="G21" i="33"/>
  <c r="K61" i="33"/>
  <c r="K56" i="33"/>
  <c r="K46" i="33"/>
  <c r="K31" i="33"/>
  <c r="K27" i="33"/>
  <c r="K22" i="33"/>
  <c r="K53" i="33"/>
  <c r="K73" i="33"/>
  <c r="E47" i="33"/>
  <c r="E43" i="33"/>
  <c r="E39" i="33"/>
  <c r="E21" i="33"/>
  <c r="G66" i="33"/>
  <c r="G29" i="33"/>
  <c r="G24" i="33"/>
  <c r="K66" i="33"/>
  <c r="K45" i="33"/>
  <c r="K34" i="33"/>
  <c r="K30" i="33"/>
  <c r="K25" i="33"/>
  <c r="K21" i="33"/>
  <c r="G55" i="33"/>
  <c r="G50" i="33"/>
  <c r="G52" i="33"/>
  <c r="G54" i="33"/>
  <c r="E71" i="33"/>
  <c r="E52" i="33"/>
  <c r="E74" i="33"/>
  <c r="E68" i="33"/>
  <c r="E56" i="33"/>
  <c r="E46" i="33"/>
  <c r="E42" i="33"/>
  <c r="E35" i="33"/>
  <c r="E24" i="33"/>
  <c r="G44" i="33"/>
  <c r="G39" i="33"/>
  <c r="G32" i="33"/>
  <c r="G23" i="33"/>
  <c r="K44" i="33"/>
  <c r="K40" i="33"/>
  <c r="K33" i="33"/>
  <c r="K29" i="33"/>
  <c r="K55" i="33"/>
  <c r="I49" i="32"/>
  <c r="G29" i="32"/>
  <c r="K52" i="32"/>
  <c r="G49" i="32"/>
  <c r="H56" i="33"/>
  <c r="K17" i="32"/>
  <c r="K40" i="32"/>
  <c r="K53" i="32"/>
  <c r="K34" i="32"/>
  <c r="K18" i="32"/>
  <c r="K56" i="32"/>
  <c r="K39" i="32"/>
  <c r="K44" i="32"/>
  <c r="K24" i="32"/>
  <c r="E23" i="32"/>
  <c r="E25" i="32"/>
  <c r="H51" i="33"/>
  <c r="H60" i="33"/>
  <c r="L45" i="33"/>
  <c r="L55" i="33"/>
  <c r="K22" i="32"/>
  <c r="K50" i="32"/>
  <c r="K51" i="32"/>
  <c r="K25" i="32"/>
  <c r="K33" i="32"/>
  <c r="K43" i="32"/>
  <c r="K20" i="32"/>
  <c r="K31" i="32"/>
  <c r="E49" i="32"/>
  <c r="G20" i="32"/>
  <c r="G33" i="32"/>
  <c r="M51" i="33"/>
  <c r="H65" i="33"/>
  <c r="L30" i="33"/>
  <c r="I58" i="33"/>
  <c r="H19" i="33"/>
  <c r="L58" i="33"/>
  <c r="M48" i="33"/>
  <c r="M45" i="33"/>
  <c r="M55" i="33"/>
  <c r="I29" i="33"/>
  <c r="I55" i="33"/>
  <c r="I34" i="33"/>
  <c r="I74" i="33"/>
  <c r="L54" i="33"/>
  <c r="L74" i="33"/>
  <c r="H47" i="33"/>
  <c r="L71" i="33"/>
  <c r="L50" i="33"/>
  <c r="H38" i="32"/>
  <c r="H57" i="33"/>
  <c r="J64" i="33"/>
  <c r="I54" i="33"/>
  <c r="L73" i="33"/>
  <c r="H52" i="33"/>
  <c r="I52" i="33"/>
  <c r="H74" i="33"/>
  <c r="L51" i="33"/>
  <c r="M71" i="33"/>
  <c r="G47" i="33"/>
  <c r="H45" i="33"/>
  <c r="K51" i="33"/>
  <c r="I39" i="33"/>
  <c r="H28" i="33"/>
  <c r="K71" i="33"/>
  <c r="M30" i="33"/>
  <c r="I56" i="33"/>
  <c r="H55" i="33"/>
  <c r="M73" i="33"/>
  <c r="E34" i="33"/>
  <c r="E73" i="33"/>
  <c r="L28" i="33"/>
  <c r="E55" i="33"/>
  <c r="E40" i="32"/>
  <c r="G57" i="32"/>
  <c r="E43" i="32"/>
  <c r="G50" i="32"/>
  <c r="I38" i="32"/>
  <c r="I68" i="33"/>
  <c r="I32" i="33"/>
  <c r="G65" i="33"/>
  <c r="E20" i="33"/>
  <c r="G27" i="32"/>
  <c r="I19" i="33"/>
  <c r="E45" i="33"/>
  <c r="E46" i="32"/>
  <c r="G41" i="32"/>
  <c r="E39" i="32"/>
  <c r="G37" i="32"/>
  <c r="L17" i="32"/>
  <c r="L38" i="32"/>
  <c r="L60" i="33"/>
  <c r="E26" i="32"/>
  <c r="M20" i="33"/>
  <c r="E38" i="32"/>
  <c r="E21" i="32"/>
  <c r="G22" i="32"/>
  <c r="E37" i="32"/>
  <c r="G40" i="32"/>
  <c r="G19" i="32"/>
  <c r="G56" i="32"/>
  <c r="G39" i="32"/>
  <c r="E19" i="32"/>
  <c r="E57" i="32"/>
  <c r="E42" i="32"/>
  <c r="G32" i="32"/>
  <c r="E24" i="32"/>
  <c r="G60" i="32"/>
  <c r="G46" i="32"/>
  <c r="G36" i="32"/>
  <c r="E32" i="32"/>
  <c r="G25" i="32"/>
  <c r="I17" i="32"/>
  <c r="I28" i="32"/>
  <c r="H17" i="32"/>
  <c r="I50" i="33"/>
  <c r="M74" i="33"/>
  <c r="M28" i="32"/>
  <c r="D64" i="33"/>
  <c r="E64" i="33" s="1"/>
  <c r="I47" i="33"/>
  <c r="H43" i="33"/>
  <c r="I18" i="33"/>
  <c r="M57" i="33"/>
  <c r="L47" i="33"/>
  <c r="M43" i="33"/>
  <c r="M39" i="33"/>
  <c r="M23" i="33"/>
  <c r="L19" i="33"/>
  <c r="E52" i="32"/>
  <c r="E28" i="32"/>
  <c r="G28" i="32"/>
  <c r="E50" i="32"/>
  <c r="E60" i="32"/>
  <c r="E36" i="32"/>
  <c r="G18" i="32"/>
  <c r="G43" i="32"/>
  <c r="G38" i="32"/>
  <c r="E18" i="32"/>
  <c r="E56" i="32"/>
  <c r="E41" i="32"/>
  <c r="G31" i="32"/>
  <c r="E20" i="32"/>
  <c r="G53" i="32"/>
  <c r="E44" i="32"/>
  <c r="G35" i="32"/>
  <c r="E31" i="32"/>
  <c r="M38" i="32"/>
  <c r="E45" i="32"/>
  <c r="I61" i="33"/>
  <c r="I46" i="33"/>
  <c r="H42" i="33"/>
  <c r="I25" i="33"/>
  <c r="H21" i="33"/>
  <c r="M68" i="33"/>
  <c r="L24" i="33"/>
  <c r="M53" i="33"/>
  <c r="K48" i="33"/>
  <c r="G21" i="32"/>
  <c r="L53" i="33"/>
  <c r="M33" i="33"/>
  <c r="E22" i="32"/>
  <c r="G23" i="32"/>
  <c r="E17" i="32"/>
  <c r="E51" i="32"/>
  <c r="E53" i="32"/>
  <c r="E33" i="32"/>
  <c r="G58" i="32"/>
  <c r="G42" i="32"/>
  <c r="G24" i="32"/>
  <c r="E35" i="32"/>
  <c r="G44" i="32"/>
  <c r="G30" i="32"/>
  <c r="E34" i="32"/>
  <c r="G51" i="32"/>
  <c r="G34" i="32"/>
  <c r="E30" i="32"/>
  <c r="I72" i="33"/>
  <c r="H28" i="32"/>
  <c r="L49" i="32"/>
  <c r="G45" i="32"/>
  <c r="D38" i="33"/>
  <c r="E38" i="33" s="1"/>
  <c r="I45" i="33"/>
  <c r="M65" i="33"/>
  <c r="I43" i="33"/>
  <c r="M34" i="33"/>
  <c r="M58" i="33"/>
  <c r="K58" i="33"/>
  <c r="K24" i="33"/>
  <c r="K20" i="33"/>
  <c r="L65" i="33"/>
  <c r="L48" i="33"/>
  <c r="I22" i="33"/>
  <c r="H18" i="33"/>
  <c r="H34" i="33"/>
  <c r="H30" i="33"/>
  <c r="M24" i="33"/>
  <c r="L33" i="33"/>
  <c r="I35" i="33"/>
  <c r="K65" i="33"/>
  <c r="I57" i="33"/>
  <c r="G43" i="33"/>
  <c r="H53" i="33"/>
  <c r="I53" i="33"/>
  <c r="I66" i="33"/>
  <c r="D36" i="33"/>
  <c r="L57" i="33"/>
  <c r="K39" i="33"/>
  <c r="I21" i="33"/>
  <c r="L43" i="33"/>
  <c r="E18" i="33"/>
  <c r="M19" i="33"/>
  <c r="H22" i="33"/>
  <c r="L23" i="33"/>
  <c r="E60" i="33"/>
  <c r="M40" i="33"/>
  <c r="L44" i="33"/>
  <c r="H25" i="33"/>
  <c r="H54" i="33"/>
  <c r="G61" i="33"/>
  <c r="G25" i="33"/>
  <c r="K47" i="33"/>
  <c r="K19" i="33"/>
  <c r="K74" i="33"/>
  <c r="I60" i="33"/>
  <c r="H59" i="33"/>
  <c r="I49" i="33"/>
  <c r="I40" i="33"/>
  <c r="I33" i="33"/>
  <c r="I20" i="33"/>
  <c r="M56" i="33"/>
  <c r="L42" i="33"/>
  <c r="M35" i="33"/>
  <c r="M18" i="33"/>
  <c r="M47" i="33"/>
  <c r="L39" i="33"/>
  <c r="M52" i="33"/>
  <c r="I42" i="33"/>
  <c r="L18" i="33"/>
  <c r="H50" i="33"/>
  <c r="L68" i="33"/>
  <c r="H61" i="33"/>
  <c r="K68" i="33"/>
  <c r="M60" i="33"/>
  <c r="M28" i="33"/>
  <c r="E22" i="33"/>
  <c r="E48" i="33"/>
  <c r="I30" i="33"/>
  <c r="L16" i="32"/>
  <c r="J26" i="32"/>
  <c r="L26" i="32" s="1"/>
  <c r="D17" i="33"/>
  <c r="E17" i="33" s="1"/>
  <c r="H58" i="33"/>
  <c r="H48" i="33"/>
  <c r="I44" i="33"/>
  <c r="H39" i="33"/>
  <c r="M66" i="33"/>
  <c r="L59" i="33"/>
  <c r="M49" i="33"/>
  <c r="M41" i="33"/>
  <c r="L25" i="33"/>
  <c r="K43" i="33"/>
  <c r="G68" i="33"/>
  <c r="H72" i="33"/>
  <c r="M44" i="33"/>
  <c r="H44" i="33"/>
  <c r="L28" i="32"/>
  <c r="M49" i="32"/>
  <c r="H35" i="33"/>
  <c r="L52" i="33"/>
  <c r="H27" i="33"/>
  <c r="H66" i="33"/>
  <c r="M16" i="32"/>
  <c r="L31" i="33"/>
  <c r="H32" i="33"/>
  <c r="L61" i="33"/>
  <c r="G16" i="32"/>
  <c r="K50" i="33"/>
  <c r="M27" i="33"/>
  <c r="K18" i="33"/>
  <c r="M32" i="33"/>
  <c r="M72" i="33"/>
  <c r="I51" i="33"/>
  <c r="G59" i="33"/>
  <c r="G45" i="33"/>
  <c r="F26" i="33"/>
  <c r="H26" i="33" s="1"/>
  <c r="F17" i="33"/>
  <c r="H49" i="33"/>
  <c r="M31" i="33"/>
  <c r="I48" i="33"/>
  <c r="L41" i="33"/>
  <c r="E31" i="33"/>
  <c r="I23" i="33"/>
  <c r="I24" i="33"/>
  <c r="L66" i="33"/>
  <c r="I73" i="33"/>
  <c r="L22" i="33"/>
  <c r="M22" i="33"/>
  <c r="L56" i="33"/>
  <c r="K35" i="33"/>
  <c r="I65" i="33"/>
  <c r="H40" i="33"/>
  <c r="H71" i="33"/>
  <c r="G19" i="33"/>
  <c r="G40" i="33"/>
  <c r="G73" i="33"/>
  <c r="E30" i="33"/>
  <c r="G58" i="33"/>
  <c r="K41" i="33"/>
  <c r="K72" i="33"/>
  <c r="I31" i="33"/>
  <c r="J17" i="33"/>
  <c r="M61" i="33"/>
  <c r="I41" i="33"/>
  <c r="I59" i="33"/>
  <c r="G33" i="33"/>
  <c r="G48" i="33"/>
  <c r="M25" i="33"/>
  <c r="M59" i="33"/>
  <c r="L34" i="33"/>
  <c r="H41" i="33"/>
  <c r="L35" i="33"/>
  <c r="H33" i="33"/>
  <c r="H23" i="33"/>
  <c r="H29" i="33"/>
  <c r="F38" i="33"/>
  <c r="G38" i="33" s="1"/>
  <c r="J26" i="33"/>
  <c r="K26" i="33" s="1"/>
  <c r="D16" i="33"/>
  <c r="M50" i="33"/>
  <c r="I27" i="33"/>
  <c r="G20" i="33"/>
  <c r="G31" i="33"/>
  <c r="E29" i="33"/>
  <c r="K42" i="33"/>
  <c r="L49" i="33"/>
  <c r="L32" i="33"/>
  <c r="L27" i="33"/>
  <c r="K54" i="33"/>
  <c r="M54" i="33"/>
  <c r="I28" i="33"/>
  <c r="G28" i="33"/>
  <c r="H31" i="33"/>
  <c r="G46" i="33"/>
  <c r="M46" i="33"/>
  <c r="M29" i="33"/>
  <c r="L46" i="33"/>
  <c r="K49" i="33"/>
  <c r="G42" i="33"/>
  <c r="G49" i="33"/>
  <c r="E16" i="32"/>
  <c r="I16" i="32"/>
  <c r="L21" i="33"/>
  <c r="L29" i="33"/>
  <c r="H46" i="33"/>
  <c r="H16" i="32"/>
  <c r="D47" i="32"/>
  <c r="J38" i="33"/>
  <c r="G72" i="33"/>
  <c r="H20" i="33"/>
  <c r="M42" i="33"/>
  <c r="M21" i="33"/>
  <c r="H24" i="33"/>
  <c r="G51" i="33"/>
  <c r="K59" i="33"/>
  <c r="I35" i="10" l="1"/>
  <c r="I17" i="33"/>
  <c r="J70" i="10"/>
  <c r="J64" i="10"/>
  <c r="K64" i="10" s="1"/>
  <c r="D63" i="10"/>
  <c r="D36" i="10"/>
  <c r="H36" i="10" s="1"/>
  <c r="M35" i="10"/>
  <c r="L35" i="10"/>
  <c r="H35" i="10"/>
  <c r="M36" i="10"/>
  <c r="J75" i="10"/>
  <c r="K70" i="10"/>
  <c r="F64" i="10"/>
  <c r="G64" i="10" s="1"/>
  <c r="F70" i="10"/>
  <c r="G63" i="10"/>
  <c r="I63" i="10"/>
  <c r="E63" i="10"/>
  <c r="L63" i="10"/>
  <c r="H63" i="10"/>
  <c r="M63" i="10"/>
  <c r="D64" i="10"/>
  <c r="D70" i="10"/>
  <c r="M17" i="33"/>
  <c r="H64" i="33"/>
  <c r="L64" i="33"/>
  <c r="F47" i="32"/>
  <c r="G47" i="32" s="1"/>
  <c r="M64" i="33"/>
  <c r="K64" i="33"/>
  <c r="I26" i="32"/>
  <c r="G26" i="32"/>
  <c r="H26" i="32"/>
  <c r="H27" i="32"/>
  <c r="G64" i="33"/>
  <c r="H38" i="33"/>
  <c r="G26" i="33"/>
  <c r="E27" i="32"/>
  <c r="M26" i="32"/>
  <c r="I27" i="32"/>
  <c r="K17" i="33"/>
  <c r="J16" i="33"/>
  <c r="L16" i="33" s="1"/>
  <c r="L17" i="33"/>
  <c r="M26" i="33"/>
  <c r="F36" i="33"/>
  <c r="I36" i="33" s="1"/>
  <c r="I64" i="33"/>
  <c r="J27" i="32"/>
  <c r="J47" i="32"/>
  <c r="M47" i="32" s="1"/>
  <c r="K26" i="32"/>
  <c r="E36" i="33"/>
  <c r="D37" i="33"/>
  <c r="E37" i="33" s="1"/>
  <c r="I38" i="33"/>
  <c r="L26" i="33"/>
  <c r="G17" i="33"/>
  <c r="H17" i="33"/>
  <c r="F16" i="33"/>
  <c r="G16" i="33" s="1"/>
  <c r="I26" i="33"/>
  <c r="K38" i="33"/>
  <c r="L38" i="33"/>
  <c r="J36" i="33"/>
  <c r="M38" i="33"/>
  <c r="D62" i="33"/>
  <c r="E16" i="33"/>
  <c r="D48" i="32"/>
  <c r="D54" i="32"/>
  <c r="E47" i="32"/>
  <c r="E36" i="10" l="1"/>
  <c r="I36" i="10"/>
  <c r="L36" i="10"/>
  <c r="K75" i="10"/>
  <c r="J71" i="10"/>
  <c r="K71" i="10" s="1"/>
  <c r="F75" i="10"/>
  <c r="G70" i="10"/>
  <c r="H70" i="10"/>
  <c r="E70" i="10"/>
  <c r="D75" i="10"/>
  <c r="M70" i="10"/>
  <c r="L70" i="10"/>
  <c r="I70" i="10"/>
  <c r="M64" i="10"/>
  <c r="H64" i="10"/>
  <c r="I64" i="10"/>
  <c r="E64" i="10"/>
  <c r="L64" i="10"/>
  <c r="H47" i="32"/>
  <c r="F54" i="32"/>
  <c r="I54" i="32" s="1"/>
  <c r="F48" i="32"/>
  <c r="G48" i="32" s="1"/>
  <c r="I47" i="32"/>
  <c r="F37" i="33"/>
  <c r="H37" i="33" s="1"/>
  <c r="H36" i="33"/>
  <c r="G36" i="33"/>
  <c r="H16" i="33"/>
  <c r="F62" i="33"/>
  <c r="F69" i="33" s="1"/>
  <c r="I16" i="33"/>
  <c r="K16" i="33"/>
  <c r="M16" i="33"/>
  <c r="L47" i="32"/>
  <c r="J54" i="32"/>
  <c r="L54" i="32" s="1"/>
  <c r="K47" i="32"/>
  <c r="J48" i="32"/>
  <c r="K48" i="32" s="1"/>
  <c r="K27" i="32"/>
  <c r="L27" i="32"/>
  <c r="M27" i="32"/>
  <c r="E48" i="32"/>
  <c r="E54" i="32"/>
  <c r="D59" i="32"/>
  <c r="E62" i="33"/>
  <c r="D63" i="33"/>
  <c r="D69" i="33"/>
  <c r="L36" i="33"/>
  <c r="K36" i="33"/>
  <c r="M36" i="33"/>
  <c r="J37" i="33"/>
  <c r="J62" i="33"/>
  <c r="M62" i="33" s="1"/>
  <c r="F71" i="10" l="1"/>
  <c r="G71" i="10" s="1"/>
  <c r="G75" i="10"/>
  <c r="E75" i="10"/>
  <c r="H75" i="10"/>
  <c r="D71" i="10"/>
  <c r="L75" i="10"/>
  <c r="L71" i="10" s="1"/>
  <c r="M54" i="32"/>
  <c r="H54" i="32"/>
  <c r="I48" i="32"/>
  <c r="H48" i="32"/>
  <c r="H62" i="33"/>
  <c r="I37" i="33"/>
  <c r="G37" i="33"/>
  <c r="I62" i="33"/>
  <c r="G54" i="32"/>
  <c r="F59" i="32"/>
  <c r="G62" i="33"/>
  <c r="F63" i="33"/>
  <c r="G63" i="33" s="1"/>
  <c r="L48" i="32"/>
  <c r="M48" i="32"/>
  <c r="K54" i="32"/>
  <c r="J59" i="32"/>
  <c r="M59" i="32" s="1"/>
  <c r="K37" i="33"/>
  <c r="M37" i="33"/>
  <c r="L37" i="33"/>
  <c r="D55" i="32"/>
  <c r="E59" i="32"/>
  <c r="L62" i="33"/>
  <c r="E63" i="33"/>
  <c r="D75" i="33"/>
  <c r="I69" i="33"/>
  <c r="H69" i="33"/>
  <c r="E69" i="33"/>
  <c r="K62" i="33"/>
  <c r="J69" i="33"/>
  <c r="L69" i="33" s="1"/>
  <c r="J63" i="33"/>
  <c r="K63" i="33" s="1"/>
  <c r="F75" i="33"/>
  <c r="G69" i="33"/>
  <c r="H71" i="10" l="1"/>
  <c r="I71" i="10"/>
  <c r="M71" i="10"/>
  <c r="E71" i="10"/>
  <c r="F55" i="32"/>
  <c r="G55" i="32" s="1"/>
  <c r="G59" i="32"/>
  <c r="I59" i="32"/>
  <c r="H59" i="32"/>
  <c r="H63" i="33"/>
  <c r="J55" i="32"/>
  <c r="K55" i="32" s="1"/>
  <c r="K59" i="32"/>
  <c r="L59" i="32"/>
  <c r="D70" i="33"/>
  <c r="I75" i="33"/>
  <c r="E75" i="33"/>
  <c r="H75" i="33"/>
  <c r="E55" i="32"/>
  <c r="K69" i="33"/>
  <c r="J75" i="33"/>
  <c r="L75" i="33" s="1"/>
  <c r="L63" i="33"/>
  <c r="G75" i="33"/>
  <c r="F70" i="33"/>
  <c r="G70" i="33" s="1"/>
  <c r="M69" i="33"/>
  <c r="L55" i="32" l="1"/>
  <c r="H55" i="32"/>
  <c r="I55" i="32"/>
  <c r="M55" i="32"/>
  <c r="J70" i="33"/>
  <c r="K70" i="33" s="1"/>
  <c r="K75" i="33"/>
  <c r="I70" i="33"/>
  <c r="E70" i="33"/>
  <c r="H70" i="33"/>
  <c r="M70" i="33" l="1"/>
  <c r="L70" i="33"/>
</calcChain>
</file>

<file path=xl/sharedStrings.xml><?xml version="1.0" encoding="utf-8"?>
<sst xmlns="http://schemas.openxmlformats.org/spreadsheetml/2006/main" count="1249" uniqueCount="471">
  <si>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</si>
  <si>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</si>
  <si>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</si>
  <si>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</si>
  <si>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</si>
  <si>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</si>
  <si>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</si>
  <si>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</si>
  <si>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</si>
  <si>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</si>
  <si>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</si>
  <si>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</si>
  <si>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</si>
  <si>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</si>
  <si>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</si>
  <si>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</si>
  <si>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</si>
  <si>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</si>
  <si>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</si>
  <si>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</si>
  <si>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</si>
  <si>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</si>
  <si>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</si>
  <si>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</si>
  <si>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</si>
  <si>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</si>
  <si>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</si>
  <si>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</si>
  <si>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</si>
  <si>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</si>
  <si>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</si>
  <si>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</si>
  <si>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</si>
  <si>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</si>
  <si>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</si>
  <si>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</si>
  <si>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</si>
  <si>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</si>
  <si>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</si>
  <si>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</si>
  <si>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</si>
  <si>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</si>
  <si>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</si>
  <si>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</si>
  <si>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</si>
  <si>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</si>
  <si>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</si>
  <si>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</si>
  <si>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</si>
  <si>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</si>
  <si>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</si>
  <si>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</si>
  <si>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</si>
  <si>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</si>
  <si>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</si>
  <si>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</si>
  <si>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</si>
  <si>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</si>
  <si>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</si>
  <si>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</si>
  <si>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</si>
  <si>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</si>
  <si>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</si>
  <si>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</si>
  <si>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</si>
  <si>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</si>
  <si>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</si>
  <si>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</si>
  <si>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</si>
  <si>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</si>
  <si>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</si>
  <si>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</si>
  <si>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</si>
  <si>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</si>
  <si>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</si>
  <si>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</si>
  <si>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</si>
  <si>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</si>
  <si>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</si>
  <si>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</si>
  <si>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</si>
  <si>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</si>
  <si>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</si>
  <si>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</si>
  <si>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</si>
  <si>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</si>
  <si>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</si>
  <si>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</si>
  <si>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</si>
  <si>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</si>
  <si>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</si>
  <si>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</si>
  <si>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</si>
  <si>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</si>
  <si>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</si>
  <si>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</si>
  <si>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</si>
  <si>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</si>
  <si>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</si>
  <si>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</si>
  <si>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</si>
  <si>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</si>
  <si>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</si>
  <si>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</si>
  <si>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</si>
  <si>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</si>
  <si>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</si>
  <si>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</si>
  <si>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</si>
  <si>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</si>
  <si>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</si>
  <si>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</si>
  <si>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</si>
  <si>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</si>
  <si>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</si>
  <si>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</si>
  <si>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</si>
  <si>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</si>
  <si>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</si>
  <si>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</si>
  <si>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</si>
  <si>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</si>
  <si>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</si>
  <si>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</si>
  <si>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</si>
  <si>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</si>
  <si>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</si>
  <si>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</si>
  <si>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</si>
  <si>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</si>
  <si>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</si>
  <si>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</si>
  <si>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</si>
  <si>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</si>
  <si>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</si>
  <si>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</si>
  <si>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</si>
  <si>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</si>
  <si>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</si>
  <si>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</si>
  <si>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</si>
  <si>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</si>
  <si>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</si>
  <si>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</si>
  <si>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</si>
  <si>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</si>
  <si>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</si>
  <si>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</si>
  <si>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</si>
  <si>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</si>
  <si>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</si>
  <si>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</si>
  <si>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</si>
  <si>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</si>
  <si>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</si>
  <si>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</si>
  <si>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</si>
  <si>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</si>
  <si>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</si>
  <si>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</si>
  <si>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</si>
  <si>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</si>
  <si>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</si>
  <si>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</si>
  <si>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</si>
  <si>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</si>
  <si>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</si>
  <si>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</si>
  <si>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</si>
  <si>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</si>
  <si>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</si>
  <si>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</si>
  <si>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</si>
  <si>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</si>
  <si>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</si>
  <si>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</si>
  <si>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</si>
  <si>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</si>
  <si>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</si>
  <si>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</si>
  <si>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</si>
  <si>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</si>
  <si>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</si>
  <si>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</si>
  <si>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</si>
  <si>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</si>
  <si>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</si>
  <si>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</si>
  <si>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</si>
  <si>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</si>
  <si>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</si>
  <si>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</si>
  <si>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</si>
  <si>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</si>
  <si>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</si>
  <si>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</si>
  <si>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</si>
  <si>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</si>
  <si>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</si>
  <si>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</si>
  <si>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</si>
  <si>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</si>
  <si>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</si>
  <si>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</si>
  <si>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</si>
  <si>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</si>
  <si>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</si>
  <si>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</si>
  <si>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</si>
  <si>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</si>
  <si>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</si>
  <si>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</si>
  <si>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</si>
  <si>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</si>
  <si>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</si>
  <si>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</si>
  <si>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</si>
  <si>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</si>
  <si>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</si>
  <si>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</si>
  <si>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</si>
  <si>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</si>
  <si>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</si>
  <si>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</si>
  <si>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</si>
  <si>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</si>
  <si>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</si>
  <si>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</si>
  <si>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</si>
  <si>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</si>
  <si>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</si>
  <si>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</si>
  <si>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</si>
  <si>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</si>
  <si>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</si>
  <si>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</si>
  <si>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</si>
  <si>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</si>
  <si>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</si>
  <si>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</si>
  <si>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</si>
  <si>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</si>
  <si>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</si>
  <si>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</si>
  <si>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</si>
  <si>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</si>
  <si>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</si>
  <si>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</si>
  <si>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</si>
  <si>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</si>
  <si>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</si>
  <si>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</si>
  <si>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</si>
  <si>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</si>
  <si>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</si>
  <si>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</si>
  <si>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</si>
  <si>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</si>
  <si>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</si>
  <si>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</si>
  <si>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</si>
  <si>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</si>
  <si>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</si>
  <si>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</si>
  <si>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</si>
  <si>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</si>
  <si>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</si>
  <si>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</si>
  <si>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</si>
  <si>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</si>
  <si>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</si>
  <si>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</si>
  <si>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</si>
  <si>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</si>
  <si>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</si>
  <si>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</si>
  <si>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</si>
  <si>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</si>
  <si>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</si>
  <si>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</si>
  <si>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</si>
  <si>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</si>
  <si>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</si>
  <si>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</si>
  <si>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</si>
  <si>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</si>
  <si>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</si>
  <si>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</si>
  <si>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</si>
  <si>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</si>
  <si>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</si>
  <si>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</si>
  <si>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</si>
  <si>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</si>
  <si>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</si>
  <si>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</si>
  <si>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</si>
  <si>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</si>
  <si>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</si>
  <si>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</si>
  <si>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</si>
  <si>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</si>
  <si>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</si>
  <si>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</si>
  <si>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</si>
  <si>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</si>
  <si>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</si>
  <si>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</si>
  <si>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</si>
  <si>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</si>
  <si>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</si>
  <si>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</si>
  <si>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</si>
  <si>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</si>
  <si>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</si>
  <si>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</si>
  <si>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</si>
  <si>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</si>
  <si>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</si>
  <si>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</si>
  <si>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</si>
  <si>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</si>
  <si>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</si>
  <si>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</si>
  <si>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</si>
  <si>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</si>
  <si>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</si>
  <si>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</si>
  <si>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</si>
  <si>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</si>
  <si>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</si>
  <si>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</si>
  <si>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</si>
  <si>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</si>
  <si>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</si>
  <si>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</si>
  <si>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</si>
  <si>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</si>
  <si>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</si>
  <si>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</si>
  <si>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</si>
  <si>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</si>
  <si>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</si>
  <si>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</si>
  <si>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</si>
  <si>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</si>
  <si>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</si>
  <si>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</si>
  <si>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</si>
  <si>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</si>
  <si>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</si>
  <si>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</si>
  <si>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</si>
  <si>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</si>
  <si>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</si>
  <si>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</si>
  <si>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</si>
  <si>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</si>
  <si>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</si>
  <si>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</si>
  <si>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</si>
  <si>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</si>
  <si>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</si>
  <si>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</si>
  <si>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</si>
  <si>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</si>
  <si>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</si>
  <si>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</si>
  <si>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</si>
  <si>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</si>
  <si>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</si>
  <si>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</si>
  <si>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</si>
  <si>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</si>
  <si>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</si>
  <si>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</si>
  <si>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</si>
  <si>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</si>
  <si>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</si>
  <si>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</si>
  <si>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</si>
  <si>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</si>
  <si>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</si>
  <si>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</si>
  <si>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</si>
  <si>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</si>
  <si>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</si>
  <si>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</si>
  <si>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</si>
  <si>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</si>
  <si>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</si>
  <si>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</si>
  <si>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</si>
  <si>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</si>
  <si>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</si>
  <si>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</si>
  <si>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</si>
  <si>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</si>
  <si>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</si>
  <si>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</si>
  <si>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</si>
  <si>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</si>
  <si>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</si>
  <si>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</si>
  <si>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</si>
  <si>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</si>
  <si>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</si>
  <si>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</si>
  <si>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</si>
  <si>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</si>
  <si>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</si>
  <si>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</si>
  <si>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</si>
  <si>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</si>
  <si>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</si>
  <si>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</si>
  <si>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</si>
  <si>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</si>
  <si>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</si>
  <si>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</si>
  <si>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</si>
  <si>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</si>
  <si>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</si>
  <si>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</si>
  <si>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</si>
  <si>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</si>
  <si>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</si>
  <si>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</si>
  <si>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</si>
  <si>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</si>
  <si>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</si>
  <si>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</si>
  <si>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</si>
  <si>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</si>
  <si>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</si>
  <si>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</si>
  <si>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</si>
  <si>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</si>
  <si>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</si>
  <si>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</si>
  <si>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</si>
  <si>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</si>
  <si>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</si>
  <si>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</si>
  <si>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</si>
  <si>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</si>
  <si>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</si>
  <si>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</si>
  <si>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</si>
  <si>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</si>
  <si>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</si>
  <si>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</si>
  <si>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</si>
  <si>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</si>
  <si>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</si>
  <si>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</si>
  <si>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</si>
  <si>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</si>
  <si>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</si>
  <si>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</si>
  <si>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 xml:space="preserve">Receipts from repayment of loans </t>
  </si>
  <si>
    <t>Receipts from repayment of loans</t>
  </si>
  <si>
    <t>Primici od otplate kredita</t>
  </si>
  <si>
    <t>Ostvarenje 2017</t>
  </si>
  <si>
    <t>Transferi</t>
  </si>
  <si>
    <t>Ostvarenje 2018</t>
  </si>
  <si>
    <t>Plan 2018</t>
  </si>
  <si>
    <t>Izdaci za kupovinu hartija od vrijednosti</t>
  </si>
  <si>
    <t>Izdaci za otplatu hartija od vrijednosti</t>
  </si>
  <si>
    <t>...</t>
  </si>
  <si>
    <t>Primarni suficit/deficit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</si>
</sst>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&quot;RSD&quot;_-;\-* #,##0.00\ &quot;RSD&quot;_-;_-* &quot;-&quot;??\ &quot;RSD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1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4" fillId="0" borderId="0" applyFont="0" applyFill="0" applyBorder="0" applyAlignment="0" applyProtection="0"/>
    <xf numFmtId="0" fontId="6" fillId="0" borderId="0"/>
    <xf numFmtId="164" fontId="42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3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27" fillId="2" borderId="0" xfId="22" applyFont="1" applyFill="1" applyAlignment="1">
      <alignment wrapText="1"/>
    </xf>
    <xf numFmtId="2" fontId="27" fillId="2" borderId="0" xfId="22" applyNumberFormat="1" applyFont="1" applyFill="1" applyBorder="1" applyAlignment="1">
      <alignment horizontal="right"/>
    </xf>
    <xf numFmtId="0" fontId="32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6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3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5" fontId="29" fillId="14" borderId="30" xfId="22" applyNumberFormat="1" applyFont="1" applyFill="1" applyBorder="1" applyAlignment="1">
      <alignment vertical="center"/>
    </xf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5" fontId="27" fillId="2" borderId="5" xfId="36" applyNumberFormat="1" applyFont="1" applyFill="1" applyBorder="1" applyAlignment="1">
      <alignment vertical="center"/>
    </xf>
    <xf numFmtId="165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5" fontId="29" fillId="8" borderId="5" xfId="0" applyNumberFormat="1" applyFont="1" applyFill="1" applyBorder="1"/>
    <xf numFmtId="165" fontId="29" fillId="2" borderId="29" xfId="0" applyNumberFormat="1" applyFont="1" applyFill="1" applyBorder="1"/>
    <xf numFmtId="165" fontId="29" fillId="14" borderId="29" xfId="0" applyNumberFormat="1" applyFont="1" applyFill="1" applyBorder="1"/>
    <xf numFmtId="165" fontId="27" fillId="2" borderId="30" xfId="0" applyNumberFormat="1" applyFont="1" applyFill="1" applyBorder="1"/>
    <xf numFmtId="165" fontId="27" fillId="14" borderId="30" xfId="0" applyNumberFormat="1" applyFont="1" applyFill="1" applyBorder="1"/>
    <xf numFmtId="165" fontId="29" fillId="2" borderId="30" xfId="0" applyNumberFormat="1" applyFont="1" applyFill="1" applyBorder="1"/>
    <xf numFmtId="165" fontId="29" fillId="14" borderId="30" xfId="0" applyNumberFormat="1" applyFont="1" applyFill="1" applyBorder="1"/>
    <xf numFmtId="165" fontId="29" fillId="8" borderId="5" xfId="22" applyNumberFormat="1" applyFont="1" applyFill="1" applyBorder="1" applyAlignment="1">
      <alignment vertical="center"/>
    </xf>
    <xf numFmtId="165" fontId="29" fillId="8" borderId="5" xfId="36" applyNumberFormat="1" applyFont="1" applyFill="1" applyBorder="1" applyAlignment="1">
      <alignment vertical="center"/>
    </xf>
    <xf numFmtId="165" fontId="29" fillId="2" borderId="11" xfId="0" applyNumberFormat="1" applyFont="1" applyFill="1" applyBorder="1"/>
    <xf numFmtId="165" fontId="29" fillId="14" borderId="11" xfId="0" applyNumberFormat="1" applyFont="1" applyFill="1" applyBorder="1"/>
    <xf numFmtId="165" fontId="29" fillId="2" borderId="15" xfId="0" applyNumberFormat="1" applyFont="1" applyFill="1" applyBorder="1"/>
    <xf numFmtId="165" fontId="29" fillId="14" borderId="15" xfId="0" applyNumberFormat="1" applyFont="1" applyFill="1" applyBorder="1"/>
    <xf numFmtId="165" fontId="29" fillId="2" borderId="5" xfId="0" applyNumberFormat="1" applyFont="1" applyFill="1" applyBorder="1"/>
    <xf numFmtId="165" fontId="29" fillId="14" borderId="5" xfId="0" applyNumberFormat="1" applyFont="1" applyFill="1" applyBorder="1"/>
    <xf numFmtId="165" fontId="27" fillId="2" borderId="29" xfId="36" applyNumberFormat="1" applyFont="1" applyFill="1" applyBorder="1"/>
    <xf numFmtId="165" fontId="27" fillId="14" borderId="29" xfId="0" applyNumberFormat="1" applyFont="1" applyFill="1" applyBorder="1"/>
    <xf numFmtId="165" fontId="27" fillId="2" borderId="30" xfId="36" applyNumberFormat="1" applyFont="1" applyFill="1" applyBorder="1"/>
    <xf numFmtId="0" fontId="38" fillId="2" borderId="22" xfId="36" applyFont="1" applyFill="1" applyBorder="1" applyAlignment="1"/>
    <xf numFmtId="165" fontId="27" fillId="2" borderId="21" xfId="36" applyNumberFormat="1" applyFont="1" applyFill="1" applyBorder="1" applyAlignment="1">
      <alignment horizontal="center" wrapText="1"/>
    </xf>
    <xf numFmtId="2" fontId="16" fillId="2" borderId="16" xfId="22" applyNumberFormat="1" applyFont="1" applyFill="1" applyBorder="1" applyAlignment="1">
      <alignment vertical="center"/>
    </xf>
    <xf numFmtId="167" fontId="29" fillId="5" borderId="36" xfId="22" applyNumberFormat="1" applyFont="1" applyFill="1" applyBorder="1" applyAlignment="1">
      <alignment vertical="center"/>
    </xf>
    <xf numFmtId="167" fontId="29" fillId="2" borderId="12" xfId="22" applyNumberFormat="1" applyFont="1" applyFill="1" applyBorder="1" applyAlignment="1">
      <alignment vertical="center"/>
    </xf>
    <xf numFmtId="167" fontId="27" fillId="2" borderId="12" xfId="22" applyNumberFormat="1" applyFont="1" applyFill="1" applyBorder="1" applyAlignment="1">
      <alignment vertical="center"/>
    </xf>
    <xf numFmtId="167" fontId="29" fillId="5" borderId="13" xfId="22" applyNumberFormat="1" applyFont="1" applyFill="1" applyBorder="1" applyAlignment="1">
      <alignment vertical="center"/>
    </xf>
    <xf numFmtId="167" fontId="29" fillId="2" borderId="12" xfId="36" applyNumberFormat="1" applyFont="1" applyFill="1" applyBorder="1" applyAlignment="1">
      <alignment vertical="center"/>
    </xf>
    <xf numFmtId="167" fontId="29" fillId="2" borderId="13" xfId="22" applyNumberFormat="1" applyFont="1" applyFill="1" applyBorder="1" applyAlignment="1">
      <alignment vertical="center"/>
    </xf>
    <xf numFmtId="167" fontId="27" fillId="2" borderId="13" xfId="22" applyNumberFormat="1" applyFont="1" applyFill="1" applyBorder="1" applyAlignment="1">
      <alignment vertical="center"/>
    </xf>
    <xf numFmtId="167" fontId="27" fillId="0" borderId="12" xfId="22" applyNumberFormat="1" applyFont="1" applyFill="1" applyBorder="1" applyAlignment="1">
      <alignment vertical="center"/>
    </xf>
    <xf numFmtId="167" fontId="29" fillId="5" borderId="24" xfId="36" applyNumberFormat="1" applyFont="1" applyFill="1" applyBorder="1" applyAlignment="1">
      <alignment vertical="center"/>
    </xf>
    <xf numFmtId="167" fontId="29" fillId="2" borderId="14" xfId="36" applyNumberFormat="1" applyFont="1" applyFill="1" applyBorder="1" applyAlignment="1">
      <alignment vertical="center"/>
    </xf>
    <xf numFmtId="167" fontId="27" fillId="2" borderId="14" xfId="36" applyNumberFormat="1" applyFont="1" applyFill="1" applyBorder="1" applyAlignment="1">
      <alignment vertical="center"/>
    </xf>
    <xf numFmtId="167" fontId="29" fillId="2" borderId="24" xfId="36" applyNumberFormat="1" applyFont="1" applyFill="1" applyBorder="1" applyAlignment="1">
      <alignment vertical="center"/>
    </xf>
    <xf numFmtId="167" fontId="27" fillId="2" borderId="24" xfId="36" applyNumberFormat="1" applyFont="1" applyFill="1" applyBorder="1" applyAlignment="1">
      <alignment vertical="center"/>
    </xf>
    <xf numFmtId="167" fontId="27" fillId="0" borderId="14" xfId="36" applyNumberFormat="1" applyFont="1" applyFill="1" applyBorder="1" applyAlignment="1">
      <alignment vertical="center"/>
    </xf>
    <xf numFmtId="167" fontId="29" fillId="14" borderId="12" xfId="22" applyNumberFormat="1" applyFont="1" applyFill="1" applyBorder="1" applyAlignment="1">
      <alignment vertical="center"/>
    </xf>
    <xf numFmtId="167" fontId="27" fillId="14" borderId="12" xfId="22" applyNumberFormat="1" applyFont="1" applyFill="1" applyBorder="1" applyAlignment="1">
      <alignment vertical="center"/>
    </xf>
    <xf numFmtId="167" fontId="29" fillId="14" borderId="12" xfId="36" applyNumberFormat="1" applyFont="1" applyFill="1" applyBorder="1" applyAlignment="1">
      <alignment vertical="center"/>
    </xf>
    <xf numFmtId="167" fontId="29" fillId="14" borderId="13" xfId="22" applyNumberFormat="1" applyFont="1" applyFill="1" applyBorder="1" applyAlignment="1">
      <alignment horizontal="center" vertical="center"/>
    </xf>
    <xf numFmtId="167" fontId="27" fillId="14" borderId="13" xfId="22" applyNumberFormat="1" applyFont="1" applyFill="1" applyBorder="1" applyAlignment="1">
      <alignment horizontal="center" vertical="center"/>
    </xf>
    <xf numFmtId="167" fontId="29" fillId="14" borderId="12" xfId="22" applyNumberFormat="1" applyFont="1" applyFill="1" applyBorder="1" applyAlignment="1">
      <alignment horizontal="center" vertical="center"/>
    </xf>
    <xf numFmtId="167" fontId="29" fillId="14" borderId="13" xfId="22" applyNumberFormat="1" applyFont="1" applyFill="1" applyBorder="1" applyAlignment="1">
      <alignment vertical="center"/>
    </xf>
    <xf numFmtId="167" fontId="29" fillId="8" borderId="13" xfId="0" applyNumberFormat="1" applyFont="1" applyFill="1" applyBorder="1"/>
    <xf numFmtId="167" fontId="29" fillId="2" borderId="34" xfId="0" applyNumberFormat="1" applyFont="1" applyFill="1" applyBorder="1"/>
    <xf numFmtId="167" fontId="27" fillId="2" borderId="12" xfId="0" applyNumberFormat="1" applyFont="1" applyFill="1" applyBorder="1"/>
    <xf numFmtId="167" fontId="29" fillId="2" borderId="12" xfId="0" applyNumberFormat="1" applyFont="1" applyFill="1" applyBorder="1"/>
    <xf numFmtId="167" fontId="29" fillId="8" borderId="13" xfId="22" applyNumberFormat="1" applyFont="1" applyFill="1" applyBorder="1" applyAlignment="1">
      <alignment vertical="center"/>
    </xf>
    <xf numFmtId="167" fontId="29" fillId="2" borderId="36" xfId="0" applyNumberFormat="1" applyFont="1" applyFill="1" applyBorder="1"/>
    <xf numFmtId="167" fontId="29" fillId="2" borderId="53" xfId="0" applyNumberFormat="1" applyFont="1" applyFill="1" applyBorder="1"/>
    <xf numFmtId="167" fontId="29" fillId="2" borderId="13" xfId="0" applyNumberFormat="1" applyFont="1" applyFill="1" applyBorder="1"/>
    <xf numFmtId="167" fontId="27" fillId="2" borderId="34" xfId="0" applyNumberFormat="1" applyFont="1" applyFill="1" applyBorder="1"/>
    <xf numFmtId="167" fontId="29" fillId="14" borderId="34" xfId="0" applyNumberFormat="1" applyFont="1" applyFill="1" applyBorder="1"/>
    <xf numFmtId="167" fontId="27" fillId="14" borderId="12" xfId="0" applyNumberFormat="1" applyFont="1" applyFill="1" applyBorder="1"/>
    <xf numFmtId="167" fontId="29" fillId="14" borderId="12" xfId="0" applyNumberFormat="1" applyFont="1" applyFill="1" applyBorder="1"/>
    <xf numFmtId="167" fontId="29" fillId="14" borderId="36" xfId="0" applyNumberFormat="1" applyFont="1" applyFill="1" applyBorder="1"/>
    <xf numFmtId="167" fontId="29" fillId="14" borderId="53" xfId="0" applyNumberFormat="1" applyFont="1" applyFill="1" applyBorder="1"/>
    <xf numFmtId="167" fontId="27" fillId="14" borderId="34" xfId="0" applyNumberFormat="1" applyFont="1" applyFill="1" applyBorder="1"/>
    <xf numFmtId="167" fontId="29" fillId="6" borderId="24" xfId="22" applyNumberFormat="1" applyFont="1" applyFill="1" applyBorder="1" applyAlignment="1">
      <alignment vertical="center"/>
    </xf>
    <xf numFmtId="167" fontId="29" fillId="2" borderId="0" xfId="22" applyNumberFormat="1" applyFont="1" applyFill="1" applyBorder="1" applyAlignment="1">
      <alignment vertical="center"/>
    </xf>
    <xf numFmtId="167" fontId="27" fillId="2" borderId="14" xfId="22" applyNumberFormat="1" applyFont="1" applyFill="1" applyBorder="1" applyAlignment="1">
      <alignment vertical="center"/>
    </xf>
    <xf numFmtId="167" fontId="29" fillId="2" borderId="14" xfId="22" applyNumberFormat="1" applyFont="1" applyFill="1" applyBorder="1" applyAlignment="1">
      <alignment vertical="center"/>
    </xf>
    <xf numFmtId="167" fontId="29" fillId="2" borderId="24" xfId="22" applyNumberFormat="1" applyFont="1" applyFill="1" applyBorder="1" applyAlignment="1">
      <alignment vertical="center"/>
    </xf>
    <xf numFmtId="167" fontId="27" fillId="2" borderId="24" xfId="22" applyNumberFormat="1" applyFont="1" applyFill="1" applyBorder="1" applyAlignment="1">
      <alignment vertical="center"/>
    </xf>
    <xf numFmtId="167" fontId="27" fillId="0" borderId="14" xfId="22" applyNumberFormat="1" applyFont="1" applyFill="1" applyBorder="1" applyAlignment="1">
      <alignment vertical="center"/>
    </xf>
    <xf numFmtId="167" fontId="29" fillId="14" borderId="0" xfId="22" applyNumberFormat="1" applyFont="1" applyFill="1" applyBorder="1" applyAlignment="1">
      <alignment vertical="center"/>
    </xf>
    <xf numFmtId="167" fontId="27" fillId="14" borderId="14" xfId="22" applyNumberFormat="1" applyFont="1" applyFill="1" applyBorder="1" applyAlignment="1">
      <alignment vertical="center"/>
    </xf>
    <xf numFmtId="167" fontId="29" fillId="14" borderId="14" xfId="22" applyNumberFormat="1" applyFont="1" applyFill="1" applyBorder="1" applyAlignment="1">
      <alignment vertical="center"/>
    </xf>
    <xf numFmtId="167" fontId="29" fillId="14" borderId="24" xfId="22" applyNumberFormat="1" applyFont="1" applyFill="1" applyBorder="1" applyAlignment="1">
      <alignment vertical="center"/>
    </xf>
    <xf numFmtId="167" fontId="27" fillId="14" borderId="24" xfId="22" applyNumberFormat="1" applyFont="1" applyFill="1" applyBorder="1" applyAlignment="1">
      <alignment vertical="center"/>
    </xf>
    <xf numFmtId="167" fontId="29" fillId="8" borderId="13" xfId="36" applyNumberFormat="1" applyFont="1" applyFill="1" applyBorder="1" applyAlignment="1">
      <alignment vertical="center"/>
    </xf>
    <xf numFmtId="167" fontId="29" fillId="2" borderId="13" xfId="36" applyNumberFormat="1" applyFont="1" applyFill="1" applyBorder="1" applyAlignment="1">
      <alignment vertical="center"/>
    </xf>
    <xf numFmtId="167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165" fontId="16" fillId="2" borderId="30" xfId="36" applyNumberFormat="1" applyFont="1" applyFill="1" applyBorder="1" applyAlignment="1">
      <alignment vertical="center"/>
    </xf>
    <xf numFmtId="165" fontId="29" fillId="15" borderId="5" xfId="36" applyNumberFormat="1" applyFont="1" applyFill="1" applyBorder="1" applyAlignment="1">
      <alignment vertical="center"/>
    </xf>
    <xf numFmtId="0" fontId="27" fillId="2" borderId="0" xfId="22" applyFont="1" applyFill="1" applyAlignment="1">
      <alignment horizontal="right"/>
    </xf>
    <xf numFmtId="165" fontId="27" fillId="2" borderId="11" xfId="36" applyNumberFormat="1" applyFont="1" applyFill="1" applyBorder="1" applyAlignment="1">
      <alignment vertical="center"/>
    </xf>
    <xf numFmtId="49" fontId="27" fillId="2" borderId="0" xfId="22" applyNumberFormat="1" applyFont="1" applyFill="1" applyAlignment="1">
      <alignment horizontal="center" wrapText="1"/>
    </xf>
    <xf numFmtId="49" fontId="41" fillId="2" borderId="0" xfId="22" applyNumberFormat="1" applyFont="1" applyFill="1" applyAlignment="1">
      <alignment wrapText="1"/>
    </xf>
    <xf numFmtId="167" fontId="16" fillId="14" borderId="12" xfId="22" applyNumberFormat="1" applyFont="1" applyFill="1" applyBorder="1" applyAlignment="1">
      <alignment vertical="center"/>
    </xf>
    <xf numFmtId="165" fontId="16" fillId="14" borderId="30" xfId="22" applyNumberFormat="1" applyFont="1" applyFill="1" applyBorder="1" applyAlignment="1">
      <alignment vertical="center"/>
    </xf>
    <xf numFmtId="164" fontId="27" fillId="2" borderId="0" xfId="40" applyFont="1" applyFill="1" applyBorder="1" applyAlignment="1">
      <alignment wrapText="1"/>
    </xf>
    <xf numFmtId="2" fontId="27" fillId="2" borderId="17" xfId="22" applyNumberFormat="1" applyFont="1" applyFill="1" applyBorder="1" applyAlignment="1">
      <alignment vertical="center"/>
    </xf>
    <xf numFmtId="165" fontId="16" fillId="0" borderId="30" xfId="36" applyNumberFormat="1" applyFont="1" applyFill="1" applyBorder="1" applyAlignment="1">
      <alignment vertical="center"/>
    </xf>
    <xf numFmtId="165" fontId="16" fillId="0" borderId="11" xfId="36" applyNumberFormat="1" applyFont="1" applyFill="1" applyBorder="1" applyAlignment="1">
      <alignment vertical="center"/>
    </xf>
    <xf numFmtId="175" fontId="27" fillId="2" borderId="30" xfId="36" applyNumberFormat="1" applyFont="1" applyFill="1" applyBorder="1" applyAlignment="1">
      <alignment vertical="center"/>
    </xf>
    <xf numFmtId="4" fontId="37" fillId="2" borderId="0" xfId="39" applyNumberFormat="1" applyFont="1" applyFill="1" applyBorder="1"/>
    <xf numFmtId="2" fontId="27" fillId="2" borderId="0" xfId="22" applyNumberFormat="1" applyFont="1" applyFill="1" applyBorder="1"/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5" fillId="13" borderId="20" xfId="22" applyFont="1" applyFill="1" applyBorder="1" applyAlignment="1">
      <alignment horizontal="center" vertical="center"/>
    </xf>
    <xf numFmtId="0" fontId="35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7" fillId="2" borderId="22" xfId="36" applyFont="1" applyFill="1" applyBorder="1" applyAlignment="1">
      <alignment horizontal="center" wrapText="1"/>
    </xf>
    <xf numFmtId="165" fontId="37" fillId="2" borderId="22" xfId="36" applyNumberFormat="1" applyFont="1" applyFill="1" applyBorder="1" applyAlignment="1">
      <alignment horizontal="center" wrapText="1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39" fillId="2" borderId="22" xfId="22" applyFont="1" applyFill="1" applyBorder="1" applyAlignment="1">
      <alignment horizontal="center"/>
    </xf>
    <xf numFmtId="0" fontId="35" fillId="12" borderId="54" xfId="22" applyFont="1" applyFill="1" applyBorder="1" applyAlignment="1">
      <alignment horizontal="center" vertical="center"/>
    </xf>
    <xf numFmtId="0" fontId="35" fillId="12" borderId="17" xfId="22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5" fillId="7" borderId="20" xfId="22" applyFont="1" applyFill="1" applyBorder="1" applyAlignment="1">
      <alignment horizontal="center" vertical="center"/>
    </xf>
    <xf numFmtId="0" fontId="35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0" fillId="2" borderId="22" xfId="2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</cellXfs>
  <cellStyles count="41">
    <cellStyle name="1 indent" xfId="1"/>
    <cellStyle name="2 indents" xfId="2"/>
    <cellStyle name="3 indents" xfId="3"/>
    <cellStyle name="4 indents" xfId="4"/>
    <cellStyle name="Currency" xfId="40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46076912"/>
        <c:axId val="-1146076368"/>
      </c:lineChart>
      <c:catAx>
        <c:axId val="-1146076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1146076368"/>
        <c:crosses val="autoZero"/>
        <c:auto val="1"/>
        <c:lblAlgn val="ctr"/>
        <c:lblOffset val="100"/>
        <c:noMultiLvlLbl val="0"/>
      </c:catAx>
      <c:valAx>
        <c:axId val="-114607636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114607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16558464"/>
        <c:axId val="-1016550304"/>
      </c:lineChart>
      <c:catAx>
        <c:axId val="-101655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1016550304"/>
        <c:crosses val="autoZero"/>
        <c:auto val="1"/>
        <c:lblAlgn val="ctr"/>
        <c:lblOffset val="100"/>
        <c:noMultiLvlLbl val="0"/>
      </c:catAx>
      <c:valAx>
        <c:axId val="-1016550304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-1016558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9"/>
  <sheetViews>
    <sheetView tabSelected="1" topLeftCell="B28" zoomScaleNormal="100" workbookViewId="0">
      <selection activeCell="H31" sqref="H31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13" width="7.7109375" style="80" customWidth="1"/>
    <col min="14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109"/>
      <c r="E8" s="109"/>
      <c r="F8" s="109"/>
      <c r="G8" s="125">
        <f>+J16/F16*100-100</f>
        <v>-12.324488039299581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73" t="str">
        <f>IF(MasterSheet!$A$1=1,MasterSheet!B67,MasterSheet!B66)</f>
        <v>BDP (u mil. €)</v>
      </c>
      <c r="D11" s="297">
        <v>4604500000</v>
      </c>
      <c r="E11" s="298"/>
      <c r="F11" s="298"/>
      <c r="G11" s="299"/>
      <c r="H11" s="302"/>
      <c r="I11" s="307"/>
      <c r="J11" s="304">
        <v>4299000000</v>
      </c>
      <c r="K11" s="304">
        <v>0</v>
      </c>
      <c r="L11" s="302"/>
      <c r="M11" s="303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customHeight="1" thickTop="1">
      <c r="C12" s="81"/>
      <c r="D12" s="226"/>
      <c r="E12" s="226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Bot="1">
      <c r="B13" s="85"/>
      <c r="C13" s="86"/>
      <c r="D13" s="309"/>
      <c r="E13" s="309"/>
      <c r="F13" s="225"/>
      <c r="G13" s="225"/>
      <c r="H13" s="225"/>
      <c r="I13" s="225"/>
      <c r="J13" s="308"/>
      <c r="K13" s="308"/>
      <c r="L13" s="157"/>
      <c r="M13" s="157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300" t="str">
        <f>IF(MasterSheet!$A$1=1,MasterSheet!B71,MasterSheet!B70)</f>
        <v>Budžet Crne Gore</v>
      </c>
      <c r="D14" s="295" t="s">
        <v>465</v>
      </c>
      <c r="E14" s="296"/>
      <c r="F14" s="295" t="s">
        <v>466</v>
      </c>
      <c r="G14" s="296"/>
      <c r="H14" s="295" t="s">
        <v>444</v>
      </c>
      <c r="I14" s="296"/>
      <c r="J14" s="295" t="s">
        <v>463</v>
      </c>
      <c r="K14" s="296"/>
      <c r="L14" s="305" t="str">
        <f>+H14</f>
        <v>Odstupanje</v>
      </c>
      <c r="M14" s="306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301" t="str">
        <f>IF(MasterSheet!$A$1=1,MasterSheet!B71,MasterSheet!B70)</f>
        <v>Budžet Crne Gore</v>
      </c>
      <c r="D15" s="88" t="str">
        <f>+F15</f>
        <v>mil. €</v>
      </c>
      <c r="E15" s="194" t="str">
        <f>+G15</f>
        <v>% BDP</v>
      </c>
      <c r="F15" s="88" t="s">
        <v>262</v>
      </c>
      <c r="G15" s="89" t="s">
        <v>149</v>
      </c>
      <c r="H15" s="193" t="s">
        <v>262</v>
      </c>
      <c r="I15" s="193" t="s">
        <v>439</v>
      </c>
      <c r="J15" s="88" t="s">
        <v>262</v>
      </c>
      <c r="K15" s="89" t="s">
        <v>149</v>
      </c>
      <c r="L15" s="195" t="s">
        <v>262</v>
      </c>
      <c r="M15" s="129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158">
        <f>+D17+D25+SUM(D30:D34)</f>
        <v>1273059280.8799999</v>
      </c>
      <c r="E16" s="228">
        <f>+D16/$D$11*100</f>
        <v>27.648154650450646</v>
      </c>
      <c r="F16" s="158">
        <f>+F17+F25+SUM(F30:F34)</f>
        <v>1272911485.7410231</v>
      </c>
      <c r="G16" s="228">
        <f>+F16/$D$11*100</f>
        <v>27.64494485266637</v>
      </c>
      <c r="H16" s="158">
        <f>+D16-F16</f>
        <v>147795.13897681236</v>
      </c>
      <c r="I16" s="231">
        <f>+IF(ISNUMBER(D16/F16*100-100),D16/F16*100-100,"...")</f>
        <v>1.1610794672861857E-2</v>
      </c>
      <c r="J16" s="158">
        <f>+J17+J25+SUM(J30:J34)</f>
        <v>1116031661.9300001</v>
      </c>
      <c r="K16" s="228">
        <f>+J16/$J$11*100</f>
        <v>25.960261966271226</v>
      </c>
      <c r="L16" s="158">
        <f>+D16-J16</f>
        <v>157027618.94999981</v>
      </c>
      <c r="M16" s="228">
        <f t="shared" ref="M16:M59" si="0">+IF(ISNUMBER(D16/J16*100-100),D16/J16*100-100,"...")</f>
        <v>14.070175991104534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49">
        <f>+SUM(D18:D24)</f>
        <v>806018384.75999999</v>
      </c>
      <c r="E17" s="229">
        <f t="shared" ref="E17:E75" si="1">+D17/$D$11*100</f>
        <v>17.505014328591596</v>
      </c>
      <c r="F17" s="149">
        <f>+SUM(F18:F24)</f>
        <v>802060315.02141583</v>
      </c>
      <c r="G17" s="229">
        <f t="shared" ref="G17:G75" si="2">+F17/$D$11*100</f>
        <v>17.419053426461414</v>
      </c>
      <c r="H17" s="199">
        <f t="shared" ref="H17:H69" si="3">+D17-F17</f>
        <v>3958069.7385841608</v>
      </c>
      <c r="I17" s="242">
        <f t="shared" ref="I17:I69" si="4">+IF(ISNUMBER(D17/F17*100-100),D17/F17*100-100,"...")</f>
        <v>0.49348779193476844</v>
      </c>
      <c r="J17" s="149">
        <f>+SUM(J18:J24)</f>
        <v>720728015.07000005</v>
      </c>
      <c r="K17" s="229">
        <f t="shared" ref="K17:K69" si="5">+J17/$J$11*100</f>
        <v>16.76501547034194</v>
      </c>
      <c r="L17" s="199">
        <f t="shared" ref="L17:L35" si="6">+D17-J17</f>
        <v>85290369.689999938</v>
      </c>
      <c r="M17" s="242">
        <f t="shared" si="0"/>
        <v>11.833919024462531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150">
        <v>85245067.910000011</v>
      </c>
      <c r="E18" s="230">
        <f t="shared" si="1"/>
        <v>1.8513425542404174</v>
      </c>
      <c r="F18" s="150">
        <v>86320675.658435717</v>
      </c>
      <c r="G18" s="230">
        <f t="shared" si="2"/>
        <v>1.874702479279742</v>
      </c>
      <c r="H18" s="200">
        <f t="shared" si="3"/>
        <v>-1075607.7484357059</v>
      </c>
      <c r="I18" s="243">
        <f t="shared" si="4"/>
        <v>-1.2460603907826169</v>
      </c>
      <c r="J18" s="151">
        <v>79638855.25</v>
      </c>
      <c r="K18" s="230">
        <f t="shared" si="5"/>
        <v>1.852497214468481</v>
      </c>
      <c r="L18" s="200">
        <f t="shared" si="6"/>
        <v>5606212.6600000113</v>
      </c>
      <c r="M18" s="243">
        <f t="shared" si="0"/>
        <v>7.0395445067626241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51">
        <v>64513553.079999991</v>
      </c>
      <c r="E19" s="230">
        <f t="shared" si="1"/>
        <v>1.4010979059615591</v>
      </c>
      <c r="F19" s="151">
        <v>56853639.427595504</v>
      </c>
      <c r="G19" s="230">
        <f t="shared" si="2"/>
        <v>1.2347407846149527</v>
      </c>
      <c r="H19" s="200">
        <f t="shared" si="3"/>
        <v>7659913.6524044871</v>
      </c>
      <c r="I19" s="243">
        <f t="shared" si="4"/>
        <v>13.473040124651249</v>
      </c>
      <c r="J19" s="151">
        <v>45207964.149999999</v>
      </c>
      <c r="K19" s="230">
        <f t="shared" si="5"/>
        <v>1.0515925598976505</v>
      </c>
      <c r="L19" s="200">
        <f t="shared" si="6"/>
        <v>19305588.929999992</v>
      </c>
      <c r="M19" s="243">
        <f t="shared" si="0"/>
        <v>42.703955581684795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51">
        <v>1277928.1599999999</v>
      </c>
      <c r="E20" s="230">
        <f t="shared" si="1"/>
        <v>2.7753896405690086E-2</v>
      </c>
      <c r="F20" s="151">
        <v>1277437.2283104986</v>
      </c>
      <c r="G20" s="230">
        <f t="shared" si="2"/>
        <v>2.7743234407872703E-2</v>
      </c>
      <c r="H20" s="200">
        <f t="shared" si="3"/>
        <v>490.93168950127438</v>
      </c>
      <c r="I20" s="243">
        <f t="shared" si="4"/>
        <v>3.8430983426906096E-2</v>
      </c>
      <c r="J20" s="151">
        <v>1033182.6499999999</v>
      </c>
      <c r="K20" s="230">
        <f t="shared" si="5"/>
        <v>2.403309257966969E-2</v>
      </c>
      <c r="L20" s="200">
        <f t="shared" si="6"/>
        <v>244745.51</v>
      </c>
      <c r="M20" s="243">
        <f t="shared" si="0"/>
        <v>23.688503673576022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150">
        <v>461468715.59000003</v>
      </c>
      <c r="E21" s="230">
        <f t="shared" si="1"/>
        <v>10.022124347703334</v>
      </c>
      <c r="F21" s="150">
        <v>459774768.13895881</v>
      </c>
      <c r="G21" s="230">
        <f t="shared" si="2"/>
        <v>9.985335392310974</v>
      </c>
      <c r="H21" s="200">
        <f t="shared" si="3"/>
        <v>1693947.4510412216</v>
      </c>
      <c r="I21" s="243">
        <f t="shared" si="4"/>
        <v>0.36842984183273586</v>
      </c>
      <c r="J21" s="151">
        <v>403509805.97000003</v>
      </c>
      <c r="K21" s="230">
        <f t="shared" si="5"/>
        <v>9.3861317973947429</v>
      </c>
      <c r="L21" s="200">
        <f t="shared" si="6"/>
        <v>57958909.620000005</v>
      </c>
      <c r="M21" s="243">
        <f t="shared" si="0"/>
        <v>14.36369296668569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51">
        <v>166496597.86000001</v>
      </c>
      <c r="E22" s="230">
        <f t="shared" si="1"/>
        <v>3.61595391160821</v>
      </c>
      <c r="F22" s="151">
        <v>170608199.68479919</v>
      </c>
      <c r="G22" s="230">
        <f t="shared" si="2"/>
        <v>3.7052492058811857</v>
      </c>
      <c r="H22" s="200">
        <f>+D22-F22</f>
        <v>-4111601.82479918</v>
      </c>
      <c r="I22" s="243">
        <f t="shared" si="4"/>
        <v>-2.4099673007483915</v>
      </c>
      <c r="J22" s="151">
        <v>165367045.34999999</v>
      </c>
      <c r="K22" s="230">
        <f t="shared" si="5"/>
        <v>3.8466398080949058</v>
      </c>
      <c r="L22" s="200">
        <f t="shared" si="6"/>
        <v>1129552.5100000203</v>
      </c>
      <c r="M22" s="243">
        <f t="shared" si="0"/>
        <v>0.68305780490260304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1">
        <v>20112543.760000002</v>
      </c>
      <c r="E23" s="230">
        <f t="shared" si="1"/>
        <v>0.43680190596155938</v>
      </c>
      <c r="F23" s="151">
        <v>20180249.262213923</v>
      </c>
      <c r="G23" s="230">
        <f t="shared" si="2"/>
        <v>0.43827232625070955</v>
      </c>
      <c r="H23" s="200">
        <f t="shared" si="3"/>
        <v>-67705.502213921398</v>
      </c>
      <c r="I23" s="243">
        <f t="shared" si="4"/>
        <v>-0.33550379548927367</v>
      </c>
      <c r="J23" s="151">
        <v>19081391.75</v>
      </c>
      <c r="K23" s="230">
        <f t="shared" si="5"/>
        <v>0.44385651895789718</v>
      </c>
      <c r="L23" s="200">
        <f t="shared" si="6"/>
        <v>1031152.0100000016</v>
      </c>
      <c r="M23" s="243">
        <f t="shared" si="0"/>
        <v>5.4039664585787079</v>
      </c>
      <c r="BM23" s="138"/>
      <c r="BN23" s="138"/>
      <c r="BO23" s="81"/>
    </row>
    <row r="24" spans="2:69" ht="15" customHeight="1">
      <c r="B24" s="80">
        <v>7118</v>
      </c>
      <c r="C24" s="97" t="s">
        <v>457</v>
      </c>
      <c r="D24" s="151">
        <v>6903978.3999999994</v>
      </c>
      <c r="E24" s="230">
        <f t="shared" si="1"/>
        <v>0.14993980671082635</v>
      </c>
      <c r="F24" s="151">
        <v>7045345.6211022232</v>
      </c>
      <c r="G24" s="230">
        <f t="shared" si="2"/>
        <v>0.15301000371597834</v>
      </c>
      <c r="H24" s="200">
        <f t="shared" si="3"/>
        <v>-141367.22110222373</v>
      </c>
      <c r="I24" s="243">
        <f t="shared" si="4"/>
        <v>-2.006533514534766</v>
      </c>
      <c r="J24" s="151">
        <v>6889769.9500000002</v>
      </c>
      <c r="K24" s="230">
        <f t="shared" si="5"/>
        <v>0.16026447894859269</v>
      </c>
      <c r="L24" s="200">
        <f t="shared" si="6"/>
        <v>14208.449999999255</v>
      </c>
      <c r="M24" s="243">
        <f t="shared" si="0"/>
        <v>0.20622531816174217</v>
      </c>
      <c r="BM24" s="138"/>
      <c r="BN24" s="138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49">
        <f>+SUM(D26:D29)</f>
        <v>351331389.50999999</v>
      </c>
      <c r="E25" s="229">
        <f t="shared" si="1"/>
        <v>7.6301746011510474</v>
      </c>
      <c r="F25" s="149">
        <f>+SUM(F26:F29)</f>
        <v>352093044.97005546</v>
      </c>
      <c r="G25" s="229">
        <f t="shared" si="2"/>
        <v>7.6467161465969253</v>
      </c>
      <c r="H25" s="199">
        <f t="shared" si="3"/>
        <v>-761655.46005547047</v>
      </c>
      <c r="I25" s="242">
        <f t="shared" si="4"/>
        <v>-0.21632221111332228</v>
      </c>
      <c r="J25" s="149">
        <f>+SUM(J26:J29)</f>
        <v>330715133.68000001</v>
      </c>
      <c r="K25" s="229">
        <f t="shared" si="5"/>
        <v>7.6928386527099324</v>
      </c>
      <c r="L25" s="199">
        <f t="shared" si="6"/>
        <v>20616255.829999983</v>
      </c>
      <c r="M25" s="242">
        <f t="shared" si="0"/>
        <v>6.233841070589861</v>
      </c>
      <c r="BM25" s="138"/>
      <c r="BN25" s="138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1">
        <v>211532835.92000002</v>
      </c>
      <c r="E26" s="230">
        <f t="shared" si="1"/>
        <v>4.5940457361277014</v>
      </c>
      <c r="F26" s="151">
        <v>210240424.65713471</v>
      </c>
      <c r="G26" s="230">
        <f t="shared" si="2"/>
        <v>4.5659772973642028</v>
      </c>
      <c r="H26" s="200">
        <f t="shared" si="3"/>
        <v>1292411.2628653049</v>
      </c>
      <c r="I26" s="243">
        <f t="shared" si="4"/>
        <v>0.61473014287001604</v>
      </c>
      <c r="J26" s="151">
        <v>199521104.30000001</v>
      </c>
      <c r="K26" s="230">
        <f t="shared" si="5"/>
        <v>4.6411050081414285</v>
      </c>
      <c r="L26" s="200">
        <f t="shared" si="6"/>
        <v>12011731.620000005</v>
      </c>
      <c r="M26" s="243">
        <f t="shared" si="0"/>
        <v>6.0202812440027174</v>
      </c>
      <c r="BM26" s="138"/>
      <c r="BN26" s="138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51">
        <v>122263069.46000001</v>
      </c>
      <c r="E27" s="230">
        <f t="shared" si="1"/>
        <v>2.6552952429145407</v>
      </c>
      <c r="F27" s="151">
        <v>122765086.50071792</v>
      </c>
      <c r="G27" s="230">
        <f t="shared" si="2"/>
        <v>2.6661979911112592</v>
      </c>
      <c r="H27" s="200">
        <f t="shared" si="3"/>
        <v>-502017.0407179147</v>
      </c>
      <c r="I27" s="243">
        <f t="shared" si="4"/>
        <v>-0.40892492729598473</v>
      </c>
      <c r="J27" s="151">
        <v>113827350.36999999</v>
      </c>
      <c r="K27" s="230">
        <f t="shared" si="5"/>
        <v>2.6477634419632472</v>
      </c>
      <c r="L27" s="200">
        <f t="shared" si="6"/>
        <v>8435719.0900000185</v>
      </c>
      <c r="M27" s="243">
        <f t="shared" si="0"/>
        <v>7.410977293751813</v>
      </c>
      <c r="BM27" s="138"/>
      <c r="BN27" s="138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51">
        <v>9066838.9000000004</v>
      </c>
      <c r="E28" s="230">
        <f t="shared" si="1"/>
        <v>0.19691256162449777</v>
      </c>
      <c r="F28" s="151">
        <v>10387390.507108964</v>
      </c>
      <c r="G28" s="230">
        <f t="shared" si="2"/>
        <v>0.22559214913908054</v>
      </c>
      <c r="H28" s="200">
        <f t="shared" si="3"/>
        <v>-1320551.6071089637</v>
      </c>
      <c r="I28" s="243">
        <f t="shared" si="4"/>
        <v>-12.713025530379355</v>
      </c>
      <c r="J28" s="151">
        <v>9065320.2199999988</v>
      </c>
      <c r="K28" s="230">
        <f t="shared" si="5"/>
        <v>0.21087044010234934</v>
      </c>
      <c r="L28" s="200">
        <f t="shared" si="6"/>
        <v>1518.6800000015646</v>
      </c>
      <c r="M28" s="243">
        <f t="shared" si="0"/>
        <v>1.6752634911341602E-2</v>
      </c>
      <c r="BM28" s="138"/>
      <c r="BN28" s="138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150">
        <v>8468645.2300000004</v>
      </c>
      <c r="E29" s="230">
        <f t="shared" si="1"/>
        <v>0.18392106048430884</v>
      </c>
      <c r="F29" s="150">
        <v>8700143.3050938118</v>
      </c>
      <c r="G29" s="230">
        <f t="shared" si="2"/>
        <v>0.1889487089823827</v>
      </c>
      <c r="H29" s="200">
        <f t="shared" si="3"/>
        <v>-231498.07509381138</v>
      </c>
      <c r="I29" s="243">
        <f t="shared" si="4"/>
        <v>-2.6608535856906315</v>
      </c>
      <c r="J29" s="151">
        <v>8301358.7899999991</v>
      </c>
      <c r="K29" s="230">
        <f t="shared" si="5"/>
        <v>0.19309976250290764</v>
      </c>
      <c r="L29" s="200">
        <f t="shared" si="6"/>
        <v>167286.44000000134</v>
      </c>
      <c r="M29" s="243">
        <f t="shared" si="0"/>
        <v>2.0151693744585373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49">
        <v>12498629.029999999</v>
      </c>
      <c r="E30" s="229">
        <f t="shared" si="1"/>
        <v>0.27144378390704743</v>
      </c>
      <c r="F30" s="149">
        <v>12834893.39617124</v>
      </c>
      <c r="G30" s="229">
        <f t="shared" si="2"/>
        <v>0.27874673463288613</v>
      </c>
      <c r="H30" s="199">
        <f t="shared" si="3"/>
        <v>-336264.36617124081</v>
      </c>
      <c r="I30" s="242">
        <f t="shared" si="4"/>
        <v>-2.6199233276962985</v>
      </c>
      <c r="J30" s="149">
        <v>10086600.950000001</v>
      </c>
      <c r="K30" s="229">
        <f t="shared" si="5"/>
        <v>0.23462667946033966</v>
      </c>
      <c r="L30" s="199">
        <f t="shared" si="6"/>
        <v>2412028.0799999982</v>
      </c>
      <c r="M30" s="242">
        <f t="shared" si="0"/>
        <v>23.913190300246768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49">
        <v>19352293.23</v>
      </c>
      <c r="E31" s="229">
        <f t="shared" si="1"/>
        <v>0.4202908726246064</v>
      </c>
      <c r="F31" s="149">
        <v>19543527.574936822</v>
      </c>
      <c r="G31" s="229">
        <f t="shared" si="2"/>
        <v>0.42444407807442336</v>
      </c>
      <c r="H31" s="199">
        <f t="shared" si="3"/>
        <v>-191234.34493682161</v>
      </c>
      <c r="I31" s="242">
        <f t="shared" si="4"/>
        <v>-0.97850474641060714</v>
      </c>
      <c r="J31" s="149">
        <v>13187570.029999999</v>
      </c>
      <c r="K31" s="229">
        <f t="shared" si="5"/>
        <v>0.30675901442195858</v>
      </c>
      <c r="L31" s="199">
        <f t="shared" si="6"/>
        <v>6164723.2000000011</v>
      </c>
      <c r="M31" s="242">
        <f t="shared" si="0"/>
        <v>46.746467969277603</v>
      </c>
      <c r="BM31" s="138"/>
      <c r="BN31" s="138"/>
      <c r="BO31" s="138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49">
        <v>61305297.460000001</v>
      </c>
      <c r="E32" s="229">
        <f t="shared" si="1"/>
        <v>1.3314213803887502</v>
      </c>
      <c r="F32" s="149">
        <v>61616419.90156284</v>
      </c>
      <c r="G32" s="229">
        <f t="shared" si="2"/>
        <v>1.3381783016953597</v>
      </c>
      <c r="H32" s="199">
        <f t="shared" si="3"/>
        <v>-311122.44156283885</v>
      </c>
      <c r="I32" s="242">
        <f t="shared" si="4"/>
        <v>-0.50493430494644542</v>
      </c>
      <c r="J32" s="149">
        <v>25712016.809999999</v>
      </c>
      <c r="K32" s="229">
        <f t="shared" si="5"/>
        <v>0.59809297069085832</v>
      </c>
      <c r="L32" s="199">
        <f t="shared" si="6"/>
        <v>35593280.650000006</v>
      </c>
      <c r="M32" s="242">
        <f t="shared" si="0"/>
        <v>138.43052807960575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49">
        <v>5577751.4500000002</v>
      </c>
      <c r="E33" s="229">
        <f t="shared" si="1"/>
        <v>0.12113696275382778</v>
      </c>
      <c r="F33" s="149">
        <v>5126021.0801104074</v>
      </c>
      <c r="G33" s="229">
        <f t="shared" si="2"/>
        <v>0.11132633467500072</v>
      </c>
      <c r="H33" s="199">
        <f t="shared" si="3"/>
        <v>451730.36988959275</v>
      </c>
      <c r="I33" s="242">
        <f t="shared" si="4"/>
        <v>8.8124953610191312</v>
      </c>
      <c r="J33" s="149">
        <v>3529582.71</v>
      </c>
      <c r="K33" s="229">
        <f t="shared" si="5"/>
        <v>8.2102412421493368E-2</v>
      </c>
      <c r="L33" s="199">
        <f t="shared" si="6"/>
        <v>2048168.7400000002</v>
      </c>
      <c r="M33" s="242">
        <f t="shared" si="0"/>
        <v>58.028637045312365</v>
      </c>
      <c r="BL33" s="100"/>
      <c r="BM33" s="100"/>
      <c r="BN33" s="99"/>
      <c r="BO33" s="140"/>
      <c r="BP33" s="140"/>
      <c r="BQ33" s="140"/>
      <c r="BR33" s="139"/>
    </row>
    <row r="34" spans="1:70" ht="13.5" customHeight="1" thickBot="1">
      <c r="B34" s="80">
        <v>74</v>
      </c>
      <c r="C34" s="93" t="s">
        <v>122</v>
      </c>
      <c r="D34" s="149">
        <v>16975535.440000001</v>
      </c>
      <c r="E34" s="229">
        <f t="shared" si="1"/>
        <v>0.36867272103377136</v>
      </c>
      <c r="F34" s="149">
        <v>19637263.796770509</v>
      </c>
      <c r="G34" s="229">
        <f t="shared" si="2"/>
        <v>0.42647983053036176</v>
      </c>
      <c r="H34" s="199">
        <f t="shared" si="3"/>
        <v>-2661728.356770508</v>
      </c>
      <c r="I34" s="242">
        <f t="shared" si="4"/>
        <v>-13.554476755607098</v>
      </c>
      <c r="J34" s="149">
        <v>12072742.680000002</v>
      </c>
      <c r="K34" s="229">
        <f t="shared" si="5"/>
        <v>0.28082676622470348</v>
      </c>
      <c r="L34" s="199">
        <f t="shared" si="6"/>
        <v>4902792.76</v>
      </c>
      <c r="M34" s="242">
        <f t="shared" si="0"/>
        <v>40.610430371568214</v>
      </c>
      <c r="BM34" s="154"/>
      <c r="BN34" s="154"/>
      <c r="BO34" s="140"/>
      <c r="BP34" s="140"/>
      <c r="BQ34" s="140"/>
      <c r="BR34" s="139"/>
    </row>
    <row r="35" spans="1:70" ht="15" customHeight="1" thickTop="1" thickBot="1">
      <c r="B35" s="102"/>
      <c r="C35" s="90" t="s">
        <v>456</v>
      </c>
      <c r="D35" s="91">
        <f>+D37+D48+D54+SUM(D57:D62)</f>
        <v>1298394734.1699998</v>
      </c>
      <c r="E35" s="231">
        <f t="shared" si="1"/>
        <v>28.198387103268541</v>
      </c>
      <c r="F35" s="91">
        <f>+F37+F48+F54+SUM(F57:F62)</f>
        <v>1375295120.2251666</v>
      </c>
      <c r="G35" s="236">
        <f t="shared" si="2"/>
        <v>29.868500819310817</v>
      </c>
      <c r="H35" s="91">
        <f t="shared" si="3"/>
        <v>-76900386.055166721</v>
      </c>
      <c r="I35" s="231">
        <f t="shared" si="4"/>
        <v>-5.5915552178049239</v>
      </c>
      <c r="J35" s="91">
        <f>+J37+J48+J54+SUM(J57:J62)</f>
        <v>1218692068.55</v>
      </c>
      <c r="K35" s="231">
        <f t="shared" si="5"/>
        <v>28.348268633403116</v>
      </c>
      <c r="L35" s="91">
        <f t="shared" si="6"/>
        <v>79702665.619999886</v>
      </c>
      <c r="M35" s="231">
        <f t="shared" si="0"/>
        <v>6.5400167668958602</v>
      </c>
      <c r="BM35" s="81"/>
      <c r="BN35" s="81"/>
      <c r="BO35" s="140"/>
      <c r="BP35" s="140"/>
      <c r="BQ35" s="140"/>
      <c r="BR35" s="139"/>
    </row>
    <row r="36" spans="1:70" ht="13.5" customHeight="1" thickTop="1" thickBot="1">
      <c r="C36" s="279" t="s">
        <v>445</v>
      </c>
      <c r="D36" s="91">
        <f>+D35-D57</f>
        <v>1153845170.77</v>
      </c>
      <c r="E36" s="231">
        <f t="shared" si="1"/>
        <v>25.059076355087413</v>
      </c>
      <c r="F36" s="91">
        <f>+F35-F57</f>
        <v>1166166370.2251666</v>
      </c>
      <c r="G36" s="236">
        <f t="shared" si="2"/>
        <v>25.326666743949755</v>
      </c>
      <c r="H36" s="91">
        <f t="shared" si="3"/>
        <v>-12321199.455166578</v>
      </c>
      <c r="I36" s="231">
        <f t="shared" si="4"/>
        <v>-1.0565558885725324</v>
      </c>
      <c r="J36" s="155">
        <f>+J35-J57</f>
        <v>1117623308.45</v>
      </c>
      <c r="K36" s="231">
        <f t="shared" si="5"/>
        <v>25.997285611770181</v>
      </c>
      <c r="L36" s="91">
        <f t="shared" ref="L36:L75" si="7">+D36-J36</f>
        <v>36221862.319999933</v>
      </c>
      <c r="M36" s="231">
        <f t="shared" si="0"/>
        <v>3.2409723424822801</v>
      </c>
      <c r="N36" s="206"/>
      <c r="BM36" s="154"/>
      <c r="BN36" s="154"/>
      <c r="BO36" s="140"/>
      <c r="BP36" s="140"/>
      <c r="BQ36" s="140"/>
      <c r="BR36" s="139"/>
    </row>
    <row r="37" spans="1:70" ht="13.5" customHeight="1" thickTop="1">
      <c r="A37" s="80">
        <v>41</v>
      </c>
      <c r="B37" s="80">
        <v>41</v>
      </c>
      <c r="C37" s="93" t="s">
        <v>62</v>
      </c>
      <c r="D37" s="94">
        <f>+SUM(D38:D47)</f>
        <v>578612897.1099999</v>
      </c>
      <c r="E37" s="229">
        <f t="shared" si="1"/>
        <v>12.566248172657179</v>
      </c>
      <c r="F37" s="94">
        <f>+SUM(F38:F47)</f>
        <v>585214418.21616662</v>
      </c>
      <c r="G37" s="237">
        <f t="shared" si="2"/>
        <v>12.709619246740505</v>
      </c>
      <c r="H37" s="197">
        <f t="shared" si="3"/>
        <v>-6601521.1061667204</v>
      </c>
      <c r="I37" s="242">
        <f t="shared" si="4"/>
        <v>-1.1280516851053193</v>
      </c>
      <c r="J37" s="94">
        <f>+SUM(J38:J47)</f>
        <v>556838574.33000004</v>
      </c>
      <c r="K37" s="229">
        <f t="shared" si="5"/>
        <v>12.952746553384509</v>
      </c>
      <c r="L37" s="197">
        <f t="shared" si="7"/>
        <v>21774322.779999852</v>
      </c>
      <c r="M37" s="242">
        <f t="shared" si="0"/>
        <v>3.9103474119405632</v>
      </c>
      <c r="BM37" s="154"/>
      <c r="BN37" s="154"/>
      <c r="BO37" s="140"/>
      <c r="BP37" s="140"/>
      <c r="BQ37" s="140"/>
      <c r="BR37" s="139"/>
    </row>
    <row r="38" spans="1:70" ht="13.5" customHeight="1">
      <c r="B38" s="80">
        <v>411</v>
      </c>
      <c r="C38" s="93" t="s">
        <v>63</v>
      </c>
      <c r="D38" s="159">
        <v>340115894.49000001</v>
      </c>
      <c r="E38" s="229">
        <f t="shared" si="1"/>
        <v>7.3865977736996422</v>
      </c>
      <c r="F38" s="149">
        <v>334982329.17249995</v>
      </c>
      <c r="G38" s="237">
        <f t="shared" si="2"/>
        <v>7.2751075941470287</v>
      </c>
      <c r="H38" s="199">
        <f>+D38-F38</f>
        <v>5133565.3175000548</v>
      </c>
      <c r="I38" s="242">
        <f t="shared" si="4"/>
        <v>1.5324883942927414</v>
      </c>
      <c r="J38" s="149">
        <v>328738590.37</v>
      </c>
      <c r="K38" s="229">
        <f t="shared" si="5"/>
        <v>7.6468618369388235</v>
      </c>
      <c r="L38" s="199">
        <f t="shared" si="7"/>
        <v>11377304.120000005</v>
      </c>
      <c r="M38" s="242">
        <f t="shared" si="0"/>
        <v>3.4608970328657449</v>
      </c>
      <c r="BM38" s="154"/>
      <c r="BN38" s="154"/>
      <c r="BO38" s="140"/>
      <c r="BP38" s="140"/>
      <c r="BQ38" s="140"/>
      <c r="BR38" s="139"/>
    </row>
    <row r="39" spans="1:70" ht="13.5" customHeight="1">
      <c r="B39" s="80">
        <v>412</v>
      </c>
      <c r="C39" s="93" t="s">
        <v>74</v>
      </c>
      <c r="D39" s="149">
        <v>7751391.4900000002</v>
      </c>
      <c r="E39" s="229">
        <f t="shared" si="1"/>
        <v>0.16834382647410143</v>
      </c>
      <c r="F39" s="149">
        <v>9525225.9683333356</v>
      </c>
      <c r="G39" s="237">
        <f t="shared" si="2"/>
        <v>0.2068677591124625</v>
      </c>
      <c r="H39" s="199">
        <f t="shared" si="3"/>
        <v>-1773834.4783333354</v>
      </c>
      <c r="I39" s="242">
        <f t="shared" si="4"/>
        <v>-18.622492361130938</v>
      </c>
      <c r="J39" s="149">
        <v>6803130.4699999997</v>
      </c>
      <c r="K39" s="229">
        <f t="shared" si="5"/>
        <v>0.15824913863689227</v>
      </c>
      <c r="L39" s="199">
        <f t="shared" si="7"/>
        <v>948261.02000000048</v>
      </c>
      <c r="M39" s="242">
        <f t="shared" si="0"/>
        <v>13.938598181845549</v>
      </c>
      <c r="BM39" s="154"/>
      <c r="BN39" s="154"/>
      <c r="BO39" s="140"/>
      <c r="BP39" s="140"/>
      <c r="BQ39" s="140"/>
      <c r="BR39" s="139"/>
    </row>
    <row r="40" spans="1:70" ht="13.5" customHeight="1">
      <c r="B40" s="80">
        <v>413</v>
      </c>
      <c r="C40" s="93" t="s">
        <v>428</v>
      </c>
      <c r="D40" s="149">
        <v>21844773.649999999</v>
      </c>
      <c r="E40" s="229">
        <f t="shared" si="1"/>
        <v>0.47442227494841999</v>
      </c>
      <c r="F40" s="149">
        <v>26318823.294</v>
      </c>
      <c r="G40" s="237">
        <f t="shared" si="2"/>
        <v>0.57158916916060376</v>
      </c>
      <c r="H40" s="199">
        <f t="shared" si="3"/>
        <v>-4474049.6440000013</v>
      </c>
      <c r="I40" s="242">
        <f t="shared" si="4"/>
        <v>-16.999428865119398</v>
      </c>
      <c r="J40" s="149">
        <v>17958042.599999998</v>
      </c>
      <c r="K40" s="229">
        <f t="shared" si="5"/>
        <v>0.4177260432658757</v>
      </c>
      <c r="L40" s="199">
        <f t="shared" si="7"/>
        <v>3886731.0500000007</v>
      </c>
      <c r="M40" s="242">
        <f t="shared" si="0"/>
        <v>21.643400322482819</v>
      </c>
      <c r="BM40" s="154"/>
      <c r="BN40" s="154"/>
      <c r="BO40" s="140"/>
      <c r="BP40" s="140"/>
      <c r="BQ40" s="140"/>
      <c r="BR40" s="139"/>
    </row>
    <row r="41" spans="1:70" ht="13.5" customHeight="1">
      <c r="B41" s="80">
        <v>414</v>
      </c>
      <c r="C41" s="93" t="s">
        <v>429</v>
      </c>
      <c r="D41" s="149">
        <v>47037193.439999998</v>
      </c>
      <c r="E41" s="229">
        <f t="shared" si="1"/>
        <v>1.0215483427082201</v>
      </c>
      <c r="F41" s="149">
        <v>42010488.879666656</v>
      </c>
      <c r="G41" s="237">
        <f t="shared" si="2"/>
        <v>0.91237895275636127</v>
      </c>
      <c r="H41" s="199">
        <f t="shared" si="3"/>
        <v>5026704.5603333414</v>
      </c>
      <c r="I41" s="242">
        <f t="shared" si="4"/>
        <v>11.965356020330205</v>
      </c>
      <c r="J41" s="149">
        <v>39872875.140000001</v>
      </c>
      <c r="K41" s="229">
        <f t="shared" si="5"/>
        <v>0.92749186182833221</v>
      </c>
      <c r="L41" s="199">
        <f t="shared" si="7"/>
        <v>7164318.299999997</v>
      </c>
      <c r="M41" s="242">
        <f t="shared" si="0"/>
        <v>17.967899919042551</v>
      </c>
      <c r="BM41" s="154"/>
      <c r="BN41" s="154"/>
      <c r="BO41" s="140"/>
      <c r="BP41" s="140"/>
      <c r="BQ41" s="140"/>
      <c r="BR41" s="139"/>
    </row>
    <row r="42" spans="1:70" ht="13.5" customHeight="1">
      <c r="B42" s="80">
        <v>415</v>
      </c>
      <c r="C42" s="93" t="s">
        <v>430</v>
      </c>
      <c r="D42" s="149">
        <v>13163023.27</v>
      </c>
      <c r="E42" s="229">
        <f t="shared" si="1"/>
        <v>0.2858730213921164</v>
      </c>
      <c r="F42" s="149">
        <v>16733288.092500001</v>
      </c>
      <c r="G42" s="237">
        <f t="shared" si="2"/>
        <v>0.36341162107720709</v>
      </c>
      <c r="H42" s="199">
        <f t="shared" si="3"/>
        <v>-3570264.8225000016</v>
      </c>
      <c r="I42" s="242">
        <f t="shared" si="4"/>
        <v>-21.336301644745021</v>
      </c>
      <c r="J42" s="149">
        <v>12594946.83</v>
      </c>
      <c r="K42" s="229">
        <f t="shared" si="5"/>
        <v>0.2929738736915562</v>
      </c>
      <c r="L42" s="199">
        <f t="shared" si="7"/>
        <v>568076.43999999948</v>
      </c>
      <c r="M42" s="242">
        <f t="shared" si="0"/>
        <v>4.5103520298068531</v>
      </c>
      <c r="BM42" s="154"/>
      <c r="BN42" s="154"/>
      <c r="BO42" s="140"/>
      <c r="BP42" s="140"/>
      <c r="BQ42" s="140"/>
      <c r="BR42" s="139"/>
    </row>
    <row r="43" spans="1:70" ht="13.5" customHeight="1">
      <c r="B43" s="80">
        <v>416</v>
      </c>
      <c r="C43" s="93" t="s">
        <v>79</v>
      </c>
      <c r="D43" s="149">
        <v>70666720.730000004</v>
      </c>
      <c r="E43" s="229">
        <f t="shared" si="1"/>
        <v>1.5347316913888587</v>
      </c>
      <c r="F43" s="149">
        <v>64597025</v>
      </c>
      <c r="G43" s="237">
        <f t="shared" si="2"/>
        <v>1.4029107394939733</v>
      </c>
      <c r="H43" s="199">
        <f t="shared" si="3"/>
        <v>6069695.7300000042</v>
      </c>
      <c r="I43" s="242">
        <f t="shared" si="4"/>
        <v>9.3962465454098094</v>
      </c>
      <c r="J43" s="149">
        <v>90754228.430000022</v>
      </c>
      <c r="K43" s="229">
        <f t="shared" si="5"/>
        <v>2.1110543947429639</v>
      </c>
      <c r="L43" s="199">
        <f t="shared" si="7"/>
        <v>-20087507.700000018</v>
      </c>
      <c r="M43" s="242">
        <f t="shared" si="0"/>
        <v>-22.133963394877838</v>
      </c>
      <c r="BM43" s="154"/>
      <c r="BN43" s="154"/>
      <c r="BO43" s="140"/>
      <c r="BP43" s="140"/>
      <c r="BQ43" s="140"/>
      <c r="BR43" s="139"/>
    </row>
    <row r="44" spans="1:70" ht="13.5" customHeight="1">
      <c r="B44" s="80">
        <v>417</v>
      </c>
      <c r="C44" s="93" t="s">
        <v>81</v>
      </c>
      <c r="D44" s="149">
        <v>6571640.7999999998</v>
      </c>
      <c r="E44" s="229">
        <f t="shared" si="1"/>
        <v>0.14272213703985231</v>
      </c>
      <c r="F44" s="149">
        <v>7386196.7650000006</v>
      </c>
      <c r="G44" s="237">
        <f t="shared" si="2"/>
        <v>0.16041256955152569</v>
      </c>
      <c r="H44" s="199">
        <f t="shared" si="3"/>
        <v>-814555.96500000078</v>
      </c>
      <c r="I44" s="242">
        <f t="shared" si="4"/>
        <v>-11.028083747509001</v>
      </c>
      <c r="J44" s="149">
        <v>6024481.5199999996</v>
      </c>
      <c r="K44" s="229">
        <f t="shared" si="5"/>
        <v>0.14013681135147707</v>
      </c>
      <c r="L44" s="199">
        <f t="shared" si="7"/>
        <v>547159.28000000026</v>
      </c>
      <c r="M44" s="242">
        <f t="shared" si="0"/>
        <v>9.0822633978301326</v>
      </c>
      <c r="BM44" s="154"/>
      <c r="BN44" s="154"/>
      <c r="BO44" s="140"/>
      <c r="BP44" s="140"/>
      <c r="BQ44" s="140"/>
      <c r="BR44" s="139"/>
    </row>
    <row r="45" spans="1:70" ht="13.5" customHeight="1">
      <c r="B45" s="80">
        <v>418</v>
      </c>
      <c r="C45" s="93" t="s">
        <v>83</v>
      </c>
      <c r="D45" s="149">
        <v>17985849.389999997</v>
      </c>
      <c r="E45" s="229">
        <f t="shared" si="1"/>
        <v>0.3906146028884786</v>
      </c>
      <c r="F45" s="149">
        <v>20188850.000000004</v>
      </c>
      <c r="G45" s="237">
        <f t="shared" si="2"/>
        <v>0.43845911608209365</v>
      </c>
      <c r="H45" s="199">
        <f t="shared" si="3"/>
        <v>-2203000.6100000069</v>
      </c>
      <c r="I45" s="242">
        <f t="shared" si="4"/>
        <v>-10.91196680345837</v>
      </c>
      <c r="J45" s="149">
        <v>14177222.120000001</v>
      </c>
      <c r="K45" s="229">
        <f t="shared" si="5"/>
        <v>0.3297795329146313</v>
      </c>
      <c r="L45" s="199">
        <f t="shared" si="7"/>
        <v>3808627.2699999958</v>
      </c>
      <c r="M45" s="242">
        <f t="shared" si="0"/>
        <v>26.864411361850031</v>
      </c>
      <c r="BM45" s="154"/>
      <c r="BN45" s="154"/>
      <c r="BO45" s="140"/>
      <c r="BP45" s="140"/>
      <c r="BQ45" s="140"/>
      <c r="BR45" s="139"/>
    </row>
    <row r="46" spans="1:70" ht="13.5" customHeight="1">
      <c r="B46" s="80">
        <v>419</v>
      </c>
      <c r="C46" s="93" t="s">
        <v>85</v>
      </c>
      <c r="D46" s="149">
        <v>24874566.18</v>
      </c>
      <c r="E46" s="229">
        <f t="shared" si="1"/>
        <v>0.5402229597133239</v>
      </c>
      <c r="F46" s="149">
        <v>27685960.703666668</v>
      </c>
      <c r="G46" s="237">
        <f t="shared" si="2"/>
        <v>0.60128050176276837</v>
      </c>
      <c r="H46" s="199">
        <f t="shared" si="3"/>
        <v>-2811394.5236666687</v>
      </c>
      <c r="I46" s="242">
        <f t="shared" si="4"/>
        <v>-10.154585400731037</v>
      </c>
      <c r="J46" s="149">
        <v>22083524.899999999</v>
      </c>
      <c r="K46" s="229">
        <f>+J45/$J$11*100</f>
        <v>0.3297795329146313</v>
      </c>
      <c r="L46" s="199">
        <f t="shared" si="7"/>
        <v>2791041.2800000012</v>
      </c>
      <c r="M46" s="242">
        <f t="shared" si="0"/>
        <v>12.638567858340409</v>
      </c>
      <c r="BM46" s="154"/>
      <c r="BN46" s="154"/>
      <c r="BO46" s="140"/>
      <c r="BP46" s="140"/>
      <c r="BQ46" s="140"/>
      <c r="BR46" s="139"/>
    </row>
    <row r="47" spans="1:70" ht="13.5" customHeight="1">
      <c r="B47" s="80">
        <v>441</v>
      </c>
      <c r="C47" s="93" t="s">
        <v>129</v>
      </c>
      <c r="D47" s="159">
        <v>28601843.670000006</v>
      </c>
      <c r="E47" s="232">
        <f t="shared" si="1"/>
        <v>0.62117154240416994</v>
      </c>
      <c r="F47" s="149">
        <v>35786230.340500005</v>
      </c>
      <c r="G47" s="237">
        <f t="shared" si="2"/>
        <v>0.7772012235964818</v>
      </c>
      <c r="H47" s="199">
        <f t="shared" si="3"/>
        <v>-7184386.6704999991</v>
      </c>
      <c r="I47" s="244">
        <f t="shared" si="4"/>
        <v>-20.075840909036131</v>
      </c>
      <c r="J47" s="149">
        <v>17831531.949999999</v>
      </c>
      <c r="K47" s="232">
        <f>+J46/$J$11*100</f>
        <v>0.51368980925796692</v>
      </c>
      <c r="L47" s="199">
        <f t="shared" si="7"/>
        <v>10770311.720000006</v>
      </c>
      <c r="M47" s="244">
        <f t="shared" si="0"/>
        <v>60.400372498561495</v>
      </c>
      <c r="BM47" s="154"/>
      <c r="BN47" s="154"/>
      <c r="BO47" s="140"/>
      <c r="BP47" s="140"/>
      <c r="BQ47" s="140"/>
      <c r="BR47" s="139"/>
    </row>
    <row r="48" spans="1:70" ht="13.5" customHeight="1">
      <c r="A48" s="80">
        <v>42</v>
      </c>
      <c r="B48" s="80">
        <v>42</v>
      </c>
      <c r="C48" s="93" t="s">
        <v>86</v>
      </c>
      <c r="D48" s="149">
        <f>+SUM(D49:D53)</f>
        <v>401669394.23999995</v>
      </c>
      <c r="E48" s="229">
        <f t="shared" si="1"/>
        <v>8.7234095827994338</v>
      </c>
      <c r="F48" s="149">
        <f>+SUM(F49:F53)</f>
        <v>415437538.44000006</v>
      </c>
      <c r="G48" s="237">
        <f t="shared" si="2"/>
        <v>9.0224245507655567</v>
      </c>
      <c r="H48" s="197">
        <f t="shared" si="3"/>
        <v>-13768144.200000107</v>
      </c>
      <c r="I48" s="242">
        <f t="shared" si="4"/>
        <v>-3.3141309886681256</v>
      </c>
      <c r="J48" s="149">
        <f>+SUM(J49:J53)</f>
        <v>404518986.80000001</v>
      </c>
      <c r="K48" s="229">
        <f t="shared" si="5"/>
        <v>9.4096065782740173</v>
      </c>
      <c r="L48" s="197">
        <f t="shared" si="7"/>
        <v>-2849592.560000062</v>
      </c>
      <c r="M48" s="242">
        <f t="shared" si="0"/>
        <v>-0.7044397551131425</v>
      </c>
      <c r="BM48" s="154"/>
      <c r="BN48" s="154"/>
      <c r="BO48" s="140"/>
      <c r="BP48" s="140"/>
      <c r="BQ48" s="140"/>
      <c r="BR48" s="139"/>
    </row>
    <row r="49" spans="1:70" ht="13.5" customHeight="1">
      <c r="B49" s="80">
        <v>421</v>
      </c>
      <c r="C49" s="97" t="s">
        <v>88</v>
      </c>
      <c r="D49" s="151">
        <v>57665219.339999996</v>
      </c>
      <c r="E49" s="230">
        <f t="shared" si="1"/>
        <v>1.2523665835595612</v>
      </c>
      <c r="F49" s="151">
        <v>60602520.977499999</v>
      </c>
      <c r="G49" s="238">
        <f t="shared" si="2"/>
        <v>1.3161585617873819</v>
      </c>
      <c r="H49" s="200">
        <f t="shared" si="3"/>
        <v>-2937301.637500003</v>
      </c>
      <c r="I49" s="243">
        <f t="shared" si="4"/>
        <v>-4.8468307755555884</v>
      </c>
      <c r="J49" s="292">
        <v>78093891.189999998</v>
      </c>
      <c r="K49" s="230">
        <f t="shared" si="5"/>
        <v>1.8165594601070016</v>
      </c>
      <c r="L49" s="200">
        <f t="shared" si="7"/>
        <v>-20428671.850000001</v>
      </c>
      <c r="M49" s="243">
        <f t="shared" si="0"/>
        <v>-26.159116338943448</v>
      </c>
      <c r="BM49" s="154"/>
      <c r="BN49" s="154"/>
      <c r="BO49" s="140"/>
      <c r="BP49" s="140"/>
      <c r="BQ49" s="140"/>
      <c r="BR49" s="139"/>
    </row>
    <row r="50" spans="1:70" ht="13.5" customHeight="1">
      <c r="B50" s="80">
        <v>422</v>
      </c>
      <c r="C50" s="97" t="s">
        <v>90</v>
      </c>
      <c r="D50" s="151">
        <v>8986781.6399999987</v>
      </c>
      <c r="E50" s="230">
        <f t="shared" si="1"/>
        <v>0.1951738872841785</v>
      </c>
      <c r="F50" s="151">
        <v>14524099.640000001</v>
      </c>
      <c r="G50" s="238">
        <f t="shared" si="2"/>
        <v>0.31543272103377129</v>
      </c>
      <c r="H50" s="200">
        <f t="shared" si="3"/>
        <v>-5537318.0000000019</v>
      </c>
      <c r="I50" s="243">
        <f t="shared" si="4"/>
        <v>-38.125034509884436</v>
      </c>
      <c r="J50" s="292">
        <v>8745055.0100000016</v>
      </c>
      <c r="K50" s="230">
        <f t="shared" si="5"/>
        <v>0.20342067946033962</v>
      </c>
      <c r="L50" s="200">
        <f t="shared" si="7"/>
        <v>241726.62999999709</v>
      </c>
      <c r="M50" s="243">
        <f t="shared" si="0"/>
        <v>2.7641521948527696</v>
      </c>
      <c r="BM50" s="154"/>
      <c r="BN50" s="154"/>
      <c r="BO50" s="140"/>
      <c r="BP50" s="140"/>
      <c r="BQ50" s="140"/>
      <c r="BR50" s="139"/>
    </row>
    <row r="51" spans="1:70" ht="13.5" customHeight="1">
      <c r="B51" s="80">
        <v>423</v>
      </c>
      <c r="C51" s="97" t="s">
        <v>92</v>
      </c>
      <c r="D51" s="151">
        <v>311063911.84999996</v>
      </c>
      <c r="E51" s="230">
        <f t="shared" si="1"/>
        <v>6.755650165055922</v>
      </c>
      <c r="F51" s="151">
        <v>319254592.82250005</v>
      </c>
      <c r="G51" s="238">
        <f t="shared" si="2"/>
        <v>6.9335344298512336</v>
      </c>
      <c r="H51" s="200">
        <f t="shared" si="3"/>
        <v>-8190680.9725000858</v>
      </c>
      <c r="I51" s="243">
        <f t="shared" si="4"/>
        <v>-2.5655640221451677</v>
      </c>
      <c r="J51" s="292">
        <v>299456467.99000001</v>
      </c>
      <c r="K51" s="230">
        <f t="shared" si="5"/>
        <v>6.9657238425215162</v>
      </c>
      <c r="L51" s="200">
        <f t="shared" si="7"/>
        <v>11607443.859999955</v>
      </c>
      <c r="M51" s="243">
        <f t="shared" si="0"/>
        <v>3.8761706961652749</v>
      </c>
      <c r="BM51" s="154"/>
      <c r="BN51" s="154"/>
      <c r="BO51" s="140"/>
      <c r="BP51" s="140"/>
      <c r="BQ51" s="140"/>
      <c r="BR51" s="139"/>
    </row>
    <row r="52" spans="1:70" ht="13.5" customHeight="1">
      <c r="B52" s="80">
        <v>424</v>
      </c>
      <c r="C52" s="97" t="s">
        <v>94</v>
      </c>
      <c r="D52" s="151">
        <v>13953541.960000001</v>
      </c>
      <c r="E52" s="230">
        <f t="shared" si="1"/>
        <v>0.30304141513736566</v>
      </c>
      <c r="F52" s="151">
        <v>13000074.999999998</v>
      </c>
      <c r="G52" s="238">
        <f t="shared" si="2"/>
        <v>0.28233412965577148</v>
      </c>
      <c r="H52" s="200">
        <f t="shared" si="3"/>
        <v>953466.96000000276</v>
      </c>
      <c r="I52" s="243">
        <f t="shared" si="4"/>
        <v>7.3343189173908883</v>
      </c>
      <c r="J52" s="292">
        <v>11828387.91</v>
      </c>
      <c r="K52" s="230">
        <f t="shared" si="5"/>
        <v>0.2751427752965806</v>
      </c>
      <c r="L52" s="200">
        <f t="shared" si="7"/>
        <v>2125154.0500000007</v>
      </c>
      <c r="M52" s="243">
        <f t="shared" si="0"/>
        <v>17.966556949010311</v>
      </c>
      <c r="BM52" s="154"/>
      <c r="BN52" s="154"/>
      <c r="BO52" s="140"/>
      <c r="BP52" s="140"/>
      <c r="BQ52" s="140"/>
      <c r="BR52" s="139"/>
    </row>
    <row r="53" spans="1:70" ht="13.5" customHeight="1">
      <c r="B53" s="80">
        <v>425</v>
      </c>
      <c r="C53" s="97" t="s">
        <v>431</v>
      </c>
      <c r="D53" s="151">
        <v>9999939.4499999993</v>
      </c>
      <c r="E53" s="230">
        <f t="shared" si="1"/>
        <v>0.21717753176240634</v>
      </c>
      <c r="F53" s="151">
        <v>8056250</v>
      </c>
      <c r="G53" s="238">
        <f t="shared" si="2"/>
        <v>0.1749647084373982</v>
      </c>
      <c r="H53" s="200">
        <f t="shared" si="3"/>
        <v>1943689.4499999993</v>
      </c>
      <c r="I53" s="243">
        <f t="shared" si="4"/>
        <v>24.126478820791306</v>
      </c>
      <c r="J53" s="292">
        <v>6395184.7000000002</v>
      </c>
      <c r="K53" s="230">
        <f t="shared" si="5"/>
        <v>0.14875982088857875</v>
      </c>
      <c r="L53" s="200">
        <f t="shared" si="7"/>
        <v>3604754.7499999991</v>
      </c>
      <c r="M53" s="243">
        <f t="shared" si="0"/>
        <v>56.366702747459328</v>
      </c>
      <c r="BM53" s="154"/>
      <c r="BN53" s="154"/>
      <c r="BO53" s="140"/>
      <c r="BP53" s="140"/>
      <c r="BQ53" s="140"/>
      <c r="BR53" s="139"/>
    </row>
    <row r="54" spans="1:70" ht="13.5" customHeight="1">
      <c r="A54" s="80">
        <v>43</v>
      </c>
      <c r="B54" s="80">
        <v>431</v>
      </c>
      <c r="C54" s="93" t="s">
        <v>432</v>
      </c>
      <c r="D54" s="149">
        <f>SUM(D55:D56)</f>
        <v>140853558.19</v>
      </c>
      <c r="E54" s="229">
        <f t="shared" si="1"/>
        <v>3.0590413332609403</v>
      </c>
      <c r="F54" s="149">
        <f>SUM(F55:F56)</f>
        <v>149892329.01999998</v>
      </c>
      <c r="G54" s="237">
        <f t="shared" si="2"/>
        <v>3.2553443157780428</v>
      </c>
      <c r="H54" s="197">
        <f t="shared" si="3"/>
        <v>-9038770.8299999833</v>
      </c>
      <c r="I54" s="242">
        <f t="shared" si="4"/>
        <v>-6.0301757195286143</v>
      </c>
      <c r="J54" s="149">
        <f>SUM(J55:J56)</f>
        <v>112591192.36999999</v>
      </c>
      <c r="K54" s="229">
        <f t="shared" si="5"/>
        <v>2.6190088943940451</v>
      </c>
      <c r="L54" s="197">
        <f t="shared" si="7"/>
        <v>28262365.820000008</v>
      </c>
      <c r="M54" s="242">
        <f t="shared" si="0"/>
        <v>25.10175549711164</v>
      </c>
      <c r="BM54" s="154"/>
      <c r="BN54" s="154"/>
      <c r="BO54" s="140"/>
      <c r="BP54" s="140"/>
      <c r="BQ54" s="140"/>
      <c r="BR54" s="139"/>
    </row>
    <row r="55" spans="1:70" ht="13.5" customHeight="1">
      <c r="C55" s="227" t="s">
        <v>432</v>
      </c>
      <c r="D55" s="290">
        <v>136914945.40000001</v>
      </c>
      <c r="E55" s="229">
        <f t="shared" si="1"/>
        <v>2.9735029948962972</v>
      </c>
      <c r="F55" s="280">
        <v>145553573.88999999</v>
      </c>
      <c r="G55" s="237">
        <f t="shared" si="2"/>
        <v>3.1611157322184815</v>
      </c>
      <c r="H55" s="287">
        <f t="shared" si="3"/>
        <v>-8638628.4899999797</v>
      </c>
      <c r="I55" s="286">
        <f t="shared" si="4"/>
        <v>-5.9350164060749933</v>
      </c>
      <c r="J55" s="280">
        <v>110929068.98999999</v>
      </c>
      <c r="K55" s="229">
        <f t="shared" si="5"/>
        <v>2.5803458709002092</v>
      </c>
      <c r="L55" s="287">
        <f t="shared" si="7"/>
        <v>25985876.410000011</v>
      </c>
      <c r="M55" s="286">
        <f t="shared" si="0"/>
        <v>23.425668895087</v>
      </c>
      <c r="BM55" s="154"/>
      <c r="BN55" s="154"/>
      <c r="BO55" s="140"/>
      <c r="BP55" s="140"/>
      <c r="BQ55" s="140"/>
      <c r="BR55" s="139"/>
    </row>
    <row r="56" spans="1:70" ht="13.5" customHeight="1" thickBot="1">
      <c r="C56" s="227" t="s">
        <v>459</v>
      </c>
      <c r="D56" s="291">
        <v>3938612.79</v>
      </c>
      <c r="E56" s="229">
        <f t="shared" si="1"/>
        <v>8.5538338364643279E-2</v>
      </c>
      <c r="F56" s="280">
        <v>4338755.13</v>
      </c>
      <c r="G56" s="237">
        <f t="shared" si="2"/>
        <v>9.4228583559561291E-2</v>
      </c>
      <c r="H56" s="287">
        <f t="shared" si="3"/>
        <v>-400142.33999999985</v>
      </c>
      <c r="I56" s="286">
        <f t="shared" si="4"/>
        <v>-9.2225149382882989</v>
      </c>
      <c r="J56" s="280">
        <v>1662123.38</v>
      </c>
      <c r="K56" s="229">
        <f t="shared" si="5"/>
        <v>3.8663023493835776E-2</v>
      </c>
      <c r="L56" s="287">
        <f t="shared" si="7"/>
        <v>2276489.41</v>
      </c>
      <c r="M56" s="286">
        <f t="shared" si="0"/>
        <v>136.9627211428793</v>
      </c>
      <c r="BM56" s="154"/>
      <c r="BN56" s="154"/>
      <c r="BO56" s="140"/>
      <c r="BP56" s="140"/>
      <c r="BQ56" s="140"/>
      <c r="BR56" s="139"/>
    </row>
    <row r="57" spans="1:70" ht="13.5" customHeight="1" thickTop="1" thickBot="1">
      <c r="B57" s="80">
        <v>44</v>
      </c>
      <c r="C57" s="90" t="s">
        <v>130</v>
      </c>
      <c r="D57" s="281">
        <v>144549563.39999998</v>
      </c>
      <c r="E57" s="231">
        <f t="shared" si="1"/>
        <v>3.1393107481811269</v>
      </c>
      <c r="F57" s="155">
        <v>209128750</v>
      </c>
      <c r="G57" s="236">
        <f t="shared" si="2"/>
        <v>4.5418340753610602</v>
      </c>
      <c r="H57" s="155">
        <f t="shared" si="3"/>
        <v>-64579186.600000024</v>
      </c>
      <c r="I57" s="231">
        <f t="shared" si="4"/>
        <v>-30.880109310651932</v>
      </c>
      <c r="J57" s="155">
        <v>101068760.10000001</v>
      </c>
      <c r="K57" s="231">
        <f t="shared" si="5"/>
        <v>2.3509830216329379</v>
      </c>
      <c r="L57" s="155">
        <f>+D57-J57</f>
        <v>43480803.299999967</v>
      </c>
      <c r="M57" s="231">
        <f t="shared" si="0"/>
        <v>43.021011890300201</v>
      </c>
      <c r="BM57" s="154"/>
      <c r="BN57" s="154"/>
      <c r="BO57" s="140"/>
      <c r="BP57" s="140"/>
      <c r="BQ57" s="140"/>
      <c r="BR57" s="139"/>
    </row>
    <row r="58" spans="1:70" ht="13.5" customHeight="1" thickTop="1">
      <c r="B58" s="80">
        <v>451</v>
      </c>
      <c r="C58" s="93" t="s">
        <v>110</v>
      </c>
      <c r="D58" s="149">
        <v>1944281</v>
      </c>
      <c r="E58" s="229">
        <f t="shared" si="1"/>
        <v>4.2225670539689439E-2</v>
      </c>
      <c r="F58" s="149">
        <v>2156250.75</v>
      </c>
      <c r="G58" s="237">
        <f t="shared" si="2"/>
        <v>4.6829205125420784E-2</v>
      </c>
      <c r="H58" s="199">
        <f t="shared" si="3"/>
        <v>-211969.75</v>
      </c>
      <c r="I58" s="242">
        <f t="shared" si="4"/>
        <v>-9.8304777401236834</v>
      </c>
      <c r="J58" s="149">
        <v>1144216.67</v>
      </c>
      <c r="K58" s="229">
        <f t="shared" si="5"/>
        <v>2.6615879739474296E-2</v>
      </c>
      <c r="L58" s="149">
        <f t="shared" si="7"/>
        <v>800064.33000000007</v>
      </c>
      <c r="M58" s="242">
        <f t="shared" si="0"/>
        <v>69.922450089806858</v>
      </c>
      <c r="BM58" s="154"/>
      <c r="BN58" s="154"/>
      <c r="BO58" s="140"/>
      <c r="BP58" s="140"/>
      <c r="BQ58" s="140"/>
      <c r="BR58" s="139"/>
    </row>
    <row r="59" spans="1:70" ht="13.5" customHeight="1" thickBot="1">
      <c r="B59" s="80">
        <v>47</v>
      </c>
      <c r="C59" s="93" t="s">
        <v>117</v>
      </c>
      <c r="D59" s="149">
        <v>12677161.970000001</v>
      </c>
      <c r="E59" s="229">
        <f t="shared" si="1"/>
        <v>0.27532114170919753</v>
      </c>
      <c r="F59" s="149">
        <v>13465833.799000002</v>
      </c>
      <c r="G59" s="237">
        <f t="shared" si="2"/>
        <v>0.29244942554023245</v>
      </c>
      <c r="H59" s="199">
        <f t="shared" si="3"/>
        <v>-788671.82900000177</v>
      </c>
      <c r="I59" s="242">
        <f t="shared" si="4"/>
        <v>-5.8568362031808903</v>
      </c>
      <c r="J59" s="149">
        <v>9936960.3900000006</v>
      </c>
      <c r="K59" s="229">
        <f t="shared" si="5"/>
        <v>0.23114585694347525</v>
      </c>
      <c r="L59" s="149">
        <f t="shared" si="7"/>
        <v>2740201.58</v>
      </c>
      <c r="M59" s="242">
        <f t="shared" si="0"/>
        <v>27.575852901231102</v>
      </c>
      <c r="BM59" s="154"/>
      <c r="BN59" s="154"/>
      <c r="BO59" s="140"/>
      <c r="BP59" s="140"/>
      <c r="BQ59" s="140"/>
      <c r="BR59" s="139"/>
    </row>
    <row r="60" spans="1:70" ht="13.5" customHeight="1" thickTop="1" thickBot="1">
      <c r="B60" s="80">
        <v>462</v>
      </c>
      <c r="C60" s="143" t="s">
        <v>112</v>
      </c>
      <c r="D60" s="156">
        <v>0</v>
      </c>
      <c r="E60" s="233">
        <f t="shared" si="1"/>
        <v>0</v>
      </c>
      <c r="F60" s="156">
        <v>0</v>
      </c>
      <c r="G60" s="239">
        <f t="shared" si="2"/>
        <v>0</v>
      </c>
      <c r="H60" s="201">
        <f t="shared" si="3"/>
        <v>0</v>
      </c>
      <c r="I60" s="245" t="str">
        <f t="shared" si="4"/>
        <v>...</v>
      </c>
      <c r="J60" s="156">
        <v>0</v>
      </c>
      <c r="K60" s="233">
        <f t="shared" si="5"/>
        <v>0</v>
      </c>
      <c r="L60" s="156">
        <f t="shared" si="7"/>
        <v>0</v>
      </c>
      <c r="M60" s="245" t="str">
        <f t="shared" ref="M60:M74" si="8">+IF(ISNUMBER(D60/J60*100-100),D60/J60*100-100,"...")</f>
        <v>...</v>
      </c>
      <c r="BM60" s="154"/>
      <c r="BN60" s="154"/>
      <c r="BO60" s="140"/>
      <c r="BP60" s="140"/>
      <c r="BQ60" s="140"/>
      <c r="BR60" s="139"/>
    </row>
    <row r="61" spans="1:70" ht="13.5" customHeight="1" thickTop="1" thickBot="1">
      <c r="B61" s="282" t="s">
        <v>447</v>
      </c>
      <c r="C61" s="203" t="s">
        <v>446</v>
      </c>
      <c r="D61" s="204">
        <v>18087878.260000002</v>
      </c>
      <c r="E61" s="234">
        <f t="shared" si="1"/>
        <v>0.39283045412096868</v>
      </c>
      <c r="F61" s="204">
        <v>0</v>
      </c>
      <c r="G61" s="240">
        <f t="shared" si="2"/>
        <v>0</v>
      </c>
      <c r="H61" s="205">
        <f>+D61-F61</f>
        <v>18087878.260000002</v>
      </c>
      <c r="I61" s="246" t="str">
        <f>+IF(ISNUMBER(D61/F61*100-100),D61/F61*100-100,"...")</f>
        <v>...</v>
      </c>
      <c r="J61" s="204">
        <v>32593377.890000001</v>
      </c>
      <c r="K61" s="234">
        <f>+J61/$J$11*100</f>
        <v>0.75816184903465922</v>
      </c>
      <c r="L61" s="205">
        <f>+D61-J61</f>
        <v>-14505499.629999999</v>
      </c>
      <c r="M61" s="245">
        <f t="shared" si="8"/>
        <v>-44.504437922804073</v>
      </c>
      <c r="BM61" s="154"/>
      <c r="BN61" s="154"/>
      <c r="BO61" s="140"/>
      <c r="BP61" s="140"/>
      <c r="BQ61" s="140"/>
      <c r="BR61" s="139"/>
    </row>
    <row r="62" spans="1:70" ht="13.5" customHeight="1" thickTop="1" thickBot="1">
      <c r="B62" s="80">
        <v>990</v>
      </c>
      <c r="C62" s="192" t="s">
        <v>151</v>
      </c>
      <c r="D62" s="149">
        <v>0</v>
      </c>
      <c r="E62" s="229">
        <f t="shared" si="1"/>
        <v>0</v>
      </c>
      <c r="F62" s="149">
        <v>0</v>
      </c>
      <c r="G62" s="237">
        <f t="shared" si="2"/>
        <v>0</v>
      </c>
      <c r="H62" s="199">
        <f t="shared" si="3"/>
        <v>0</v>
      </c>
      <c r="I62" s="247" t="str">
        <f t="shared" si="4"/>
        <v>...</v>
      </c>
      <c r="J62" s="149">
        <v>0</v>
      </c>
      <c r="K62" s="229">
        <f t="shared" si="5"/>
        <v>0</v>
      </c>
      <c r="L62" s="149">
        <f t="shared" si="7"/>
        <v>0</v>
      </c>
      <c r="M62" s="245" t="str">
        <f t="shared" si="8"/>
        <v>...</v>
      </c>
      <c r="BM62" s="154"/>
      <c r="BN62" s="154"/>
      <c r="BO62" s="140"/>
      <c r="BP62" s="140"/>
      <c r="BQ62" s="140"/>
      <c r="BR62" s="139"/>
    </row>
    <row r="63" spans="1:70" ht="13.5" customHeight="1" thickTop="1" thickBot="1">
      <c r="C63" s="90" t="s">
        <v>443</v>
      </c>
      <c r="D63" s="91">
        <f>+D16-D35</f>
        <v>-25335453.289999962</v>
      </c>
      <c r="E63" s="231">
        <f>+D63/$D$11*100</f>
        <v>-0.55023245281789468</v>
      </c>
      <c r="F63" s="91">
        <f>+F16-F35</f>
        <v>-102383634.4841435</v>
      </c>
      <c r="G63" s="236">
        <f t="shared" si="2"/>
        <v>-2.2235559666444455</v>
      </c>
      <c r="H63" s="91">
        <f t="shared" si="3"/>
        <v>77048181.194143534</v>
      </c>
      <c r="I63" s="231">
        <f t="shared" si="4"/>
        <v>-75.254391565945298</v>
      </c>
      <c r="J63" s="91">
        <f>+J16-J35-J62</f>
        <v>-102660406.61999989</v>
      </c>
      <c r="K63" s="231">
        <f t="shared" si="5"/>
        <v>-2.3880066671318882</v>
      </c>
      <c r="L63" s="91">
        <f>+D63-J63</f>
        <v>77324953.329999924</v>
      </c>
      <c r="M63" s="231">
        <f t="shared" si="8"/>
        <v>-75.32110564905534</v>
      </c>
      <c r="BM63" s="154"/>
      <c r="BN63" s="154"/>
      <c r="BO63" s="140"/>
      <c r="BP63" s="140"/>
      <c r="BQ63" s="140"/>
      <c r="BR63" s="139"/>
    </row>
    <row r="64" spans="1:70" ht="13.5" customHeight="1" thickTop="1" thickBot="1">
      <c r="C64" s="90" t="s">
        <v>470</v>
      </c>
      <c r="D64" s="91">
        <f>+D63+D43</f>
        <v>45331267.440000042</v>
      </c>
      <c r="E64" s="231">
        <f t="shared" si="1"/>
        <v>0.98449923857096411</v>
      </c>
      <c r="F64" s="91">
        <f>+F63+F43</f>
        <v>-37786609.484143496</v>
      </c>
      <c r="G64" s="236">
        <f t="shared" si="2"/>
        <v>-0.82064522715047228</v>
      </c>
      <c r="H64" s="91">
        <f t="shared" si="3"/>
        <v>83117876.924143538</v>
      </c>
      <c r="I64" s="231">
        <f t="shared" si="4"/>
        <v>-219.96648563831198</v>
      </c>
      <c r="J64" s="91">
        <f>+J63+J43</f>
        <v>-11906178.189999864</v>
      </c>
      <c r="K64" s="231">
        <f t="shared" si="5"/>
        <v>-0.2769522723889245</v>
      </c>
      <c r="L64" s="91">
        <f t="shared" si="7"/>
        <v>57237445.629999906</v>
      </c>
      <c r="M64" s="231">
        <f t="shared" si="8"/>
        <v>-480.7373509500664</v>
      </c>
      <c r="BM64" s="154"/>
      <c r="BN64" s="154"/>
      <c r="BO64" s="140"/>
      <c r="BP64" s="140"/>
      <c r="BQ64" s="140"/>
      <c r="BR64" s="139"/>
    </row>
    <row r="65" spans="2:70" ht="13.5" customHeight="1" thickTop="1" thickBot="1">
      <c r="C65" s="90" t="s">
        <v>449</v>
      </c>
      <c r="D65" s="91">
        <f>+SUM(D66:D67)</f>
        <v>307396456.85000002</v>
      </c>
      <c r="E65" s="231">
        <f t="shared" si="1"/>
        <v>6.6760008003040507</v>
      </c>
      <c r="F65" s="91">
        <f>+SUM(F66:F68)</f>
        <v>137963096.36461246</v>
      </c>
      <c r="G65" s="236">
        <f t="shared" si="2"/>
        <v>2.9962666166709191</v>
      </c>
      <c r="H65" s="91">
        <f t="shared" si="3"/>
        <v>169433360.48538756</v>
      </c>
      <c r="I65" s="231">
        <f t="shared" si="4"/>
        <v>122.81063918542731</v>
      </c>
      <c r="J65" s="91">
        <f>+SUM(J66:J67)</f>
        <v>315606632.80000007</v>
      </c>
      <c r="K65" s="231">
        <f t="shared" si="5"/>
        <v>7.3413964363805553</v>
      </c>
      <c r="L65" s="91">
        <f t="shared" si="7"/>
        <v>-8210175.9500000477</v>
      </c>
      <c r="M65" s="231">
        <f t="shared" si="8"/>
        <v>-2.6013952486235752</v>
      </c>
      <c r="BM65" s="154"/>
      <c r="BN65" s="154"/>
      <c r="BO65" s="140"/>
      <c r="BP65" s="140"/>
      <c r="BQ65" s="140"/>
      <c r="BR65" s="139"/>
    </row>
    <row r="66" spans="2:70" ht="13.5" customHeight="1" thickTop="1">
      <c r="B66" s="80">
        <v>4611</v>
      </c>
      <c r="C66" s="97" t="s">
        <v>450</v>
      </c>
      <c r="D66" s="151">
        <v>229527212.72</v>
      </c>
      <c r="E66" s="230">
        <f t="shared" si="1"/>
        <v>4.9848455363231619</v>
      </c>
      <c r="F66" s="151">
        <v>36141933.899999999</v>
      </c>
      <c r="G66" s="238">
        <f t="shared" si="2"/>
        <v>0.7849263524812683</v>
      </c>
      <c r="H66" s="200">
        <f t="shared" si="3"/>
        <v>193385278.81999999</v>
      </c>
      <c r="I66" s="243">
        <f t="shared" si="4"/>
        <v>535.07175170833898</v>
      </c>
      <c r="J66" s="151">
        <v>205653797.18000001</v>
      </c>
      <c r="K66" s="230">
        <f t="shared" si="5"/>
        <v>4.7837589481274714</v>
      </c>
      <c r="L66" s="200">
        <f t="shared" si="7"/>
        <v>23873415.539999992</v>
      </c>
      <c r="M66" s="243">
        <f t="shared" si="8"/>
        <v>11.608545948268883</v>
      </c>
      <c r="BM66" s="154"/>
      <c r="BN66" s="154"/>
      <c r="BO66" s="140"/>
      <c r="BP66" s="140"/>
      <c r="BQ66" s="140"/>
      <c r="BR66" s="139"/>
    </row>
    <row r="67" spans="2:70" ht="13.5" customHeight="1">
      <c r="B67" s="80">
        <v>4612</v>
      </c>
      <c r="C67" s="97" t="s">
        <v>451</v>
      </c>
      <c r="D67" s="151">
        <v>77869244.129999995</v>
      </c>
      <c r="E67" s="230">
        <f t="shared" si="1"/>
        <v>1.6911552639808882</v>
      </c>
      <c r="F67" s="151">
        <v>80514041.214612454</v>
      </c>
      <c r="G67" s="238">
        <f t="shared" si="2"/>
        <v>1.7485946620612975</v>
      </c>
      <c r="H67" s="200">
        <f t="shared" si="3"/>
        <v>-2644797.0846124589</v>
      </c>
      <c r="I67" s="243">
        <f t="shared" si="4"/>
        <v>-3.2848892500162492</v>
      </c>
      <c r="J67" s="151">
        <v>109952835.62000003</v>
      </c>
      <c r="K67" s="230">
        <f t="shared" si="5"/>
        <v>2.557637488253083</v>
      </c>
      <c r="L67" s="200">
        <f t="shared" si="7"/>
        <v>-32083591.490000039</v>
      </c>
      <c r="M67" s="243">
        <f t="shared" si="8"/>
        <v>-29.17941252636885</v>
      </c>
      <c r="BM67" s="154"/>
      <c r="BN67" s="154"/>
      <c r="BO67" s="140"/>
      <c r="BP67" s="140"/>
      <c r="BQ67" s="140"/>
      <c r="BR67" s="139"/>
    </row>
    <row r="68" spans="2:70" ht="13.5" customHeight="1" thickBot="1">
      <c r="B68" s="80" t="s">
        <v>448</v>
      </c>
      <c r="C68" s="97" t="s">
        <v>446</v>
      </c>
      <c r="D68" s="151">
        <v>0</v>
      </c>
      <c r="E68" s="230">
        <f t="shared" si="1"/>
        <v>0</v>
      </c>
      <c r="F68" s="283">
        <v>21307121.25</v>
      </c>
      <c r="G68" s="238">
        <f t="shared" si="2"/>
        <v>0.46274560212835275</v>
      </c>
      <c r="H68" s="200">
        <f t="shared" si="3"/>
        <v>-21307121.25</v>
      </c>
      <c r="I68" s="243">
        <f t="shared" si="4"/>
        <v>-100</v>
      </c>
      <c r="J68" s="151">
        <v>0</v>
      </c>
      <c r="K68" s="230">
        <f t="shared" si="5"/>
        <v>0</v>
      </c>
      <c r="L68" s="200">
        <f t="shared" si="7"/>
        <v>0</v>
      </c>
      <c r="M68" s="243" t="str">
        <f t="shared" si="8"/>
        <v>...</v>
      </c>
      <c r="BM68" s="154"/>
      <c r="BN68" s="154"/>
      <c r="BO68" s="140"/>
      <c r="BP68" s="140"/>
      <c r="BQ68" s="140"/>
      <c r="BR68" s="139"/>
    </row>
    <row r="69" spans="2:70" ht="13.5" customHeight="1" thickTop="1" thickBot="1">
      <c r="C69" s="90" t="s">
        <v>467</v>
      </c>
      <c r="D69" s="91">
        <v>68939595.359999999</v>
      </c>
      <c r="E69" s="231">
        <f t="shared" si="1"/>
        <v>1.4972221817786946</v>
      </c>
      <c r="F69" s="91">
        <v>70000000</v>
      </c>
      <c r="G69" s="236">
        <f t="shared" si="2"/>
        <v>1.5202519274622652</v>
      </c>
      <c r="H69" s="91">
        <f t="shared" si="3"/>
        <v>-1060404.6400000006</v>
      </c>
      <c r="I69" s="231">
        <f t="shared" si="4"/>
        <v>-1.5148637714285798</v>
      </c>
      <c r="J69" s="91">
        <v>0</v>
      </c>
      <c r="K69" s="231">
        <f t="shared" si="5"/>
        <v>0</v>
      </c>
      <c r="L69" s="91">
        <f t="shared" si="7"/>
        <v>68939595.359999999</v>
      </c>
      <c r="M69" s="231" t="str">
        <f t="shared" si="8"/>
        <v>...</v>
      </c>
      <c r="BM69" s="154"/>
      <c r="BN69" s="154"/>
      <c r="BO69" s="140"/>
      <c r="BP69" s="140"/>
      <c r="BQ69" s="140"/>
      <c r="BR69" s="139"/>
    </row>
    <row r="70" spans="2:70" ht="13.5" customHeight="1" thickTop="1" thickBot="1">
      <c r="C70" s="90" t="s">
        <v>140</v>
      </c>
      <c r="D70" s="91">
        <f>+D63-D65-D69</f>
        <v>-401671505.5</v>
      </c>
      <c r="E70" s="231">
        <f t="shared" si="1"/>
        <v>-8.7234554349006412</v>
      </c>
      <c r="F70" s="91">
        <f>+F63-F65-F69</f>
        <v>-310346730.84875596</v>
      </c>
      <c r="G70" s="236">
        <f t="shared" si="2"/>
        <v>-6.7400745107776299</v>
      </c>
      <c r="H70" s="91">
        <f>+D70-F70</f>
        <v>-91324774.651244044</v>
      </c>
      <c r="I70" s="231">
        <f t="shared" ref="I70:I74" si="9">+IF(ISNUMBER(D70/F70*100-100),D70/F70*100-100,"...")</f>
        <v>29.426691365970981</v>
      </c>
      <c r="J70" s="91">
        <f>+J63-J65-J69</f>
        <v>-418267039.41999996</v>
      </c>
      <c r="K70" s="231">
        <f t="shared" ref="K70:K75" si="10">+J70/$J$11*100</f>
        <v>-9.7294031035124426</v>
      </c>
      <c r="L70" s="91">
        <f t="shared" si="7"/>
        <v>16595533.919999957</v>
      </c>
      <c r="M70" s="231">
        <f t="shared" si="8"/>
        <v>-3.9676886667934781</v>
      </c>
      <c r="BM70" s="154"/>
      <c r="BN70" s="154"/>
      <c r="BO70" s="140"/>
      <c r="BP70" s="140"/>
      <c r="BQ70" s="140"/>
      <c r="BR70" s="139"/>
    </row>
    <row r="71" spans="2:70" ht="13.5" customHeight="1" thickTop="1" thickBot="1">
      <c r="C71" s="90" t="s">
        <v>120</v>
      </c>
      <c r="D71" s="91">
        <f>+SUM(D72:D75)</f>
        <v>401671505.5</v>
      </c>
      <c r="E71" s="231">
        <f t="shared" si="1"/>
        <v>8.7234554349006412</v>
      </c>
      <c r="F71" s="91">
        <f>+SUM(F72:F75)</f>
        <v>310346730.84875596</v>
      </c>
      <c r="G71" s="236">
        <f t="shared" si="2"/>
        <v>6.7400745107776299</v>
      </c>
      <c r="H71" s="91">
        <f t="shared" ref="H71:H75" si="11">+D71-F71</f>
        <v>91324774.651244044</v>
      </c>
      <c r="I71" s="231">
        <f t="shared" si="9"/>
        <v>29.426691365970981</v>
      </c>
      <c r="J71" s="91">
        <f>+SUM(J72:J75)</f>
        <v>418267039.41999996</v>
      </c>
      <c r="K71" s="231">
        <f t="shared" si="10"/>
        <v>9.7294031035124426</v>
      </c>
      <c r="L71" s="91">
        <f>+SUM(L72:L75)</f>
        <v>-16595533.919999957</v>
      </c>
      <c r="M71" s="231">
        <f t="shared" si="8"/>
        <v>-3.9676886667934781</v>
      </c>
      <c r="BM71" s="154"/>
      <c r="BN71" s="154"/>
      <c r="BO71" s="140"/>
      <c r="BP71" s="140"/>
      <c r="BQ71" s="140"/>
      <c r="BR71" s="139"/>
    </row>
    <row r="72" spans="2:70" ht="13.5" customHeight="1" thickTop="1">
      <c r="B72" s="80">
        <v>7511</v>
      </c>
      <c r="C72" s="97" t="s">
        <v>452</v>
      </c>
      <c r="D72" s="151">
        <v>197600000</v>
      </c>
      <c r="E72" s="230">
        <f t="shared" si="1"/>
        <v>4.2914540123791944</v>
      </c>
      <c r="F72" s="151">
        <v>0</v>
      </c>
      <c r="G72" s="238">
        <f t="shared" si="2"/>
        <v>0</v>
      </c>
      <c r="H72" s="200">
        <f t="shared" si="11"/>
        <v>197600000</v>
      </c>
      <c r="I72" s="243" t="str">
        <f t="shared" si="9"/>
        <v>...</v>
      </c>
      <c r="J72" s="151">
        <v>257070000</v>
      </c>
      <c r="K72" s="230">
        <f t="shared" si="10"/>
        <v>5.9797627355198886</v>
      </c>
      <c r="L72" s="200">
        <f t="shared" si="7"/>
        <v>-59470000</v>
      </c>
      <c r="M72" s="243">
        <f t="shared" si="8"/>
        <v>-23.13377679231337</v>
      </c>
      <c r="BM72" s="154"/>
      <c r="BN72" s="154"/>
      <c r="BO72" s="140"/>
      <c r="BP72" s="140"/>
      <c r="BQ72" s="140"/>
      <c r="BR72" s="139"/>
    </row>
    <row r="73" spans="2:70" ht="13.5" customHeight="1">
      <c r="B73" s="80">
        <v>7512</v>
      </c>
      <c r="C73" s="97" t="s">
        <v>453</v>
      </c>
      <c r="D73" s="151">
        <v>449969704.62</v>
      </c>
      <c r="E73" s="230">
        <f t="shared" si="1"/>
        <v>9.7723901535454445</v>
      </c>
      <c r="F73" s="151">
        <v>221924999.96999997</v>
      </c>
      <c r="G73" s="238">
        <f t="shared" si="2"/>
        <v>4.8197415565207944</v>
      </c>
      <c r="H73" s="200">
        <f t="shared" si="11"/>
        <v>228044704.65000004</v>
      </c>
      <c r="I73" s="243">
        <f t="shared" si="9"/>
        <v>102.75755533663505</v>
      </c>
      <c r="J73" s="151">
        <v>176467313.99000001</v>
      </c>
      <c r="K73" s="230">
        <f t="shared" si="10"/>
        <v>4.1048456382879737</v>
      </c>
      <c r="L73" s="200">
        <f t="shared" si="7"/>
        <v>273502390.63</v>
      </c>
      <c r="M73" s="243">
        <f t="shared" si="8"/>
        <v>154.98756367170566</v>
      </c>
      <c r="BM73" s="154"/>
      <c r="BN73" s="154"/>
      <c r="BO73" s="140"/>
      <c r="BP73" s="140"/>
      <c r="BQ73" s="140"/>
      <c r="BR73" s="139"/>
    </row>
    <row r="74" spans="2:70" ht="13.5" customHeight="1" thickBot="1">
      <c r="B74" s="80">
        <v>72</v>
      </c>
      <c r="C74" s="103" t="s">
        <v>401</v>
      </c>
      <c r="D74" s="151">
        <v>14277177.5</v>
      </c>
      <c r="E74" s="235">
        <f t="shared" si="1"/>
        <v>0.31007009447279832</v>
      </c>
      <c r="F74" s="151">
        <v>0</v>
      </c>
      <c r="G74" s="241">
        <f t="shared" si="2"/>
        <v>0</v>
      </c>
      <c r="H74" s="200">
        <f t="shared" si="11"/>
        <v>14277177.5</v>
      </c>
      <c r="I74" s="243" t="str">
        <f t="shared" si="9"/>
        <v>...</v>
      </c>
      <c r="J74" s="151">
        <v>4633811.9399999995</v>
      </c>
      <c r="K74" s="235">
        <f t="shared" si="10"/>
        <v>0.107788135380321</v>
      </c>
      <c r="L74" s="200">
        <f t="shared" si="7"/>
        <v>9643365.5600000005</v>
      </c>
      <c r="M74" s="243">
        <f t="shared" si="8"/>
        <v>208.10869506283854</v>
      </c>
      <c r="BM74" s="154"/>
      <c r="BN74" s="154"/>
      <c r="BO74" s="140"/>
      <c r="BP74" s="140"/>
      <c r="BQ74" s="140"/>
      <c r="BR74" s="139"/>
    </row>
    <row r="75" spans="2:70" ht="13.5" customHeight="1" thickTop="1" thickBot="1">
      <c r="C75" s="143" t="s">
        <v>454</v>
      </c>
      <c r="D75" s="156">
        <f>-D70-SUM(D72:D74)</f>
        <v>-260175376.62</v>
      </c>
      <c r="E75" s="233">
        <f t="shared" si="1"/>
        <v>-5.6504588254967967</v>
      </c>
      <c r="F75" s="156">
        <f>-F70-SUM(F72:F74)</f>
        <v>88421730.878755987</v>
      </c>
      <c r="G75" s="239">
        <f t="shared" si="2"/>
        <v>1.9203329542568353</v>
      </c>
      <c r="H75" s="198">
        <f t="shared" si="11"/>
        <v>-348597107.49875599</v>
      </c>
      <c r="I75" s="248" t="s">
        <v>469</v>
      </c>
      <c r="J75" s="156">
        <f>-J70-SUM(J72:J74)</f>
        <v>-19904086.51000005</v>
      </c>
      <c r="K75" s="233">
        <f t="shared" si="10"/>
        <v>-0.46299340567573971</v>
      </c>
      <c r="L75" s="205">
        <f t="shared" si="7"/>
        <v>-240271290.10999995</v>
      </c>
      <c r="M75" s="248" t="s">
        <v>469</v>
      </c>
      <c r="BM75" s="154"/>
      <c r="BN75" s="154"/>
      <c r="BO75" s="140"/>
      <c r="BP75" s="140"/>
      <c r="BQ75" s="140"/>
      <c r="BR75" s="139"/>
    </row>
    <row r="76" spans="2:70" s="182" customFormat="1" ht="13.5" thickTop="1">
      <c r="C76" s="183" t="str">
        <f>IF([1]MasterSheet!$A$1=1,[1]MasterSheet!C151,[1]MasterSheet!B151)</f>
        <v>Izvor: Ministarstvo finansija Crne Gore</v>
      </c>
      <c r="D76" s="188"/>
      <c r="E76" s="188"/>
      <c r="F76" s="187"/>
      <c r="G76" s="188"/>
      <c r="H76" s="188"/>
      <c r="I76" s="188"/>
      <c r="J76" s="187"/>
      <c r="K76" s="188"/>
      <c r="L76" s="188"/>
      <c r="M76" s="188"/>
    </row>
    <row r="77" spans="2:70" s="182" customFormat="1">
      <c r="C77" s="185"/>
      <c r="D77" s="184"/>
      <c r="E77" s="184"/>
      <c r="F77" s="189"/>
      <c r="G77" s="184"/>
      <c r="H77" s="184"/>
      <c r="I77" s="184"/>
      <c r="J77" s="189"/>
      <c r="K77" s="293"/>
      <c r="L77" s="184"/>
      <c r="M77" s="184"/>
    </row>
    <row r="78" spans="2:70" s="182" customFormat="1">
      <c r="F78" s="184"/>
      <c r="G78" s="184"/>
      <c r="H78" s="184"/>
      <c r="I78" s="184"/>
      <c r="J78" s="184"/>
      <c r="K78" s="184"/>
      <c r="L78" s="184"/>
      <c r="M78" s="184"/>
    </row>
    <row r="79" spans="2:70" s="182" customFormat="1">
      <c r="C79" s="186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77"/>
  <sheetViews>
    <sheetView zoomScaleNormal="100" workbookViewId="0">
      <selection activeCell="I12" sqref="I12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6" t="str">
        <f>+'Cental Budget'!C11</f>
        <v>BDP (u mil. €)</v>
      </c>
      <c r="D11" s="317">
        <f>+'Cental Budget'!D11:G11</f>
        <v>4604500000</v>
      </c>
      <c r="E11" s="318"/>
      <c r="F11" s="318"/>
      <c r="G11" s="319"/>
      <c r="H11" s="312"/>
      <c r="I11" s="313"/>
      <c r="J11" s="314">
        <f>+'Cental Budget'!J11:K11</f>
        <v>4299000000</v>
      </c>
      <c r="K11" s="315" t="e">
        <f>+'Cental Budget'!#REF!</f>
        <v>#REF!</v>
      </c>
      <c r="L11" s="312"/>
      <c r="M11" s="316"/>
      <c r="N11" s="196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20"/>
      <c r="E13" s="320"/>
      <c r="F13" s="86"/>
      <c r="G13" s="86"/>
      <c r="H13" s="86"/>
      <c r="I13" s="86"/>
      <c r="J13" s="320"/>
      <c r="K13" s="320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21" t="s">
        <v>258</v>
      </c>
      <c r="D14" s="310" t="s">
        <v>465</v>
      </c>
      <c r="E14" s="311"/>
      <c r="F14" s="310" t="s">
        <v>466</v>
      </c>
      <c r="G14" s="311"/>
      <c r="H14" s="310" t="str">
        <f>+'Cental Budget'!H14:I14</f>
        <v>Odstupanje</v>
      </c>
      <c r="I14" s="311"/>
      <c r="J14" s="310" t="s">
        <v>463</v>
      </c>
      <c r="K14" s="311"/>
      <c r="L14" s="310" t="str">
        <f>+H14</f>
        <v>Odstupanje</v>
      </c>
      <c r="M14" s="31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22"/>
      <c r="D15" s="147" t="str">
        <f>IF(MasterSheet!$A$1=1,MasterSheet!C71,MasterSheet!C70)</f>
        <v>mil. €</v>
      </c>
      <c r="E15" s="152" t="str">
        <f>IF(MasterSheet!$A$1=1,MasterSheet!D71,MasterSheet!D70)</f>
        <v>% BDP</v>
      </c>
      <c r="F15" s="147" t="str">
        <f>IF(MasterSheet!$A$1=1,MasterSheet!E71,MasterSheet!E70)</f>
        <v>mil. €</v>
      </c>
      <c r="G15" s="152" t="str">
        <f>IF(MasterSheet!$A$1=1,MasterSheet!F71,MasterSheet!F70)</f>
        <v>% BDP</v>
      </c>
      <c r="H15" s="147" t="str">
        <f>IF(MasterSheet!$A$1=1,MasterSheet!G71,MasterSheet!G70)</f>
        <v>mil. €</v>
      </c>
      <c r="I15" s="152" t="s">
        <v>439</v>
      </c>
      <c r="J15" s="147" t="str">
        <f>IF(MasterSheet!$A$1=1,MasterSheet!I71,MasterSheet!I70)</f>
        <v>mil. €</v>
      </c>
      <c r="K15" s="152" t="str">
        <f>IF(MasterSheet!$A$1=1,MasterSheet!J71,MasterSheet!J70)</f>
        <v>% BDP</v>
      </c>
      <c r="L15" s="147" t="str">
        <f>IF(MasterSheet!$A$1=1,MasterSheet!K71,MasterSheet!K70)</f>
        <v>mil. €</v>
      </c>
      <c r="M15" s="152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48" t="str">
        <f>IF(MasterSheet!$A$1=1,MasterSheet!C72,MasterSheet!B72)</f>
        <v>Izvorni prihodi</v>
      </c>
      <c r="D16" s="207">
        <f>+D17+D21+D22+D23+D24+D25</f>
        <v>161259649.50999996</v>
      </c>
      <c r="E16" s="249">
        <f>+D16/$D$11*100</f>
        <v>3.5022184712780966</v>
      </c>
      <c r="F16" s="207">
        <f>+F17+F21+F22+F23+F24+F25</f>
        <v>161836014.55738586</v>
      </c>
      <c r="G16" s="249">
        <f t="shared" ref="G16:G60" si="0">+F16/$D$11*100</f>
        <v>3.5147359009096726</v>
      </c>
      <c r="H16" s="207">
        <f>+D16-F16</f>
        <v>-576365.04738590121</v>
      </c>
      <c r="I16" s="249">
        <f>+D16/F16*100-100</f>
        <v>-0.35614139965213099</v>
      </c>
      <c r="J16" s="207">
        <f>+J17+J21+J22+J23+J24+J25</f>
        <v>149881976.37999997</v>
      </c>
      <c r="K16" s="249">
        <f>+J16/$J$11*100</f>
        <v>3.4864381572458707</v>
      </c>
      <c r="L16" s="207">
        <f>+D16-J16</f>
        <v>11377673.129999995</v>
      </c>
      <c r="M16" s="249">
        <f>+D16/J16*100-100</f>
        <v>7.5910882714502321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1:82" ht="15" customHeight="1" thickTop="1">
      <c r="B17" s="80">
        <v>711</v>
      </c>
      <c r="C17" s="93" t="str">
        <f>IF(MasterSheet!$A$1=1,MasterSheet!C73,MasterSheet!B73)</f>
        <v>Porezi</v>
      </c>
      <c r="D17" s="208">
        <f>+SUM(D18:D20)</f>
        <v>104813408.23999998</v>
      </c>
      <c r="E17" s="250">
        <f t="shared" ref="E17:E60" si="1">+D17/$D$11*100</f>
        <v>2.2763255128678463</v>
      </c>
      <c r="F17" s="208">
        <f>+SUM(F18:F20)</f>
        <v>96984884.75798586</v>
      </c>
      <c r="G17" s="250">
        <f t="shared" si="0"/>
        <v>2.1063065426861951</v>
      </c>
      <c r="H17" s="209">
        <f t="shared" ref="H17:H59" si="2">+D17-F17</f>
        <v>7828523.4820141196</v>
      </c>
      <c r="I17" s="258">
        <f t="shared" ref="I17:I60" si="3">+D17/F17*100-100</f>
        <v>8.0719005869309086</v>
      </c>
      <c r="J17" s="208">
        <f>+J18+J19+J20</f>
        <v>91193488.659999996</v>
      </c>
      <c r="K17" s="250">
        <f t="shared" ref="K17:K60" si="4">+J17/$J$11*100</f>
        <v>2.1212721251453828</v>
      </c>
      <c r="L17" s="209">
        <f t="shared" ref="L17:L60" si="5">+D17-J17</f>
        <v>13619919.579999983</v>
      </c>
      <c r="M17" s="258">
        <f t="shared" ref="M17:M60" si="6">+D17/J17*100-100</f>
        <v>14.935188663282332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1:82" ht="15" customHeight="1">
      <c r="B18" s="80">
        <v>7111</v>
      </c>
      <c r="C18" s="97" t="str">
        <f>IF(MasterSheet!$A$1=1,MasterSheet!C74,MasterSheet!B74)</f>
        <v>Porez na dohodak fizičkih lica</v>
      </c>
      <c r="D18" s="210">
        <v>27238835.120000005</v>
      </c>
      <c r="E18" s="251">
        <f t="shared" si="1"/>
        <v>0.59156987990009791</v>
      </c>
      <c r="F18" s="210">
        <v>23960753.812732928</v>
      </c>
      <c r="G18" s="251">
        <f t="shared" si="0"/>
        <v>0.5203768881036579</v>
      </c>
      <c r="H18" s="211">
        <f>+D18-F18</f>
        <v>3278081.3072670773</v>
      </c>
      <c r="I18" s="259">
        <f>+D18/F18*100-100</f>
        <v>13.681044147805906</v>
      </c>
      <c r="J18" s="210">
        <v>23630399.669999998</v>
      </c>
      <c r="K18" s="251">
        <f t="shared" si="4"/>
        <v>0.54967200907187708</v>
      </c>
      <c r="L18" s="211">
        <f>+D18-J18</f>
        <v>3608435.4500000067</v>
      </c>
      <c r="M18" s="259">
        <f>+D18/J18*100-100</f>
        <v>15.270310703128317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82" ht="15" customHeight="1">
      <c r="B19" s="80">
        <v>7113</v>
      </c>
      <c r="C19" s="97" t="str">
        <f>IF(MasterSheet!$A$1=1,MasterSheet!C76,MasterSheet!B76)</f>
        <v>Porez na promet nepokretnosti</v>
      </c>
      <c r="D19" s="210">
        <v>14917547.409999998</v>
      </c>
      <c r="E19" s="251">
        <f t="shared" si="1"/>
        <v>0.32397757432946028</v>
      </c>
      <c r="F19" s="210">
        <v>11685858.222392924</v>
      </c>
      <c r="G19" s="251">
        <f t="shared" si="0"/>
        <v>0.25379212123776573</v>
      </c>
      <c r="H19" s="211">
        <f>+D19-F19</f>
        <v>3231689.1876070742</v>
      </c>
      <c r="I19" s="259">
        <f>+D19/F19*100-100</f>
        <v>27.654701315940812</v>
      </c>
      <c r="J19" s="210">
        <v>9237013.1799999997</v>
      </c>
      <c r="K19" s="251">
        <f t="shared" si="4"/>
        <v>0.21486422842521513</v>
      </c>
      <c r="L19" s="211">
        <f>+D19-J19</f>
        <v>5680534.2299999986</v>
      </c>
      <c r="M19" s="259">
        <f>+D19/J19*100-100</f>
        <v>61.497522189310104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1:82" ht="15" customHeight="1">
      <c r="B20" s="80">
        <v>7117</v>
      </c>
      <c r="C20" s="97" t="s">
        <v>11</v>
      </c>
      <c r="D20" s="210">
        <v>62657025.709999986</v>
      </c>
      <c r="E20" s="251">
        <f t="shared" si="1"/>
        <v>1.3607780586382883</v>
      </c>
      <c r="F20" s="210">
        <v>61338272.722860001</v>
      </c>
      <c r="G20" s="251">
        <f t="shared" si="0"/>
        <v>1.3321375333447714</v>
      </c>
      <c r="H20" s="211">
        <f>+D20-F20</f>
        <v>1318752.987139985</v>
      </c>
      <c r="I20" s="259">
        <f>+D20/F20*100-100</f>
        <v>2.1499675954332815</v>
      </c>
      <c r="J20" s="210">
        <v>58326075.810000002</v>
      </c>
      <c r="K20" s="251">
        <f t="shared" si="4"/>
        <v>1.3567358876482905</v>
      </c>
      <c r="L20" s="211">
        <f>+D20-J20</f>
        <v>4330949.8999999836</v>
      </c>
      <c r="M20" s="259">
        <f>+D20/J20*100-100</f>
        <v>7.4254093728305435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1:82" ht="15" customHeight="1">
      <c r="B21" s="80">
        <v>713</v>
      </c>
      <c r="C21" s="93" t="str">
        <f>IF(MasterSheet!$A$1=1,MasterSheet!C86,MasterSheet!B86)</f>
        <v>Takse</v>
      </c>
      <c r="D21" s="94">
        <v>4528541.5000000009</v>
      </c>
      <c r="E21" s="229">
        <f t="shared" si="1"/>
        <v>9.8350342056683693E-2</v>
      </c>
      <c r="F21" s="94">
        <v>4682128.2421199996</v>
      </c>
      <c r="G21" s="229">
        <f t="shared" si="0"/>
        <v>0.10168592121012053</v>
      </c>
      <c r="H21" s="197">
        <f t="shared" si="2"/>
        <v>-153586.74211999867</v>
      </c>
      <c r="I21" s="242">
        <f t="shared" si="3"/>
        <v>-3.280276279883708</v>
      </c>
      <c r="J21" s="94">
        <v>7639338.0599999996</v>
      </c>
      <c r="K21" s="232">
        <f t="shared" si="4"/>
        <v>0.17770035031402651</v>
      </c>
      <c r="L21" s="197">
        <f t="shared" si="5"/>
        <v>-3110796.5599999987</v>
      </c>
      <c r="M21" s="242">
        <f t="shared" si="6"/>
        <v>-40.720760562859539</v>
      </c>
      <c r="BY21" s="81"/>
      <c r="BZ21" s="81"/>
      <c r="CA21" s="81"/>
    </row>
    <row r="22" spans="1:82" ht="15" customHeight="1">
      <c r="B22" s="80">
        <v>714</v>
      </c>
      <c r="C22" s="93" t="str">
        <f>IF(MasterSheet!$A$1=1,MasterSheet!C91,MasterSheet!B91)</f>
        <v>Naknade</v>
      </c>
      <c r="D22" s="94">
        <v>36672151.280000001</v>
      </c>
      <c r="E22" s="229">
        <f t="shared" si="1"/>
        <v>0.79644155239439685</v>
      </c>
      <c r="F22" s="94">
        <v>46914187.49024</v>
      </c>
      <c r="G22" s="229">
        <f>+F22/$D$11*100</f>
        <v>1.0188769136766207</v>
      </c>
      <c r="H22" s="197">
        <f>+D22-F22</f>
        <v>-10242036.210239999</v>
      </c>
      <c r="I22" s="242">
        <f>+D22/F22*100-100</f>
        <v>-21.831426180770464</v>
      </c>
      <c r="J22" s="94">
        <v>40443775.859999999</v>
      </c>
      <c r="K22" s="232">
        <f t="shared" si="4"/>
        <v>0.94077171109560354</v>
      </c>
      <c r="L22" s="197">
        <f t="shared" si="5"/>
        <v>-3771624.5799999982</v>
      </c>
      <c r="M22" s="242">
        <f t="shared" si="6"/>
        <v>-9.3255995509811953</v>
      </c>
      <c r="BY22" s="138"/>
      <c r="BZ22" s="138"/>
      <c r="CA22" s="138"/>
    </row>
    <row r="23" spans="1:82" ht="15" customHeight="1">
      <c r="B23" s="80">
        <v>715</v>
      </c>
      <c r="C23" s="93" t="str">
        <f>IF(MasterSheet!$A$1=1,MasterSheet!C98,MasterSheet!B98)</f>
        <v>Ostali prihodi</v>
      </c>
      <c r="D23" s="212">
        <v>13643564.540000003</v>
      </c>
      <c r="E23" s="252">
        <f t="shared" si="1"/>
        <v>0.29630936127701168</v>
      </c>
      <c r="F23" s="212">
        <v>9552652.2029400002</v>
      </c>
      <c r="G23" s="252">
        <f t="shared" si="0"/>
        <v>0.20746339891280272</v>
      </c>
      <c r="H23" s="213">
        <f t="shared" si="2"/>
        <v>4090912.3370600026</v>
      </c>
      <c r="I23" s="260">
        <f t="shared" si="3"/>
        <v>42.824885174830825</v>
      </c>
      <c r="J23" s="212">
        <v>8536223.1600000001</v>
      </c>
      <c r="K23" s="252">
        <f t="shared" si="4"/>
        <v>0.19856299511514305</v>
      </c>
      <c r="L23" s="213">
        <f t="shared" si="5"/>
        <v>5107341.3800000027</v>
      </c>
      <c r="M23" s="260">
        <f t="shared" si="6"/>
        <v>59.831394801538949</v>
      </c>
      <c r="BY23" s="81"/>
      <c r="BZ23" s="81"/>
      <c r="CA23" s="81"/>
      <c r="CB23" s="81"/>
      <c r="CC23" s="81"/>
    </row>
    <row r="24" spans="1:82">
      <c r="B24" s="80">
        <v>73</v>
      </c>
      <c r="C24" s="101" t="str">
        <f>IF(MasterSheet!$A$1=1,MasterSheet!C103,MasterSheet!B103)</f>
        <v xml:space="preserve">Primici od otplate kredita </v>
      </c>
      <c r="D24" s="212">
        <v>0</v>
      </c>
      <c r="E24" s="252">
        <f t="shared" si="1"/>
        <v>0</v>
      </c>
      <c r="F24" s="212">
        <v>0</v>
      </c>
      <c r="G24" s="252">
        <f t="shared" si="0"/>
        <v>0</v>
      </c>
      <c r="H24" s="213">
        <f t="shared" si="2"/>
        <v>0</v>
      </c>
      <c r="I24" s="259" t="e">
        <f t="shared" si="3"/>
        <v>#DIV/0!</v>
      </c>
      <c r="J24" s="212">
        <v>0</v>
      </c>
      <c r="K24" s="252">
        <f t="shared" si="4"/>
        <v>0</v>
      </c>
      <c r="L24" s="213">
        <f t="shared" si="5"/>
        <v>0</v>
      </c>
      <c r="M24" s="260" t="e">
        <f t="shared" si="6"/>
        <v>#DIV/0!</v>
      </c>
      <c r="BX24" s="100"/>
      <c r="BY24" s="100"/>
      <c r="BZ24" s="99"/>
      <c r="CA24" s="140"/>
      <c r="CB24" s="140"/>
      <c r="CC24" s="140"/>
      <c r="CD24" s="139"/>
    </row>
    <row r="25" spans="1:82" ht="13.5" customHeight="1" thickBot="1">
      <c r="B25" s="80">
        <v>74</v>
      </c>
      <c r="C25" s="93" t="s">
        <v>122</v>
      </c>
      <c r="D25" s="212">
        <v>1601983.95</v>
      </c>
      <c r="E25" s="252">
        <f t="shared" si="1"/>
        <v>3.4791702682158761E-2</v>
      </c>
      <c r="F25" s="212">
        <v>3702161.8641000004</v>
      </c>
      <c r="G25" s="252">
        <f t="shared" si="0"/>
        <v>8.0403124423933117E-2</v>
      </c>
      <c r="H25" s="213">
        <f t="shared" si="2"/>
        <v>-2100177.9141000006</v>
      </c>
      <c r="I25" s="260">
        <f t="shared" si="3"/>
        <v>-56.728419534151186</v>
      </c>
      <c r="J25" s="212">
        <v>2069150.6400000004</v>
      </c>
      <c r="K25" s="252">
        <f t="shared" si="4"/>
        <v>4.8130975575715287E-2</v>
      </c>
      <c r="L25" s="213">
        <f t="shared" si="5"/>
        <v>-467166.69000000041</v>
      </c>
      <c r="M25" s="260">
        <f t="shared" si="6"/>
        <v>-22.57770318742962</v>
      </c>
      <c r="BY25" s="141"/>
      <c r="BZ25" s="141"/>
      <c r="CA25" s="140"/>
      <c r="CB25" s="140"/>
      <c r="CC25" s="140"/>
      <c r="CD25" s="139"/>
    </row>
    <row r="26" spans="1:82" ht="15" customHeight="1" thickTop="1" thickBot="1">
      <c r="B26" s="102"/>
      <c r="C26" s="148" t="str">
        <f>IF(MasterSheet!$A$1=1,MasterSheet!C104,MasterSheet!B104)</f>
        <v>Izdaci</v>
      </c>
      <c r="D26" s="214">
        <f>+D28+D38+D40+D41+D42+D43+D44+D45+D46</f>
        <v>165399498.89600301</v>
      </c>
      <c r="E26" s="253">
        <f t="shared" si="1"/>
        <v>3.592127242827734</v>
      </c>
      <c r="F26" s="214">
        <f>+F28+F38+F40+F41+F42+F43+F44+F45+F46</f>
        <v>130484631.97965999</v>
      </c>
      <c r="G26" s="253">
        <f t="shared" si="0"/>
        <v>2.8338501895897492</v>
      </c>
      <c r="H26" s="214">
        <f t="shared" si="2"/>
        <v>34914866.916343018</v>
      </c>
      <c r="I26" s="253">
        <f t="shared" si="3"/>
        <v>26.757838365046368</v>
      </c>
      <c r="J26" s="214">
        <f>+J28+J38+J40+J41+J42+J43+J44+J45+J46</f>
        <v>141528702.28999999</v>
      </c>
      <c r="K26" s="276">
        <f t="shared" si="4"/>
        <v>3.2921307813444982</v>
      </c>
      <c r="L26" s="214">
        <f t="shared" si="5"/>
        <v>23870796.606003016</v>
      </c>
      <c r="M26" s="253">
        <f t="shared" si="6"/>
        <v>16.86639969120219</v>
      </c>
      <c r="BY26" s="81"/>
      <c r="BZ26" s="81"/>
      <c r="CA26" s="140"/>
      <c r="CB26" s="140"/>
      <c r="CC26" s="140"/>
      <c r="CD26" s="139"/>
    </row>
    <row r="27" spans="1:82" ht="13.5" customHeight="1" thickTop="1" thickBot="1">
      <c r="C27" s="148" t="str">
        <f>IF(MasterSheet!$A$1=1,MasterSheet!C105,MasterSheet!B105)</f>
        <v>Tekuća budžetska potrošnja</v>
      </c>
      <c r="D27" s="214">
        <f>+D26-D41</f>
        <v>132512539.97600301</v>
      </c>
      <c r="E27" s="253">
        <f t="shared" si="1"/>
        <v>2.8778920615919863</v>
      </c>
      <c r="F27" s="214">
        <f>+F26-F41</f>
        <v>94052212.997119993</v>
      </c>
      <c r="G27" s="253">
        <f t="shared" si="0"/>
        <v>2.0426151155851882</v>
      </c>
      <c r="H27" s="214">
        <f t="shared" si="2"/>
        <v>38460326.978883013</v>
      </c>
      <c r="I27" s="253">
        <f t="shared" si="3"/>
        <v>40.892527409281399</v>
      </c>
      <c r="J27" s="214">
        <f>+J26-J41</f>
        <v>115505791.11999999</v>
      </c>
      <c r="K27" s="276">
        <f t="shared" si="4"/>
        <v>2.6868060274482435</v>
      </c>
      <c r="L27" s="214">
        <f t="shared" si="5"/>
        <v>17006748.856003016</v>
      </c>
      <c r="M27" s="253">
        <f t="shared" si="6"/>
        <v>14.723719643056299</v>
      </c>
      <c r="BY27" s="141"/>
      <c r="BZ27" s="141"/>
      <c r="CA27" s="140"/>
      <c r="CB27" s="140"/>
      <c r="CC27" s="140"/>
      <c r="CD27" s="139"/>
    </row>
    <row r="28" spans="1:82" ht="13.5" customHeight="1" thickTop="1">
      <c r="A28" s="80">
        <v>41</v>
      </c>
      <c r="C28" s="93" t="str">
        <f>+'Cental Budget'!C37</f>
        <v>Tekući izdaci</v>
      </c>
      <c r="D28" s="94">
        <f>+SUM(D29:D37)</f>
        <v>56213198.896303006</v>
      </c>
      <c r="E28" s="229">
        <f t="shared" si="1"/>
        <v>1.2208317710132046</v>
      </c>
      <c r="F28" s="94">
        <f>+SUM(F29:F37)</f>
        <v>57616405.487899989</v>
      </c>
      <c r="G28" s="229">
        <f t="shared" si="0"/>
        <v>1.2513064499489628</v>
      </c>
      <c r="H28" s="197">
        <f t="shared" si="2"/>
        <v>-1403206.5915969834</v>
      </c>
      <c r="I28" s="242">
        <f t="shared" si="3"/>
        <v>-2.4354289020887734</v>
      </c>
      <c r="J28" s="94">
        <f>+SUM(J29:J37)</f>
        <v>53905367.5</v>
      </c>
      <c r="K28" s="232">
        <f t="shared" si="4"/>
        <v>1.2539048034426612</v>
      </c>
      <c r="L28" s="197">
        <f t="shared" si="5"/>
        <v>2307831.3963030055</v>
      </c>
      <c r="M28" s="242">
        <f t="shared" si="6"/>
        <v>4.281264562945438</v>
      </c>
      <c r="BY28" s="141"/>
      <c r="BZ28" s="141"/>
      <c r="CA28" s="140"/>
      <c r="CB28" s="140"/>
      <c r="CC28" s="140"/>
      <c r="CD28" s="139"/>
    </row>
    <row r="29" spans="1:82" ht="13.5" customHeight="1">
      <c r="B29" s="80">
        <v>411</v>
      </c>
      <c r="C29" s="93" t="str">
        <f>+'Cental Budget'!C38</f>
        <v>Bruto zarade i doprinosi na teret poslodavca</v>
      </c>
      <c r="D29" s="212">
        <v>33501714.958000004</v>
      </c>
      <c r="E29" s="252">
        <f t="shared" si="1"/>
        <v>0.72758638197415582</v>
      </c>
      <c r="F29" s="212">
        <v>33702999.949219994</v>
      </c>
      <c r="G29" s="252">
        <f t="shared" si="0"/>
        <v>0.73195786620089032</v>
      </c>
      <c r="H29" s="213">
        <f t="shared" si="2"/>
        <v>-201284.99121998996</v>
      </c>
      <c r="I29" s="260">
        <f t="shared" si="3"/>
        <v>-0.59723167529082843</v>
      </c>
      <c r="J29" s="212">
        <v>32417223.23</v>
      </c>
      <c r="K29" s="252">
        <f t="shared" si="4"/>
        <v>0.75406427611072346</v>
      </c>
      <c r="L29" s="213">
        <f t="shared" si="5"/>
        <v>1084491.7280000038</v>
      </c>
      <c r="M29" s="260">
        <f t="shared" si="6"/>
        <v>3.3454183299585623</v>
      </c>
      <c r="BY29" s="141"/>
      <c r="BZ29" s="141"/>
      <c r="CA29" s="140"/>
      <c r="CB29" s="140"/>
      <c r="CC29" s="140"/>
      <c r="CD29" s="139"/>
    </row>
    <row r="30" spans="1:82" ht="13.5" customHeight="1">
      <c r="B30" s="80">
        <v>412</v>
      </c>
      <c r="C30" s="93" t="str">
        <f>+'Cental Budget'!C39</f>
        <v>Ostala lična primanja</v>
      </c>
      <c r="D30" s="212">
        <v>2317258.71</v>
      </c>
      <c r="E30" s="252">
        <f t="shared" si="1"/>
        <v>5.0325957432946031E-2</v>
      </c>
      <c r="F30" s="212">
        <v>2304645.6014399999</v>
      </c>
      <c r="G30" s="252">
        <f t="shared" si="0"/>
        <v>5.0052027395808447E-2</v>
      </c>
      <c r="H30" s="213">
        <f t="shared" si="2"/>
        <v>12613.108560000081</v>
      </c>
      <c r="I30" s="260">
        <f t="shared" si="3"/>
        <v>0.54729059218992404</v>
      </c>
      <c r="J30" s="212">
        <v>1798833.5100000002</v>
      </c>
      <c r="K30" s="252">
        <f t="shared" si="4"/>
        <v>4.1843068387997215E-2</v>
      </c>
      <c r="L30" s="213">
        <f t="shared" si="5"/>
        <v>518425.19999999972</v>
      </c>
      <c r="M30" s="260">
        <f t="shared" si="6"/>
        <v>28.820076850803133</v>
      </c>
      <c r="BY30" s="141"/>
      <c r="BZ30" s="141"/>
      <c r="CA30" s="140"/>
      <c r="CB30" s="140"/>
      <c r="CC30" s="140"/>
      <c r="CD30" s="139"/>
    </row>
    <row r="31" spans="1:82" ht="13.5" customHeight="1">
      <c r="B31" s="80">
        <v>413</v>
      </c>
      <c r="C31" s="93" t="str">
        <f>+'Cental Budget'!C40</f>
        <v>Rashodi za materijal</v>
      </c>
      <c r="D31" s="212">
        <v>5476404.4699049992</v>
      </c>
      <c r="E31" s="252">
        <f t="shared" si="1"/>
        <v>0.11893592072765771</v>
      </c>
      <c r="F31" s="212">
        <v>3160839.037734</v>
      </c>
      <c r="G31" s="252">
        <f t="shared" si="0"/>
        <v>6.8646737707329791E-2</v>
      </c>
      <c r="H31" s="213">
        <f t="shared" si="2"/>
        <v>2315565.4321709992</v>
      </c>
      <c r="I31" s="260">
        <f t="shared" si="3"/>
        <v>73.25793577363001</v>
      </c>
      <c r="J31" s="212">
        <v>5326272.9400000004</v>
      </c>
      <c r="K31" s="252">
        <f t="shared" si="4"/>
        <v>0.12389562549430101</v>
      </c>
      <c r="L31" s="213">
        <f t="shared" si="5"/>
        <v>150131.52990499884</v>
      </c>
      <c r="M31" s="260">
        <f t="shared" si="6"/>
        <v>2.8186976446047112</v>
      </c>
      <c r="BY31" s="141"/>
      <c r="BZ31" s="141"/>
      <c r="CA31" s="140"/>
      <c r="CB31" s="140"/>
      <c r="CC31" s="140"/>
      <c r="CD31" s="139"/>
    </row>
    <row r="32" spans="1:82" ht="13.5" customHeight="1">
      <c r="B32" s="80">
        <v>414</v>
      </c>
      <c r="C32" s="93" t="str">
        <f>+'Cental Budget'!C41</f>
        <v>Rashodi za usluge</v>
      </c>
      <c r="D32" s="94">
        <v>4822260.8583979998</v>
      </c>
      <c r="E32" s="229">
        <f t="shared" si="1"/>
        <v>0.10472930521007709</v>
      </c>
      <c r="F32" s="212">
        <v>7375291.0880459994</v>
      </c>
      <c r="G32" s="229">
        <f t="shared" si="0"/>
        <v>0.16017572131710284</v>
      </c>
      <c r="H32" s="197">
        <f t="shared" si="2"/>
        <v>-2553030.2296479996</v>
      </c>
      <c r="I32" s="260">
        <f t="shared" si="3"/>
        <v>-34.615992767878623</v>
      </c>
      <c r="J32" s="149">
        <v>4399246.97</v>
      </c>
      <c r="K32" s="232">
        <f t="shared" si="4"/>
        <v>0.10233186717841358</v>
      </c>
      <c r="L32" s="197">
        <f t="shared" si="5"/>
        <v>423013.88839800004</v>
      </c>
      <c r="M32" s="242">
        <f t="shared" si="6"/>
        <v>9.61559765302286</v>
      </c>
      <c r="BY32" s="141"/>
      <c r="BZ32" s="141"/>
      <c r="CA32" s="140"/>
      <c r="CB32" s="140"/>
      <c r="CC32" s="140"/>
      <c r="CD32" s="139"/>
    </row>
    <row r="33" spans="1:82" ht="13.5" customHeight="1">
      <c r="B33" s="80">
        <v>415</v>
      </c>
      <c r="C33" s="93" t="str">
        <f>+'Cental Budget'!C42</f>
        <v>Rashodi za tekuće održavanje</v>
      </c>
      <c r="D33" s="212">
        <v>3371193.6700000004</v>
      </c>
      <c r="E33" s="252">
        <f t="shared" si="1"/>
        <v>7.3215195352372683E-2</v>
      </c>
      <c r="F33" s="212">
        <v>4406284.1667600013</v>
      </c>
      <c r="G33" s="252">
        <f t="shared" si="0"/>
        <v>9.5695171392333619E-2</v>
      </c>
      <c r="H33" s="213">
        <f t="shared" si="2"/>
        <v>-1035090.4967600009</v>
      </c>
      <c r="I33" s="260">
        <f t="shared" si="3"/>
        <v>-23.491233374562782</v>
      </c>
      <c r="J33" s="212">
        <v>3862136.0400000005</v>
      </c>
      <c r="K33" s="252">
        <f t="shared" si="4"/>
        <v>8.98380097697139E-2</v>
      </c>
      <c r="L33" s="213">
        <f t="shared" si="5"/>
        <v>-490942.37000000011</v>
      </c>
      <c r="M33" s="260">
        <f t="shared" si="6"/>
        <v>-12.71167988168537</v>
      </c>
      <c r="BY33" s="141"/>
      <c r="BZ33" s="141"/>
      <c r="CA33" s="140"/>
      <c r="CB33" s="140"/>
      <c r="CC33" s="140"/>
      <c r="CD33" s="139"/>
    </row>
    <row r="34" spans="1:82" ht="13.5" customHeight="1">
      <c r="B34" s="80">
        <v>416</v>
      </c>
      <c r="C34" s="93" t="str">
        <f>+'Cental Budget'!C43</f>
        <v>Kamate</v>
      </c>
      <c r="D34" s="212">
        <v>2559359.9200000004</v>
      </c>
      <c r="E34" s="252">
        <f t="shared" si="1"/>
        <v>5.5583883592138138E-2</v>
      </c>
      <c r="F34" s="212">
        <v>2719393.4287800002</v>
      </c>
      <c r="G34" s="252">
        <f t="shared" si="0"/>
        <v>5.9059472880443047E-2</v>
      </c>
      <c r="H34" s="213">
        <f t="shared" si="2"/>
        <v>-160033.5087799998</v>
      </c>
      <c r="I34" s="260">
        <f t="shared" si="3"/>
        <v>-5.8848972379769009</v>
      </c>
      <c r="J34" s="212">
        <v>2563157.4499999997</v>
      </c>
      <c r="K34" s="252">
        <f t="shared" si="4"/>
        <v>5.9622178413584553E-2</v>
      </c>
      <c r="L34" s="213">
        <f t="shared" si="5"/>
        <v>-3797.5299999993294</v>
      </c>
      <c r="M34" s="260">
        <f t="shared" si="6"/>
        <v>-0.14815828032723743</v>
      </c>
      <c r="BY34" s="141"/>
      <c r="BZ34" s="141"/>
      <c r="CA34" s="140"/>
      <c r="CB34" s="140"/>
      <c r="CC34" s="140"/>
      <c r="CD34" s="139"/>
    </row>
    <row r="35" spans="1:82" ht="13.5" customHeight="1">
      <c r="B35" s="80">
        <v>417</v>
      </c>
      <c r="C35" s="93" t="str">
        <f>+'Cental Budget'!C44</f>
        <v>Renta</v>
      </c>
      <c r="D35" s="212">
        <v>410008.97</v>
      </c>
      <c r="E35" s="252">
        <f t="shared" si="1"/>
        <v>8.9045275274188297E-3</v>
      </c>
      <c r="F35" s="212">
        <v>416912.86098</v>
      </c>
      <c r="G35" s="252">
        <f t="shared" si="0"/>
        <v>9.054465435552177E-3</v>
      </c>
      <c r="H35" s="213">
        <f t="shared" si="2"/>
        <v>-6903.8909800000256</v>
      </c>
      <c r="I35" s="260">
        <f t="shared" si="3"/>
        <v>-1.6559553868814874</v>
      </c>
      <c r="J35" s="212">
        <v>341307.39999999997</v>
      </c>
      <c r="K35" s="252">
        <f t="shared" si="4"/>
        <v>7.9392277273784596E-3</v>
      </c>
      <c r="L35" s="213">
        <f t="shared" si="5"/>
        <v>68701.570000000007</v>
      </c>
      <c r="M35" s="260">
        <f t="shared" si="6"/>
        <v>20.128942413788863</v>
      </c>
      <c r="BY35" s="141"/>
      <c r="BZ35" s="141"/>
      <c r="CA35" s="140"/>
      <c r="CB35" s="140"/>
      <c r="CC35" s="140"/>
      <c r="CD35" s="139"/>
    </row>
    <row r="36" spans="1:82" ht="13.5" customHeight="1">
      <c r="B36" s="80">
        <v>418</v>
      </c>
      <c r="C36" s="93" t="str">
        <f>+'Cental Budget'!C45</f>
        <v>Subvencije</v>
      </c>
      <c r="D36" s="212">
        <v>729956.24</v>
      </c>
      <c r="E36" s="252">
        <f t="shared" si="1"/>
        <v>1.5853105440330112E-2</v>
      </c>
      <c r="F36" s="212">
        <v>866230.29065999994</v>
      </c>
      <c r="G36" s="252">
        <f t="shared" si="0"/>
        <v>1.881268955717233E-2</v>
      </c>
      <c r="H36" s="213">
        <f t="shared" si="2"/>
        <v>-136274.05065999995</v>
      </c>
      <c r="I36" s="260">
        <f t="shared" si="3"/>
        <v>-15.731850078363081</v>
      </c>
      <c r="J36" s="212">
        <v>713233.02</v>
      </c>
      <c r="K36" s="252">
        <f t="shared" si="4"/>
        <v>1.6590672714584788E-2</v>
      </c>
      <c r="L36" s="213">
        <f t="shared" si="5"/>
        <v>16723.219999999972</v>
      </c>
      <c r="M36" s="260">
        <f t="shared" si="6"/>
        <v>2.3447063625853843</v>
      </c>
      <c r="BY36" s="141"/>
      <c r="BZ36" s="141"/>
      <c r="CA36" s="140"/>
      <c r="CB36" s="140"/>
      <c r="CC36" s="140"/>
      <c r="CD36" s="139"/>
    </row>
    <row r="37" spans="1:82" ht="13.5" customHeight="1">
      <c r="B37" s="80">
        <v>419</v>
      </c>
      <c r="C37" s="93" t="str">
        <f>+'Cental Budget'!C46</f>
        <v>Ostali izdaci</v>
      </c>
      <c r="D37" s="212">
        <v>3025041.1</v>
      </c>
      <c r="E37" s="252">
        <f t="shared" si="1"/>
        <v>6.5697493756108158E-2</v>
      </c>
      <c r="F37" s="212">
        <v>2663809.0642799996</v>
      </c>
      <c r="G37" s="252">
        <f t="shared" si="0"/>
        <v>5.7852298062330318E-2</v>
      </c>
      <c r="H37" s="213">
        <f t="shared" si="2"/>
        <v>361232.03572000051</v>
      </c>
      <c r="I37" s="260">
        <f t="shared" si="3"/>
        <v>13.560733033155216</v>
      </c>
      <c r="J37" s="212">
        <v>2483956.94</v>
      </c>
      <c r="K37" s="252">
        <f t="shared" si="4"/>
        <v>5.7779877645964171E-2</v>
      </c>
      <c r="L37" s="213">
        <f t="shared" si="5"/>
        <v>541084.16000000015</v>
      </c>
      <c r="M37" s="260">
        <f t="shared" si="6"/>
        <v>21.783153777214849</v>
      </c>
      <c r="BY37" s="141"/>
      <c r="BZ37" s="141"/>
      <c r="CA37" s="140"/>
      <c r="CB37" s="140"/>
      <c r="CC37" s="140"/>
      <c r="CD37" s="139"/>
    </row>
    <row r="38" spans="1:82" ht="13.5" customHeight="1">
      <c r="A38" s="80">
        <v>42</v>
      </c>
      <c r="B38" s="80" t="s">
        <v>427</v>
      </c>
      <c r="C38" s="93" t="str">
        <f>+'Cental Budget'!C48</f>
        <v>Transferi za socijalnu zaštitu</v>
      </c>
      <c r="D38" s="212">
        <f>+D39</f>
        <v>348512.57</v>
      </c>
      <c r="E38" s="252">
        <f t="shared" si="1"/>
        <v>7.56895580410468E-3</v>
      </c>
      <c r="F38" s="212">
        <f>+F39</f>
        <v>580140.53664000006</v>
      </c>
      <c r="G38" s="252">
        <f t="shared" si="0"/>
        <v>1.2599425271799327E-2</v>
      </c>
      <c r="H38" s="213">
        <f t="shared" si="2"/>
        <v>-231627.96664000006</v>
      </c>
      <c r="I38" s="260">
        <f t="shared" si="3"/>
        <v>-39.926182021604582</v>
      </c>
      <c r="J38" s="212">
        <f>+J39</f>
        <v>486144</v>
      </c>
      <c r="K38" s="252">
        <f t="shared" si="4"/>
        <v>1.1308304256803908E-2</v>
      </c>
      <c r="L38" s="213">
        <f t="shared" si="5"/>
        <v>-137631.43</v>
      </c>
      <c r="M38" s="260">
        <f t="shared" si="6"/>
        <v>-28.310835884017905</v>
      </c>
      <c r="BY38" s="141"/>
      <c r="BZ38" s="141"/>
      <c r="CA38" s="140"/>
      <c r="CB38" s="140"/>
      <c r="CC38" s="140"/>
      <c r="CD38" s="139"/>
    </row>
    <row r="39" spans="1:82" ht="13.5" customHeight="1">
      <c r="B39" s="80">
        <v>421</v>
      </c>
      <c r="C39" s="97" t="s">
        <v>88</v>
      </c>
      <c r="D39" s="210">
        <v>348512.57</v>
      </c>
      <c r="E39" s="251">
        <f>+D39/$D$11*100</f>
        <v>7.56895580410468E-3</v>
      </c>
      <c r="F39" s="210">
        <v>580140.53664000006</v>
      </c>
      <c r="G39" s="251">
        <f t="shared" si="0"/>
        <v>1.2599425271799327E-2</v>
      </c>
      <c r="H39" s="211">
        <f>+D39-F39</f>
        <v>-231627.96664000006</v>
      </c>
      <c r="I39" s="259">
        <f>+D39/F39*100-100</f>
        <v>-39.926182021604582</v>
      </c>
      <c r="J39" s="210">
        <v>486144</v>
      </c>
      <c r="K39" s="251">
        <f t="shared" si="4"/>
        <v>1.1308304256803908E-2</v>
      </c>
      <c r="L39" s="211">
        <f>+D39-J39</f>
        <v>-137631.43</v>
      </c>
      <c r="M39" s="259">
        <f>+D39/J39*100-100</f>
        <v>-28.310835884017905</v>
      </c>
      <c r="BY39" s="141"/>
      <c r="BZ39" s="141"/>
      <c r="CA39" s="140"/>
      <c r="CB39" s="140"/>
      <c r="CC39" s="140"/>
      <c r="CD39" s="139"/>
    </row>
    <row r="40" spans="1:82" ht="13.5" customHeight="1" thickBot="1">
      <c r="A40" s="80">
        <v>43</v>
      </c>
      <c r="C40" s="93" t="str">
        <f>+'Cental Budget'!C54</f>
        <v xml:space="preserve">Transferi institucijama, pojedincima, nevladinom i javnom sektoru </v>
      </c>
      <c r="D40" s="94">
        <v>36851024.100000001</v>
      </c>
      <c r="E40" s="229">
        <f t="shared" si="1"/>
        <v>0.80032629167119118</v>
      </c>
      <c r="F40" s="94">
        <v>32757844.690199997</v>
      </c>
      <c r="G40" s="229">
        <f t="shared" si="0"/>
        <v>0.71143109328265819</v>
      </c>
      <c r="H40" s="197">
        <f t="shared" si="2"/>
        <v>4093179.4098000042</v>
      </c>
      <c r="I40" s="242">
        <f t="shared" si="3"/>
        <v>12.495264717536614</v>
      </c>
      <c r="J40" s="149">
        <v>31617229.319999997</v>
      </c>
      <c r="K40" s="232">
        <f t="shared" si="4"/>
        <v>0.73545543893928811</v>
      </c>
      <c r="L40" s="197">
        <f t="shared" si="5"/>
        <v>5233794.7800000049</v>
      </c>
      <c r="M40" s="242">
        <f t="shared" si="6"/>
        <v>16.553616153485279</v>
      </c>
      <c r="BY40" s="141"/>
      <c r="BZ40" s="141"/>
      <c r="CA40" s="140"/>
      <c r="CB40" s="140"/>
      <c r="CC40" s="140"/>
      <c r="CD40" s="139"/>
    </row>
    <row r="41" spans="1:82" ht="13.5" customHeight="1" thickTop="1" thickBot="1">
      <c r="B41" s="80">
        <v>44</v>
      </c>
      <c r="C41" s="148" t="str">
        <f>+'Cental Budget'!C57</f>
        <v>Kapitalni budžet</v>
      </c>
      <c r="D41" s="214">
        <v>32886958.919999998</v>
      </c>
      <c r="E41" s="253">
        <f t="shared" si="1"/>
        <v>0.71423518123574758</v>
      </c>
      <c r="F41" s="215">
        <v>36432418.982539997</v>
      </c>
      <c r="G41" s="253">
        <f t="shared" si="0"/>
        <v>0.79123507400456061</v>
      </c>
      <c r="H41" s="214">
        <f t="shared" si="2"/>
        <v>-3545460.0625399984</v>
      </c>
      <c r="I41" s="253">
        <f t="shared" si="3"/>
        <v>-9.731607621879661</v>
      </c>
      <c r="J41" s="215">
        <v>26022911.169999998</v>
      </c>
      <c r="K41" s="276">
        <f t="shared" si="4"/>
        <v>0.60532475389625495</v>
      </c>
      <c r="L41" s="214">
        <f t="shared" si="5"/>
        <v>6864047.75</v>
      </c>
      <c r="M41" s="253">
        <f t="shared" si="6"/>
        <v>26.376940324467157</v>
      </c>
      <c r="BY41" s="141"/>
      <c r="BZ41" s="141"/>
      <c r="CA41" s="140"/>
      <c r="CB41" s="140"/>
      <c r="CC41" s="140"/>
      <c r="CD41" s="139"/>
    </row>
    <row r="42" spans="1:82" ht="13.5" customHeight="1" thickTop="1">
      <c r="B42" s="80">
        <v>451</v>
      </c>
      <c r="C42" s="93" t="str">
        <f>+'Cental Budget'!C58</f>
        <v>Pozajmice i krediti</v>
      </c>
      <c r="D42" s="212">
        <v>738748.3</v>
      </c>
      <c r="E42" s="252">
        <f t="shared" si="1"/>
        <v>1.6044050385492451E-2</v>
      </c>
      <c r="F42" s="212">
        <v>1672530.8628</v>
      </c>
      <c r="G42" s="252">
        <f t="shared" si="0"/>
        <v>3.6323832398740361E-2</v>
      </c>
      <c r="H42" s="213">
        <f t="shared" si="2"/>
        <v>-933782.56279999996</v>
      </c>
      <c r="I42" s="260">
        <f t="shared" si="3"/>
        <v>-55.83051312050204</v>
      </c>
      <c r="J42" s="212">
        <v>2208994.79</v>
      </c>
      <c r="K42" s="252">
        <f t="shared" si="4"/>
        <v>5.1383921609676669E-2</v>
      </c>
      <c r="L42" s="213">
        <f t="shared" si="5"/>
        <v>-1470246.49</v>
      </c>
      <c r="M42" s="260">
        <f t="shared" si="6"/>
        <v>-66.557263813193515</v>
      </c>
      <c r="BY42" s="141"/>
      <c r="BZ42" s="141"/>
      <c r="CA42" s="140"/>
      <c r="CB42" s="140"/>
      <c r="CC42" s="140"/>
      <c r="CD42" s="139"/>
    </row>
    <row r="43" spans="1:82" ht="13.5" customHeight="1" thickBot="1">
      <c r="B43" s="80">
        <v>47</v>
      </c>
      <c r="C43" s="93" t="str">
        <f>+'Cental Budget'!C59</f>
        <v>Rezerve</v>
      </c>
      <c r="D43" s="216">
        <v>2343764.89</v>
      </c>
      <c r="E43" s="254">
        <f t="shared" si="1"/>
        <v>5.0901615593441203E-2</v>
      </c>
      <c r="F43" s="216">
        <v>1425291.4195799998</v>
      </c>
      <c r="G43" s="254">
        <f t="shared" si="0"/>
        <v>3.0954314683027468E-2</v>
      </c>
      <c r="H43" s="217">
        <f t="shared" si="2"/>
        <v>918473.47042000038</v>
      </c>
      <c r="I43" s="261">
        <f t="shared" si="3"/>
        <v>64.441100100823832</v>
      </c>
      <c r="J43" s="216">
        <v>1169370.0999999999</v>
      </c>
      <c r="K43" s="254">
        <f t="shared" si="4"/>
        <v>2.7200979297511047E-2</v>
      </c>
      <c r="L43" s="217">
        <f t="shared" si="5"/>
        <v>1174394.7900000003</v>
      </c>
      <c r="M43" s="261">
        <f t="shared" si="6"/>
        <v>100.42969201966088</v>
      </c>
      <c r="BY43" s="141"/>
      <c r="BZ43" s="141"/>
      <c r="CA43" s="140"/>
      <c r="CB43" s="140"/>
      <c r="CC43" s="140"/>
      <c r="CD43" s="139"/>
    </row>
    <row r="44" spans="1:82" ht="13.5" customHeight="1" thickTop="1" thickBot="1">
      <c r="B44" s="80">
        <v>462</v>
      </c>
      <c r="C44" s="190" t="s">
        <v>112</v>
      </c>
      <c r="D44" s="218">
        <v>0</v>
      </c>
      <c r="E44" s="255">
        <f t="shared" si="1"/>
        <v>0</v>
      </c>
      <c r="F44" s="218">
        <v>0</v>
      </c>
      <c r="G44" s="255">
        <f t="shared" si="0"/>
        <v>0</v>
      </c>
      <c r="H44" s="219">
        <f t="shared" si="2"/>
        <v>0</v>
      </c>
      <c r="I44" s="261" t="e">
        <f t="shared" si="3"/>
        <v>#DIV/0!</v>
      </c>
      <c r="J44" s="218">
        <v>0</v>
      </c>
      <c r="K44" s="255">
        <f t="shared" si="4"/>
        <v>0</v>
      </c>
      <c r="L44" s="219">
        <f t="shared" si="5"/>
        <v>0</v>
      </c>
      <c r="M44" s="262" t="e">
        <f t="shared" si="6"/>
        <v>#DIV/0!</v>
      </c>
      <c r="BY44" s="141"/>
      <c r="BZ44" s="141"/>
      <c r="CA44" s="140"/>
      <c r="CB44" s="140"/>
      <c r="CC44" s="140"/>
      <c r="CD44" s="139"/>
    </row>
    <row r="45" spans="1:82" ht="13.5" customHeight="1" thickTop="1" thickBot="1">
      <c r="B45" s="80" t="s">
        <v>448</v>
      </c>
      <c r="C45" s="190" t="s">
        <v>446</v>
      </c>
      <c r="D45" s="212">
        <v>36017291.219700001</v>
      </c>
      <c r="E45" s="255">
        <f t="shared" si="1"/>
        <v>0.78221937712455203</v>
      </c>
      <c r="F45" s="224">
        <v>0</v>
      </c>
      <c r="G45" s="255">
        <f t="shared" si="0"/>
        <v>0</v>
      </c>
      <c r="H45" s="219">
        <f t="shared" si="2"/>
        <v>36017291.219700001</v>
      </c>
      <c r="I45" s="261" t="e">
        <f t="shared" si="3"/>
        <v>#DIV/0!</v>
      </c>
      <c r="J45" s="212">
        <v>26118685.409999996</v>
      </c>
      <c r="K45" s="255">
        <f t="shared" si="4"/>
        <v>0.60755257990230271</v>
      </c>
      <c r="L45" s="219">
        <f t="shared" si="5"/>
        <v>9898605.8097000048</v>
      </c>
      <c r="M45" s="262">
        <f t="shared" si="6"/>
        <v>37.898560568098674</v>
      </c>
      <c r="BY45" s="141"/>
      <c r="BZ45" s="141"/>
      <c r="CA45" s="140"/>
      <c r="CB45" s="140"/>
      <c r="CC45" s="140"/>
      <c r="CD45" s="139"/>
    </row>
    <row r="46" spans="1:82" ht="13.5" customHeight="1" thickTop="1" thickBot="1">
      <c r="B46" s="80">
        <v>990</v>
      </c>
      <c r="C46" s="191" t="s">
        <v>151</v>
      </c>
      <c r="D46" s="220">
        <v>0</v>
      </c>
      <c r="E46" s="256">
        <f t="shared" si="1"/>
        <v>0</v>
      </c>
      <c r="F46" s="220">
        <v>0</v>
      </c>
      <c r="G46" s="256">
        <f t="shared" si="0"/>
        <v>0</v>
      </c>
      <c r="H46" s="221">
        <f t="shared" si="2"/>
        <v>0</v>
      </c>
      <c r="I46" s="261" t="e">
        <f t="shared" si="3"/>
        <v>#DIV/0!</v>
      </c>
      <c r="J46" s="221">
        <v>0</v>
      </c>
      <c r="K46" s="256">
        <f t="shared" si="4"/>
        <v>0</v>
      </c>
      <c r="L46" s="221">
        <f t="shared" si="5"/>
        <v>0</v>
      </c>
      <c r="M46" s="262" t="e">
        <f t="shared" si="6"/>
        <v>#DIV/0!</v>
      </c>
      <c r="BY46" s="141"/>
      <c r="BZ46" s="141"/>
      <c r="CA46" s="140"/>
      <c r="CB46" s="140"/>
      <c r="CC46" s="140"/>
      <c r="CD46" s="139"/>
    </row>
    <row r="47" spans="1:82" ht="13.5" customHeight="1" thickTop="1" thickBot="1">
      <c r="C47" s="148" t="str">
        <f>+'Cental Budget'!C63</f>
        <v>Suficit / deficit</v>
      </c>
      <c r="D47" s="214">
        <f>+D16-D26</f>
        <v>-4139849.3860030472</v>
      </c>
      <c r="E47" s="253">
        <f t="shared" si="1"/>
        <v>-8.9908771549637251E-2</v>
      </c>
      <c r="F47" s="214">
        <f>+F16-F26</f>
        <v>31351382.577725872</v>
      </c>
      <c r="G47" s="253">
        <f t="shared" si="0"/>
        <v>0.68088571131992337</v>
      </c>
      <c r="H47" s="214">
        <f>+D47-F47</f>
        <v>-35491231.96372892</v>
      </c>
      <c r="I47" s="253">
        <f t="shared" si="3"/>
        <v>-113.20467885503804</v>
      </c>
      <c r="J47" s="214">
        <f>+J16-J26</f>
        <v>8353274.0899999738</v>
      </c>
      <c r="K47" s="276">
        <f t="shared" si="4"/>
        <v>0.19430737590137179</v>
      </c>
      <c r="L47" s="214">
        <f t="shared" si="5"/>
        <v>-12493123.476003021</v>
      </c>
      <c r="M47" s="253">
        <f t="shared" si="6"/>
        <v>-149.55960191655893</v>
      </c>
      <c r="BY47" s="141"/>
      <c r="BZ47" s="141"/>
      <c r="CA47" s="140"/>
      <c r="CB47" s="140"/>
      <c r="CC47" s="140"/>
      <c r="CD47" s="139"/>
    </row>
    <row r="48" spans="1:82" ht="13.5" customHeight="1" thickTop="1" thickBot="1">
      <c r="C48" s="148" t="str">
        <f>+'Cental Budget'!C64</f>
        <v>Primarni suficit/deficit</v>
      </c>
      <c r="D48" s="214">
        <f>+D47+D34</f>
        <v>-1580489.4660030468</v>
      </c>
      <c r="E48" s="253">
        <f t="shared" si="1"/>
        <v>-3.432488795749912E-2</v>
      </c>
      <c r="F48" s="214">
        <f>+F47+F34</f>
        <v>34070776.006505869</v>
      </c>
      <c r="G48" s="253">
        <f t="shared" si="0"/>
        <v>0.73994518420036637</v>
      </c>
      <c r="H48" s="214">
        <f t="shared" si="2"/>
        <v>-35651265.472508915</v>
      </c>
      <c r="I48" s="253">
        <f t="shared" si="3"/>
        <v>-104.63884199673424</v>
      </c>
      <c r="J48" s="214">
        <f>+J47+J34</f>
        <v>10916431.539999973</v>
      </c>
      <c r="K48" s="276">
        <f t="shared" si="4"/>
        <v>0.25392955431495634</v>
      </c>
      <c r="L48" s="214">
        <f t="shared" si="5"/>
        <v>-12496921.00600302</v>
      </c>
      <c r="M48" s="253">
        <f t="shared" si="6"/>
        <v>-114.47807793427567</v>
      </c>
      <c r="BY48" s="141"/>
      <c r="BZ48" s="141"/>
      <c r="CA48" s="140"/>
      <c r="CB48" s="140"/>
      <c r="CC48" s="140"/>
      <c r="CD48" s="139"/>
    </row>
    <row r="49" spans="2:82" ht="13.5" customHeight="1" thickTop="1" thickBot="1">
      <c r="C49" s="148" t="str">
        <f>+'Cental Budget'!C65</f>
        <v>Otplata dugova</v>
      </c>
      <c r="D49" s="214">
        <f>+SUM(D50:D51)</f>
        <v>10304492.800000001</v>
      </c>
      <c r="E49" s="253">
        <f t="shared" si="1"/>
        <v>0.22379178629601476</v>
      </c>
      <c r="F49" s="214">
        <f>+SUM(F50:F52)</f>
        <v>35700000</v>
      </c>
      <c r="G49" s="253">
        <f t="shared" si="0"/>
        <v>0.77532848300575519</v>
      </c>
      <c r="H49" s="214">
        <f t="shared" si="2"/>
        <v>-25395507.199999999</v>
      </c>
      <c r="I49" s="253">
        <f t="shared" si="3"/>
        <v>-71.135874509803926</v>
      </c>
      <c r="J49" s="214">
        <f>+SUM(J50:J51)</f>
        <v>8949007.0700000003</v>
      </c>
      <c r="K49" s="276">
        <f t="shared" si="4"/>
        <v>0.20816485391951617</v>
      </c>
      <c r="L49" s="214">
        <f t="shared" si="5"/>
        <v>1355485.7300000004</v>
      </c>
      <c r="M49" s="253">
        <f t="shared" si="6"/>
        <v>15.146772367004061</v>
      </c>
      <c r="BY49" s="141"/>
      <c r="BZ49" s="141"/>
      <c r="CA49" s="140"/>
      <c r="CB49" s="140"/>
      <c r="CC49" s="140"/>
      <c r="CD49" s="139"/>
    </row>
    <row r="50" spans="2:82" ht="13.5" customHeight="1" thickTop="1">
      <c r="B50" s="80">
        <v>4611</v>
      </c>
      <c r="C50" s="97" t="str">
        <f>+'Cental Budget'!C66</f>
        <v>Otplata hartija od vrijednosti i kredita rezidentima</v>
      </c>
      <c r="D50" s="222">
        <v>8171428.5</v>
      </c>
      <c r="E50" s="257">
        <f t="shared" si="1"/>
        <v>0.17746614181778697</v>
      </c>
      <c r="F50" s="222">
        <v>9800000</v>
      </c>
      <c r="G50" s="257">
        <f t="shared" si="0"/>
        <v>0.21283526984471712</v>
      </c>
      <c r="H50" s="223">
        <f t="shared" si="2"/>
        <v>-1628571.5</v>
      </c>
      <c r="I50" s="263">
        <f t="shared" si="3"/>
        <v>-16.618076530612242</v>
      </c>
      <c r="J50" s="222">
        <v>6737756.8100000005</v>
      </c>
      <c r="K50" s="257">
        <f t="shared" si="4"/>
        <v>0.15672846731798093</v>
      </c>
      <c r="L50" s="223">
        <f t="shared" si="5"/>
        <v>1433671.6899999995</v>
      </c>
      <c r="M50" s="263">
        <f t="shared" si="6"/>
        <v>21.278175072632209</v>
      </c>
      <c r="BY50" s="141"/>
      <c r="BZ50" s="141"/>
      <c r="CA50" s="140"/>
      <c r="CB50" s="140"/>
      <c r="CC50" s="140"/>
      <c r="CD50" s="139"/>
    </row>
    <row r="51" spans="2:82" ht="13.5" customHeight="1">
      <c r="B51" s="80">
        <v>4612</v>
      </c>
      <c r="C51" s="97" t="str">
        <f>+'Cental Budget'!C67</f>
        <v>Otplata hartija od vrijednosti i kredita nerezidentima</v>
      </c>
      <c r="D51" s="224">
        <v>2133064.2999999998</v>
      </c>
      <c r="E51" s="251">
        <f t="shared" si="1"/>
        <v>4.6325644478227818E-2</v>
      </c>
      <c r="F51" s="224">
        <v>2800000</v>
      </c>
      <c r="G51" s="251">
        <f t="shared" si="0"/>
        <v>6.0810077098490609E-2</v>
      </c>
      <c r="H51" s="211">
        <f t="shared" si="2"/>
        <v>-666935.70000000019</v>
      </c>
      <c r="I51" s="259">
        <f t="shared" si="3"/>
        <v>-23.819132142857143</v>
      </c>
      <c r="J51" s="224">
        <v>2211250.2599999998</v>
      </c>
      <c r="K51" s="251">
        <f t="shared" si="4"/>
        <v>5.1436386601535232E-2</v>
      </c>
      <c r="L51" s="211">
        <f t="shared" si="5"/>
        <v>-78185.959999999963</v>
      </c>
      <c r="M51" s="259">
        <f t="shared" si="6"/>
        <v>-3.5358259268220422</v>
      </c>
      <c r="BY51" s="141"/>
      <c r="BZ51" s="141"/>
      <c r="CA51" s="140"/>
      <c r="CB51" s="140"/>
      <c r="CC51" s="140"/>
      <c r="CD51" s="139"/>
    </row>
    <row r="52" spans="2:82" ht="13.5" customHeight="1" thickBot="1">
      <c r="B52" s="80" t="s">
        <v>448</v>
      </c>
      <c r="C52" s="97" t="s">
        <v>446</v>
      </c>
      <c r="D52" s="224">
        <v>0</v>
      </c>
      <c r="E52" s="251">
        <f t="shared" si="1"/>
        <v>0</v>
      </c>
      <c r="F52" s="224">
        <v>23100000</v>
      </c>
      <c r="G52" s="251">
        <f t="shared" si="0"/>
        <v>0.50168313606254755</v>
      </c>
      <c r="H52" s="211">
        <f t="shared" si="2"/>
        <v>-23100000</v>
      </c>
      <c r="I52" s="259">
        <f t="shared" si="3"/>
        <v>-100</v>
      </c>
      <c r="J52" s="224">
        <v>0</v>
      </c>
      <c r="K52" s="251">
        <f t="shared" si="4"/>
        <v>0</v>
      </c>
      <c r="L52" s="211">
        <f t="shared" si="5"/>
        <v>0</v>
      </c>
      <c r="M52" s="259" t="e">
        <f t="shared" si="6"/>
        <v>#DIV/0!</v>
      </c>
      <c r="BY52" s="141"/>
      <c r="BZ52" s="141"/>
      <c r="CA52" s="140"/>
      <c r="CB52" s="140"/>
      <c r="CC52" s="140"/>
      <c r="CD52" s="139"/>
    </row>
    <row r="53" spans="2:82" ht="13.5" customHeight="1" thickTop="1" thickBot="1">
      <c r="C53" s="148" t="s">
        <v>468</v>
      </c>
      <c r="D53" s="214">
        <v>0</v>
      </c>
      <c r="E53" s="253">
        <f t="shared" si="1"/>
        <v>0</v>
      </c>
      <c r="F53" s="214">
        <v>0</v>
      </c>
      <c r="G53" s="253">
        <f t="shared" si="0"/>
        <v>0</v>
      </c>
      <c r="H53" s="214">
        <f t="shared" si="2"/>
        <v>0</v>
      </c>
      <c r="I53" s="253" t="e">
        <f t="shared" si="3"/>
        <v>#DIV/0!</v>
      </c>
      <c r="J53" s="214">
        <v>0</v>
      </c>
      <c r="K53" s="276">
        <f t="shared" si="4"/>
        <v>0</v>
      </c>
      <c r="L53" s="214">
        <f t="shared" si="5"/>
        <v>0</v>
      </c>
      <c r="M53" s="253" t="e">
        <f t="shared" si="6"/>
        <v>#DIV/0!</v>
      </c>
      <c r="BY53" s="141"/>
      <c r="BZ53" s="141"/>
      <c r="CA53" s="140"/>
      <c r="CB53" s="140"/>
      <c r="CC53" s="140"/>
      <c r="CD53" s="139"/>
    </row>
    <row r="54" spans="2:82" ht="13.5" customHeight="1" thickTop="1" thickBot="1">
      <c r="C54" s="148" t="str">
        <f>+'Cental Budget'!C70</f>
        <v>Nedostajuća sredstva</v>
      </c>
      <c r="D54" s="214">
        <f>+D47-D49-D53</f>
        <v>-14444342.186003048</v>
      </c>
      <c r="E54" s="253">
        <f t="shared" si="1"/>
        <v>-0.31370055784565204</v>
      </c>
      <c r="F54" s="214">
        <f>+F47-F49-F53</f>
        <v>-4348617.4222741276</v>
      </c>
      <c r="G54" s="253">
        <f t="shared" si="0"/>
        <v>-9.4442771685831858E-2</v>
      </c>
      <c r="H54" s="214">
        <f t="shared" si="2"/>
        <v>-10095724.76372892</v>
      </c>
      <c r="I54" s="253">
        <f t="shared" si="3"/>
        <v>232.15941489857067</v>
      </c>
      <c r="J54" s="214">
        <f>+J47-J49-J53</f>
        <v>-595732.98000002652</v>
      </c>
      <c r="K54" s="276">
        <f t="shared" si="4"/>
        <v>-1.3857478018144371E-2</v>
      </c>
      <c r="L54" s="214">
        <f t="shared" si="5"/>
        <v>-13848609.206003021</v>
      </c>
      <c r="M54" s="253">
        <f t="shared" si="6"/>
        <v>2324.6336313296615</v>
      </c>
      <c r="BY54" s="141"/>
      <c r="BZ54" s="141"/>
      <c r="CA54" s="140"/>
      <c r="CB54" s="140"/>
      <c r="CC54" s="140"/>
      <c r="CD54" s="139"/>
    </row>
    <row r="55" spans="2:82" ht="13.5" customHeight="1" thickTop="1" thickBot="1">
      <c r="C55" s="148" t="str">
        <f>+'Cental Budget'!C71</f>
        <v>Finansiranje</v>
      </c>
      <c r="D55" s="214">
        <f>+SUM(D56:D60)</f>
        <v>14444342.186003048</v>
      </c>
      <c r="E55" s="253">
        <f t="shared" si="1"/>
        <v>0.31370055784565204</v>
      </c>
      <c r="F55" s="214">
        <f>+SUM(F56:F60)</f>
        <v>4348617.4222741276</v>
      </c>
      <c r="G55" s="253">
        <f t="shared" si="0"/>
        <v>9.4442771685831858E-2</v>
      </c>
      <c r="H55" s="214">
        <f t="shared" si="2"/>
        <v>10095724.76372892</v>
      </c>
      <c r="I55" s="253">
        <f t="shared" si="3"/>
        <v>232.15941489857067</v>
      </c>
      <c r="J55" s="214">
        <f>+SUM(J56:J60)</f>
        <v>595732.98000002629</v>
      </c>
      <c r="K55" s="276">
        <f t="shared" si="4"/>
        <v>1.3857478018144366E-2</v>
      </c>
      <c r="L55" s="214">
        <f t="shared" si="5"/>
        <v>13848609.206003021</v>
      </c>
      <c r="M55" s="253">
        <f t="shared" si="6"/>
        <v>2324.6336313296624</v>
      </c>
      <c r="BY55" s="141"/>
      <c r="BZ55" s="141"/>
      <c r="CA55" s="140"/>
      <c r="CB55" s="140"/>
      <c r="CC55" s="140"/>
      <c r="CD55" s="139"/>
    </row>
    <row r="56" spans="2:82" ht="13.5" customHeight="1" thickTop="1">
      <c r="B56" s="80">
        <v>7511</v>
      </c>
      <c r="C56" s="97" t="str">
        <f>+'Cental Budget'!C72</f>
        <v>Pozajmice i krediti od domaćih izvora</v>
      </c>
      <c r="D56" s="222">
        <v>3233423.13</v>
      </c>
      <c r="E56" s="257">
        <f t="shared" si="1"/>
        <v>7.0223110652622434E-2</v>
      </c>
      <c r="F56" s="222">
        <v>5600000</v>
      </c>
      <c r="G56" s="257">
        <f t="shared" si="0"/>
        <v>0.12162015419698122</v>
      </c>
      <c r="H56" s="223">
        <f t="shared" si="2"/>
        <v>-2366576.87</v>
      </c>
      <c r="I56" s="263">
        <f t="shared" si="3"/>
        <v>-42.260301249999998</v>
      </c>
      <c r="J56" s="222">
        <v>3873793.6999999997</v>
      </c>
      <c r="K56" s="257">
        <f t="shared" si="4"/>
        <v>9.0109181204931374E-2</v>
      </c>
      <c r="L56" s="223">
        <f t="shared" si="5"/>
        <v>-640370.56999999983</v>
      </c>
      <c r="M56" s="263">
        <f t="shared" si="6"/>
        <v>-16.530838232299246</v>
      </c>
      <c r="BY56" s="141"/>
      <c r="BZ56" s="141"/>
      <c r="CA56" s="140"/>
      <c r="CB56" s="140"/>
      <c r="CC56" s="140"/>
      <c r="CD56" s="139"/>
    </row>
    <row r="57" spans="2:82" ht="13.5" customHeight="1">
      <c r="B57" s="80">
        <v>7512</v>
      </c>
      <c r="C57" s="97" t="str">
        <f>+'Cental Budget'!C73</f>
        <v>Pozajmice i krediti od inostranih izvora</v>
      </c>
      <c r="D57" s="224">
        <v>1265175.07</v>
      </c>
      <c r="E57" s="251">
        <f t="shared" si="1"/>
        <v>2.7476926267781521E-2</v>
      </c>
      <c r="F57" s="224">
        <v>4200000</v>
      </c>
      <c r="G57" s="251">
        <f t="shared" si="0"/>
        <v>9.1215115647735906E-2</v>
      </c>
      <c r="H57" s="211">
        <f t="shared" si="2"/>
        <v>-2934824.9299999997</v>
      </c>
      <c r="I57" s="259">
        <f t="shared" si="3"/>
        <v>-69.87678404761904</v>
      </c>
      <c r="J57" s="224">
        <v>51270</v>
      </c>
      <c r="K57" s="251">
        <f t="shared" si="4"/>
        <v>1.1926029309141661E-3</v>
      </c>
      <c r="L57" s="211">
        <f t="shared" si="5"/>
        <v>1213905.07</v>
      </c>
      <c r="M57" s="278">
        <f t="shared" si="6"/>
        <v>2367.6712892529745</v>
      </c>
      <c r="BY57" s="141"/>
      <c r="BZ57" s="141"/>
      <c r="CA57" s="140"/>
      <c r="CB57" s="140"/>
      <c r="CC57" s="140"/>
      <c r="CD57" s="139"/>
    </row>
    <row r="58" spans="2:82" ht="13.5" customHeight="1" thickBot="1">
      <c r="B58" s="80">
        <v>72</v>
      </c>
      <c r="C58" s="103" t="str">
        <f>+'Cental Budget'!C74</f>
        <v>Primici od prodaje imovine</v>
      </c>
      <c r="D58" s="224">
        <v>3825630.37</v>
      </c>
      <c r="E58" s="251">
        <f t="shared" si="1"/>
        <v>8.3084599196438264E-2</v>
      </c>
      <c r="F58" s="224">
        <v>3500000</v>
      </c>
      <c r="G58" s="251">
        <f t="shared" si="0"/>
        <v>7.6012596373113264E-2</v>
      </c>
      <c r="H58" s="211">
        <f t="shared" si="2"/>
        <v>325630.37000000011</v>
      </c>
      <c r="I58" s="259">
        <f t="shared" si="3"/>
        <v>9.3037248571428535</v>
      </c>
      <c r="J58" s="224">
        <v>2491306.2400000002</v>
      </c>
      <c r="K58" s="251">
        <f t="shared" si="4"/>
        <v>5.7950831356129343E-2</v>
      </c>
      <c r="L58" s="211">
        <f t="shared" si="5"/>
        <v>1334324.1299999999</v>
      </c>
      <c r="M58" s="259">
        <f t="shared" si="6"/>
        <v>53.559217593417969</v>
      </c>
      <c r="BY58" s="141"/>
      <c r="BZ58" s="141"/>
      <c r="CA58" s="140"/>
      <c r="CB58" s="140"/>
      <c r="CC58" s="140"/>
      <c r="CD58" s="139"/>
    </row>
    <row r="59" spans="2:82" ht="13.5" customHeight="1" thickTop="1" thickBot="1">
      <c r="C59" s="143" t="str">
        <f>+'Cental Budget'!C75</f>
        <v>Povećanje / smanjenje depozita</v>
      </c>
      <c r="D59" s="144">
        <f>-D54-SUM(D56:D58)-D60</f>
        <v>2132311.2560030478</v>
      </c>
      <c r="E59" s="233">
        <f t="shared" si="1"/>
        <v>4.6309289955544529E-2</v>
      </c>
      <c r="F59" s="144">
        <f>-F54-SUM(F56:F58)-F60</f>
        <v>-11751382.577725872</v>
      </c>
      <c r="G59" s="233">
        <f t="shared" si="0"/>
        <v>-0.25521517163048918</v>
      </c>
      <c r="H59" s="198">
        <f t="shared" si="2"/>
        <v>13883693.833728921</v>
      </c>
      <c r="I59" s="248">
        <f t="shared" si="3"/>
        <v>-118.14519476239954</v>
      </c>
      <c r="J59" s="144">
        <f>-J54-SUM(J56:J58)-J60</f>
        <v>-7574996.2399999732</v>
      </c>
      <c r="K59" s="277">
        <f t="shared" si="4"/>
        <v>-0.1762036808560124</v>
      </c>
      <c r="L59" s="198">
        <f t="shared" si="5"/>
        <v>9707307.4960030206</v>
      </c>
      <c r="M59" s="248">
        <f t="shared" si="6"/>
        <v>-128.14933748406793</v>
      </c>
      <c r="BY59" s="141"/>
      <c r="BZ59" s="141"/>
      <c r="CA59" s="140"/>
      <c r="CB59" s="140"/>
      <c r="CC59" s="140"/>
      <c r="CD59" s="139"/>
    </row>
    <row r="60" spans="2:82" ht="13.5" customHeight="1" thickTop="1" thickBot="1">
      <c r="B60" s="80">
        <v>999</v>
      </c>
      <c r="C60" s="148" t="s">
        <v>455</v>
      </c>
      <c r="D60" s="215">
        <v>3987802.36</v>
      </c>
      <c r="E60" s="253">
        <f t="shared" si="1"/>
        <v>8.6606631773265275E-2</v>
      </c>
      <c r="F60" s="215">
        <v>2800000</v>
      </c>
      <c r="G60" s="253">
        <f t="shared" si="0"/>
        <v>6.0810077098490609E-2</v>
      </c>
      <c r="H60" s="214">
        <f>+D60-F60</f>
        <v>1187802.3599999999</v>
      </c>
      <c r="I60" s="253">
        <f t="shared" si="3"/>
        <v>42.421512857142858</v>
      </c>
      <c r="J60" s="215">
        <v>1754359.28</v>
      </c>
      <c r="K60" s="276">
        <f t="shared" si="4"/>
        <v>4.0808543382181907E-2</v>
      </c>
      <c r="L60" s="214">
        <f t="shared" si="5"/>
        <v>2233443.08</v>
      </c>
      <c r="M60" s="253">
        <f t="shared" si="6"/>
        <v>127.30819196852309</v>
      </c>
      <c r="N60" s="202"/>
      <c r="BY60" s="141"/>
      <c r="BZ60" s="141"/>
      <c r="CA60" s="140"/>
      <c r="CB60" s="140"/>
      <c r="CC60" s="140"/>
      <c r="CD60" s="139"/>
    </row>
    <row r="61" spans="2:82" ht="13.5" thickTop="1">
      <c r="C61" s="106" t="str">
        <f>IF(MasterSheet!$A$1=1,MasterSheet!C151,MasterSheet!B151)</f>
        <v>Izvor: Ministarstvo finansija Crne Gore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O61" s="81"/>
    </row>
    <row r="62" spans="2:82">
      <c r="C62" s="105"/>
      <c r="D62" s="105"/>
      <c r="E62" s="105"/>
      <c r="F62" s="105"/>
      <c r="G62" s="105"/>
      <c r="H62" s="105"/>
      <c r="I62" s="105"/>
      <c r="J62" s="105"/>
      <c r="K62" s="288"/>
      <c r="L62" s="105"/>
      <c r="M62" s="105"/>
      <c r="O62" s="81"/>
    </row>
    <row r="63" spans="2:82">
      <c r="D63" s="133"/>
      <c r="E63" s="134"/>
      <c r="F63" s="134"/>
      <c r="G63" s="134"/>
      <c r="H63" s="134"/>
      <c r="I63" s="134"/>
      <c r="J63" s="134"/>
      <c r="K63" s="134"/>
      <c r="L63" s="134"/>
      <c r="M63" s="284"/>
    </row>
    <row r="64" spans="2:82">
      <c r="D64" s="133"/>
      <c r="E64" s="134"/>
      <c r="F64" s="134"/>
      <c r="G64" s="134"/>
      <c r="H64" s="134"/>
      <c r="I64" s="134"/>
      <c r="J64" s="134"/>
      <c r="K64" s="134"/>
      <c r="L64" s="134"/>
      <c r="M64" s="134"/>
    </row>
    <row r="65" spans="3:13"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</row>
    <row r="66" spans="3:13" ht="15">
      <c r="E66" s="134"/>
      <c r="F66" s="134"/>
      <c r="G66" s="134"/>
      <c r="H66" s="134"/>
      <c r="I66" s="134"/>
      <c r="J66" s="134"/>
      <c r="K66" s="285"/>
      <c r="L66" s="134"/>
      <c r="M66" s="134"/>
    </row>
    <row r="67" spans="3:13">
      <c r="E67" s="134"/>
      <c r="F67" s="134"/>
      <c r="G67" s="134"/>
      <c r="H67" s="134"/>
      <c r="I67" s="134"/>
      <c r="J67" s="134"/>
      <c r="K67" s="134"/>
      <c r="L67" s="134"/>
      <c r="M67" s="134"/>
    </row>
    <row r="68" spans="3:13">
      <c r="E68" s="134"/>
      <c r="F68" s="134"/>
      <c r="G68" s="134"/>
      <c r="H68" s="134"/>
      <c r="I68" s="134"/>
      <c r="J68" s="134"/>
      <c r="K68" s="134"/>
      <c r="L68" s="134"/>
      <c r="M68" s="134"/>
    </row>
    <row r="69" spans="3:13">
      <c r="E69" s="134"/>
      <c r="F69" s="134"/>
      <c r="G69" s="134"/>
      <c r="H69" s="134"/>
      <c r="I69" s="134"/>
      <c r="J69" s="134"/>
      <c r="K69" s="134"/>
      <c r="L69" s="134"/>
      <c r="M69" s="134"/>
    </row>
    <row r="70" spans="3:13">
      <c r="E70" s="134"/>
      <c r="F70" s="134"/>
      <c r="G70" s="134"/>
      <c r="H70" s="134"/>
      <c r="I70" s="134"/>
      <c r="J70" s="134"/>
      <c r="K70" s="134"/>
      <c r="L70" s="134"/>
      <c r="M70" s="134"/>
    </row>
    <row r="71" spans="3:13">
      <c r="E71" s="134"/>
      <c r="F71" s="134"/>
      <c r="G71" s="134"/>
      <c r="H71" s="134"/>
      <c r="I71" s="134"/>
      <c r="J71" s="134"/>
      <c r="K71" s="134"/>
      <c r="L71" s="134"/>
      <c r="M71" s="134"/>
    </row>
    <row r="72" spans="3:13">
      <c r="E72" s="134"/>
      <c r="F72" s="134"/>
      <c r="G72" s="134"/>
      <c r="H72" s="134"/>
      <c r="I72" s="134"/>
      <c r="J72" s="134"/>
      <c r="K72" s="134"/>
      <c r="L72" s="134"/>
      <c r="M72" s="134"/>
    </row>
    <row r="73" spans="3:13">
      <c r="E73" s="134"/>
      <c r="F73" s="134"/>
      <c r="G73" s="134"/>
      <c r="H73" s="134"/>
      <c r="I73" s="134"/>
      <c r="J73" s="134"/>
      <c r="K73" s="134"/>
      <c r="L73" s="134"/>
      <c r="M73" s="134"/>
    </row>
    <row r="74" spans="3:13">
      <c r="E74" s="134"/>
      <c r="F74" s="134"/>
      <c r="G74" s="134"/>
      <c r="H74" s="134"/>
      <c r="I74" s="134"/>
      <c r="J74" s="134"/>
      <c r="K74" s="134"/>
      <c r="L74" s="134"/>
      <c r="M74" s="134"/>
    </row>
    <row r="75" spans="3:13">
      <c r="E75" s="134"/>
      <c r="F75" s="134"/>
      <c r="G75" s="134"/>
      <c r="H75" s="134"/>
      <c r="I75" s="134"/>
      <c r="J75" s="134"/>
      <c r="K75" s="134"/>
      <c r="L75" s="134"/>
      <c r="M75" s="134"/>
    </row>
    <row r="76" spans="3:13">
      <c r="E76" s="134"/>
      <c r="F76" s="134"/>
      <c r="G76" s="134"/>
      <c r="H76" s="134"/>
      <c r="I76" s="134"/>
      <c r="J76" s="134"/>
      <c r="K76" s="134"/>
      <c r="L76" s="134"/>
      <c r="M76" s="134"/>
    </row>
    <row r="77" spans="3:13">
      <c r="E77" s="134"/>
      <c r="F77" s="134"/>
      <c r="G77" s="134"/>
      <c r="H77" s="134"/>
      <c r="I77" s="134"/>
      <c r="J77" s="134"/>
      <c r="K77" s="134"/>
      <c r="L77" s="134"/>
      <c r="M77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K81"/>
  <sheetViews>
    <sheetView topLeftCell="B34" zoomScaleNormal="100" workbookViewId="0">
      <selection activeCell="J13" sqref="J13:K13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80" customWidth="1"/>
    <col min="14" max="55" width="9.140625" style="80" customWidth="1"/>
    <col min="56" max="56" width="9.140625" style="80"/>
    <col min="57" max="57" width="15.42578125" style="80" customWidth="1"/>
    <col min="58" max="58" width="12.7109375" style="80" customWidth="1"/>
    <col min="59" max="59" width="11.85546875" style="80" customWidth="1"/>
    <col min="60" max="16384" width="9.140625" style="80"/>
  </cols>
  <sheetData>
    <row r="1" spans="2:55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</row>
    <row r="2" spans="2:55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</row>
    <row r="3" spans="2:55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</row>
    <row r="4" spans="2:55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</row>
    <row r="5" spans="2:55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</row>
    <row r="6" spans="2:55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</row>
    <row r="7" spans="2:55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</row>
    <row r="8" spans="2:55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</row>
    <row r="9" spans="2:55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</row>
    <row r="10" spans="2:55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</row>
    <row r="11" spans="2:55" ht="18.75" customHeight="1" thickTop="1" thickBot="1">
      <c r="C11" s="160" t="str">
        <f>IF(MasterSheet!$A$1=1,MasterSheet!B67,MasterSheet!B66)</f>
        <v>BDP (u mil. €)</v>
      </c>
      <c r="D11" s="325">
        <f>+'Cental Budget'!D11:G11</f>
        <v>4604500000</v>
      </c>
      <c r="E11" s="326"/>
      <c r="F11" s="326"/>
      <c r="G11" s="327"/>
      <c r="H11" s="312"/>
      <c r="I11" s="313"/>
      <c r="J11" s="323">
        <f>+'Cental Budget'!J11:K11</f>
        <v>4299000000</v>
      </c>
      <c r="K11" s="324"/>
      <c r="L11" s="312"/>
      <c r="M11" s="316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</row>
    <row r="12" spans="2:55" ht="19.5" customHeight="1" thickTop="1">
      <c r="C12" s="16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</row>
    <row r="13" spans="2:55" ht="27" customHeight="1" thickBot="1">
      <c r="B13" s="85"/>
      <c r="C13" s="168"/>
      <c r="D13" s="320"/>
      <c r="E13" s="320"/>
      <c r="F13" s="86"/>
      <c r="G13" s="86"/>
      <c r="H13" s="86"/>
      <c r="I13" s="86"/>
      <c r="J13" s="332"/>
      <c r="K13" s="332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</row>
    <row r="14" spans="2:55" ht="15.75" customHeight="1" thickTop="1">
      <c r="B14" s="87"/>
      <c r="C14" s="328" t="s">
        <v>234</v>
      </c>
      <c r="D14" s="330" t="s">
        <v>465</v>
      </c>
      <c r="E14" s="331"/>
      <c r="F14" s="330" t="s">
        <v>466</v>
      </c>
      <c r="G14" s="331"/>
      <c r="H14" s="330" t="str">
        <f>+'Cental Budget'!H14:I14</f>
        <v>Odstupanje</v>
      </c>
      <c r="I14" s="331"/>
      <c r="J14" s="330" t="s">
        <v>463</v>
      </c>
      <c r="K14" s="331"/>
      <c r="L14" s="330" t="str">
        <f>+H14</f>
        <v>Odstupanje</v>
      </c>
      <c r="M14" s="33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</row>
    <row r="15" spans="2:55" ht="15" customHeight="1" thickBot="1">
      <c r="C15" s="329" t="str">
        <f>IF(MasterSheet!$A$1=1,MasterSheet!B71,MasterSheet!B70)</f>
        <v>Budžet Crne Gore</v>
      </c>
      <c r="D15" s="161" t="str">
        <f>IF(MasterSheet!$A$1=1,MasterSheet!C71,MasterSheet!C70)</f>
        <v>mil. €</v>
      </c>
      <c r="E15" s="162" t="str">
        <f>IF(MasterSheet!$A$1=1,MasterSheet!D71,MasterSheet!D70)</f>
        <v>% BDP</v>
      </c>
      <c r="F15" s="163" t="str">
        <f>IF(MasterSheet!$A$1=1,MasterSheet!E71,MasterSheet!E70)</f>
        <v>mil. €</v>
      </c>
      <c r="G15" s="164" t="str">
        <f>IF(MasterSheet!$A$1=1,MasterSheet!F71,MasterSheet!F70)</f>
        <v>% BDP</v>
      </c>
      <c r="H15" s="165" t="str">
        <f>IF(MasterSheet!$A$1=1,MasterSheet!G71,MasterSheet!G70)</f>
        <v>mil. €</v>
      </c>
      <c r="I15" s="164" t="s">
        <v>439</v>
      </c>
      <c r="J15" s="161" t="str">
        <f>IF(MasterSheet!$A$1=1,MasterSheet!I71,MasterSheet!I70)</f>
        <v>mil. €</v>
      </c>
      <c r="K15" s="163" t="str">
        <f>IF(MasterSheet!$A$1=1,MasterSheet!J71,MasterSheet!J70)</f>
        <v>% BDP</v>
      </c>
      <c r="L15" s="161" t="str">
        <f>IF(MasterSheet!$A$1=1,MasterSheet!K71,MasterSheet!K70)</f>
        <v>mil. €</v>
      </c>
      <c r="M15" s="162" t="s">
        <v>439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</row>
    <row r="16" spans="2:55" ht="15" customHeight="1" thickTop="1" thickBot="1">
      <c r="C16" s="171" t="str">
        <f>IF(MasterSheet!$A$1=1,MasterSheet!C72,MasterSheet!B72)</f>
        <v>Izvorni prihodi</v>
      </c>
      <c r="D16" s="169">
        <f>D17+D26+D31+D32+D33+D34+D35</f>
        <v>1434318930.3900001</v>
      </c>
      <c r="E16" s="264">
        <f t="shared" ref="E16:E75" si="0">D16/D$11*100</f>
        <v>31.150373121728748</v>
      </c>
      <c r="F16" s="169">
        <f>F17+F26+F31+F32+F33+F34+F35</f>
        <v>1434562242.6284087</v>
      </c>
      <c r="G16" s="264">
        <f>F16/D$11*100</f>
        <v>31.155657348863258</v>
      </c>
      <c r="H16" s="169">
        <f>+D16-F16</f>
        <v>-243312.23840856552</v>
      </c>
      <c r="I16" s="264">
        <f>+D16/F16*100-100</f>
        <v>-1.696073067995485E-2</v>
      </c>
      <c r="J16" s="169">
        <f>J17+J26+J31+J32+J33+J34+J35</f>
        <v>1265732013.1400003</v>
      </c>
      <c r="K16" s="264">
        <f t="shared" ref="K16:K75" si="1">J16/J$11*100</f>
        <v>29.442475299837177</v>
      </c>
      <c r="L16" s="169">
        <f>+D16-J16</f>
        <v>168586917.24999976</v>
      </c>
      <c r="M16" s="264">
        <f>+D16/J16*100-100</f>
        <v>13.319321586231595</v>
      </c>
      <c r="O16" s="294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</row>
    <row r="17" spans="2:60" ht="15" customHeight="1" thickTop="1">
      <c r="B17" s="80">
        <v>711</v>
      </c>
      <c r="C17" s="93" t="str">
        <f>IF(MasterSheet!$A$1=1,MasterSheet!C73,MasterSheet!B73)</f>
        <v>Porezi</v>
      </c>
      <c r="D17" s="149">
        <f>SUM(D18:D25)</f>
        <v>910831793</v>
      </c>
      <c r="E17" s="265">
        <f t="shared" si="0"/>
        <v>19.781339841459442</v>
      </c>
      <c r="F17" s="149">
        <f>SUM(F18:F25)</f>
        <v>899045199.77940166</v>
      </c>
      <c r="G17" s="265">
        <f t="shared" ref="G17:G75" si="2">F17/D$11*100</f>
        <v>19.525359969147608</v>
      </c>
      <c r="H17" s="199">
        <f t="shared" ref="H17:H75" si="3">+D17-F17</f>
        <v>11786593.22059834</v>
      </c>
      <c r="I17" s="271">
        <f t="shared" ref="I17:I75" si="4">+D17/F17*100-100</f>
        <v>1.3110123076670988</v>
      </c>
      <c r="J17" s="149">
        <f>SUM(J18:J25)</f>
        <v>811921503.73000002</v>
      </c>
      <c r="K17" s="265">
        <f t="shared" si="1"/>
        <v>18.886287595487321</v>
      </c>
      <c r="L17" s="199">
        <f t="shared" ref="L17:L75" si="5">+D17-J17</f>
        <v>98910289.269999981</v>
      </c>
      <c r="M17" s="273">
        <f t="shared" ref="M17:M74" si="6">+D17/J17*100-100</f>
        <v>12.182247768485269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</row>
    <row r="18" spans="2:60" ht="15" customHeight="1">
      <c r="B18" s="80">
        <v>7111</v>
      </c>
      <c r="C18" s="97" t="str">
        <f>IF(MasterSheet!$A$1=1,MasterSheet!C74,MasterSheet!B74)</f>
        <v>Porez na dohodak fizičkih lica</v>
      </c>
      <c r="D18" s="151">
        <f>'Cental Budget'!D18+'Local Government'!D18</f>
        <v>112483903.03000002</v>
      </c>
      <c r="E18" s="266">
        <f t="shared" si="0"/>
        <v>2.4429124341405153</v>
      </c>
      <c r="F18" s="151">
        <f>+IF(ISNUMBER(VLOOKUP($B18,'Cental Budget'!$B$16:$K$77,'Public Expenditure'!F$1,FALSE)),VLOOKUP($B18,'Cental Budget'!$B$16:$K$77,'Public Expenditure'!F$1,FALSE),0)+IF(ISNUMBER(VLOOKUP('Public Expenditure'!$B18,'Local Government'!$B$16:$M$60,'Public Expenditure'!F$1,FALSE)),VLOOKUP('Public Expenditure'!$B18,'Local Government'!$B$16:$M$60,'Public Expenditure'!F$1,FALSE),0)</f>
        <v>110281429.47116864</v>
      </c>
      <c r="G18" s="266">
        <f t="shared" si="2"/>
        <v>2.3950793673833997</v>
      </c>
      <c r="H18" s="200">
        <f t="shared" si="3"/>
        <v>2202473.5588313788</v>
      </c>
      <c r="I18" s="272">
        <f t="shared" si="4"/>
        <v>1.997139109814654</v>
      </c>
      <c r="J18" s="151">
        <f>+IF(ISNUMBER(VLOOKUP($B18,'Cental Budget'!$B$16:$K$77,'Public Expenditure'!J$1,FALSE)),VLOOKUP($B18,'Cental Budget'!$B$16:$K$77,'Public Expenditure'!J$1,FALSE),0)+IF(ISNUMBER(VLOOKUP('Public Expenditure'!$B18,'Local Government'!$B$16:$M$60,'Public Expenditure'!J$1,FALSE)),VLOOKUP('Public Expenditure'!$B18,'Local Government'!$B$16:$M$60,'Public Expenditure'!J$1,FALSE),0)</f>
        <v>103269254.92</v>
      </c>
      <c r="K18" s="266">
        <f t="shared" si="1"/>
        <v>2.4021692235403584</v>
      </c>
      <c r="L18" s="200">
        <f t="shared" si="5"/>
        <v>9214648.1100000143</v>
      </c>
      <c r="M18" s="272">
        <f t="shared" si="6"/>
        <v>8.9229346305813522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</row>
    <row r="19" spans="2:60" ht="15" customHeight="1">
      <c r="B19" s="80">
        <v>7112</v>
      </c>
      <c r="C19" s="97" t="str">
        <f>IF(MasterSheet!$A$1=1,MasterSheet!C75,MasterSheet!B75)</f>
        <v>Porez na dobit pravnih lica</v>
      </c>
      <c r="D19" s="151">
        <f>'Cental Budget'!D19</f>
        <v>64513553.079999991</v>
      </c>
      <c r="E19" s="266">
        <f t="shared" si="0"/>
        <v>1.4010979059615591</v>
      </c>
      <c r="F19" s="151">
        <f>+IF(ISNUMBER(VLOOKUP($B19,'Cental Budget'!$B$16:$K$77,'Public Expenditure'!F$1,FALSE)),VLOOKUP($B19,'Cental Budget'!$B$16:$K$77,'Public Expenditure'!F$1,FALSE),0)+IF(ISNUMBER(VLOOKUP('Public Expenditure'!$B19,'Local Government'!$B$16:$M$60,'Public Expenditure'!F$1,FALSE)),VLOOKUP('Public Expenditure'!$B19,'Local Government'!$B$16:$M$60,'Public Expenditure'!F$1,FALSE),0)</f>
        <v>56853639.427595504</v>
      </c>
      <c r="G19" s="266">
        <f t="shared" si="2"/>
        <v>1.2347407846149527</v>
      </c>
      <c r="H19" s="200">
        <f t="shared" si="3"/>
        <v>7659913.6524044871</v>
      </c>
      <c r="I19" s="272">
        <f t="shared" si="4"/>
        <v>13.473040124651249</v>
      </c>
      <c r="J19" s="151">
        <f>+IF(ISNUMBER(VLOOKUP($B19,'Cental Budget'!$B$16:$K$77,'Public Expenditure'!J$1,FALSE)),VLOOKUP($B19,'Cental Budget'!$B$16:$K$77,'Public Expenditure'!J$1,FALSE),0)+IF(ISNUMBER(VLOOKUP('Public Expenditure'!$B19,'Local Government'!$B$16:$M$60,'Public Expenditure'!J$1,FALSE)),VLOOKUP('Public Expenditure'!$B19,'Local Government'!$B$16:$M$60,'Public Expenditure'!J$1,FALSE),0)</f>
        <v>45207964.149999999</v>
      </c>
      <c r="K19" s="266">
        <f t="shared" si="1"/>
        <v>1.0515925598976505</v>
      </c>
      <c r="L19" s="200">
        <f t="shared" si="5"/>
        <v>19305588.929999992</v>
      </c>
      <c r="M19" s="272">
        <f t="shared" si="6"/>
        <v>42.703955581684795</v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E19" s="81"/>
    </row>
    <row r="20" spans="2:60" ht="15" customHeight="1">
      <c r="B20" s="80">
        <v>7113</v>
      </c>
      <c r="C20" s="97" t="str">
        <f>IF(MasterSheet!$A$1=1,MasterSheet!C76,MasterSheet!B76)</f>
        <v>Porez na promet nepokretnosti</v>
      </c>
      <c r="D20" s="151">
        <f>'Cental Budget'!D20+'Local Government'!D19</f>
        <v>16195475.569999998</v>
      </c>
      <c r="E20" s="266">
        <f t="shared" si="0"/>
        <v>0.35173147073515032</v>
      </c>
      <c r="F20" s="151">
        <f>+IF(ISNUMBER(VLOOKUP($B20,'Cental Budget'!$B$16:$K$77,'Public Expenditure'!F$1,FALSE)),VLOOKUP($B20,'Cental Budget'!$B$16:$K$77,'Public Expenditure'!F$1,FALSE),0)+IF(ISNUMBER(VLOOKUP('Public Expenditure'!$B20,'Local Government'!$B$16:$M$60,'Public Expenditure'!F$1,FALSE)),VLOOKUP('Public Expenditure'!$B20,'Local Government'!$B$16:$M$60,'Public Expenditure'!F$1,FALSE),0)</f>
        <v>12963295.450703423</v>
      </c>
      <c r="G20" s="266">
        <f t="shared" si="2"/>
        <v>0.28153535564563847</v>
      </c>
      <c r="H20" s="200">
        <f t="shared" si="3"/>
        <v>3232180.119296575</v>
      </c>
      <c r="I20" s="272">
        <f t="shared" si="4"/>
        <v>24.933321404174194</v>
      </c>
      <c r="J20" s="151">
        <f>+IF(ISNUMBER(VLOOKUP($B20,'Cental Budget'!$B$16:$K$77,'Public Expenditure'!J$1,FALSE)),VLOOKUP($B20,'Cental Budget'!$B$16:$K$77,'Public Expenditure'!J$1,FALSE),0)+IF(ISNUMBER(VLOOKUP('Public Expenditure'!$B20,'Local Government'!$B$16:$M$60,'Public Expenditure'!J$1,FALSE)),VLOOKUP('Public Expenditure'!$B20,'Local Government'!$B$16:$M$60,'Public Expenditure'!J$1,FALSE),0)</f>
        <v>10270195.83</v>
      </c>
      <c r="K20" s="266">
        <f t="shared" si="1"/>
        <v>0.23889732100488484</v>
      </c>
      <c r="L20" s="200">
        <f t="shared" si="5"/>
        <v>5925279.7399999984</v>
      </c>
      <c r="M20" s="272">
        <f t="shared" si="6"/>
        <v>57.693931431101049</v>
      </c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</row>
    <row r="21" spans="2:60" ht="15" customHeight="1">
      <c r="B21" s="80">
        <v>7114</v>
      </c>
      <c r="C21" s="97" t="str">
        <f>IF(MasterSheet!$A$1=1,MasterSheet!C77,MasterSheet!B77)</f>
        <v>Porez na dodatu vrijednost</v>
      </c>
      <c r="D21" s="151">
        <f>'Cental Budget'!D21</f>
        <v>461468715.59000003</v>
      </c>
      <c r="E21" s="266">
        <f t="shared" si="0"/>
        <v>10.022124347703334</v>
      </c>
      <c r="F21" s="151">
        <f>+IF(ISNUMBER(VLOOKUP($B21,'Cental Budget'!$B$16:$K$77,'Public Expenditure'!F$1,FALSE)),VLOOKUP($B21,'Cental Budget'!$B$16:$K$77,'Public Expenditure'!F$1,FALSE),0)+IF(ISNUMBER(VLOOKUP('Public Expenditure'!$B21,'Local Government'!$B$16:$M$60,'Public Expenditure'!F$1,FALSE)),VLOOKUP('Public Expenditure'!$B21,'Local Government'!$B$16:$M$60,'Public Expenditure'!F$1,FALSE),0)</f>
        <v>459774768.13895881</v>
      </c>
      <c r="G21" s="266">
        <f t="shared" si="2"/>
        <v>9.985335392310974</v>
      </c>
      <c r="H21" s="200">
        <f t="shared" si="3"/>
        <v>1693947.4510412216</v>
      </c>
      <c r="I21" s="272">
        <f t="shared" si="4"/>
        <v>0.36842984183273586</v>
      </c>
      <c r="J21" s="151">
        <f>+IF(ISNUMBER(VLOOKUP($B21,'Cental Budget'!$B$16:$K$77,'Public Expenditure'!J$1,FALSE)),VLOOKUP($B21,'Cental Budget'!$B$16:$K$77,'Public Expenditure'!J$1,FALSE),0)+IF(ISNUMBER(VLOOKUP('Public Expenditure'!$B21,'Local Government'!$B$16:$M$60,'Public Expenditure'!J$1,FALSE)),VLOOKUP('Public Expenditure'!$B21,'Local Government'!$B$16:$M$60,'Public Expenditure'!J$1,FALSE),0)</f>
        <v>403509805.97000003</v>
      </c>
      <c r="K21" s="266">
        <f t="shared" si="1"/>
        <v>9.3861317973947429</v>
      </c>
      <c r="L21" s="200">
        <f t="shared" si="5"/>
        <v>57958909.620000005</v>
      </c>
      <c r="M21" s="272">
        <f t="shared" si="6"/>
        <v>14.36369296668569</v>
      </c>
    </row>
    <row r="22" spans="2:60" ht="15" customHeight="1">
      <c r="B22" s="80">
        <v>7115</v>
      </c>
      <c r="C22" s="97" t="str">
        <f>IF(MasterSheet!$A$1=1,MasterSheet!C78,MasterSheet!B78)</f>
        <v>Akcize</v>
      </c>
      <c r="D22" s="151">
        <f>'Cental Budget'!D22</f>
        <v>166496597.86000001</v>
      </c>
      <c r="E22" s="266">
        <f t="shared" si="0"/>
        <v>3.61595391160821</v>
      </c>
      <c r="F22" s="151">
        <f>+IF(ISNUMBER(VLOOKUP($B22,'Cental Budget'!$B$16:$K$77,'Public Expenditure'!F$1,FALSE)),VLOOKUP($B22,'Cental Budget'!$B$16:$K$77,'Public Expenditure'!F$1,FALSE),0)+IF(ISNUMBER(VLOOKUP('Public Expenditure'!$B22,'Local Government'!$B$16:$M$60,'Public Expenditure'!F$1,FALSE)),VLOOKUP('Public Expenditure'!$B22,'Local Government'!$B$16:$M$60,'Public Expenditure'!F$1,FALSE),0)</f>
        <v>170608199.68479919</v>
      </c>
      <c r="G22" s="266">
        <f t="shared" si="2"/>
        <v>3.7052492058811857</v>
      </c>
      <c r="H22" s="200">
        <f t="shared" si="3"/>
        <v>-4111601.82479918</v>
      </c>
      <c r="I22" s="272">
        <f t="shared" si="4"/>
        <v>-2.4099673007483915</v>
      </c>
      <c r="J22" s="151">
        <f>+IF(ISNUMBER(VLOOKUP($B22,'Cental Budget'!$B$16:$K$77,'Public Expenditure'!J$1,FALSE)),VLOOKUP($B22,'Cental Budget'!$B$16:$K$77,'Public Expenditure'!J$1,FALSE),0)+IF(ISNUMBER(VLOOKUP('Public Expenditure'!$B22,'Local Government'!$B$16:$M$60,'Public Expenditure'!J$1,FALSE)),VLOOKUP('Public Expenditure'!$B22,'Local Government'!$B$16:$M$60,'Public Expenditure'!J$1,FALSE),0)</f>
        <v>165367045.34999999</v>
      </c>
      <c r="K22" s="266">
        <f t="shared" si="1"/>
        <v>3.8466398080949058</v>
      </c>
      <c r="L22" s="200">
        <f t="shared" si="5"/>
        <v>1129552.5100000203</v>
      </c>
      <c r="M22" s="272">
        <f t="shared" si="6"/>
        <v>0.68305780490260304</v>
      </c>
    </row>
    <row r="23" spans="2:60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1">
        <f>'Cental Budget'!D23</f>
        <v>20112543.760000002</v>
      </c>
      <c r="E23" s="266">
        <f t="shared" si="0"/>
        <v>0.43680190596155938</v>
      </c>
      <c r="F23" s="151">
        <f>+IF(ISNUMBER(VLOOKUP($B23,'Cental Budget'!$B$16:$K$77,'Public Expenditure'!F$1,FALSE)),VLOOKUP($B23,'Cental Budget'!$B$16:$K$77,'Public Expenditure'!F$1,FALSE),0)+IF(ISNUMBER(VLOOKUP('Public Expenditure'!$B23,'Local Government'!$B$16:$M$60,'Public Expenditure'!F$1,FALSE)),VLOOKUP('Public Expenditure'!$B23,'Local Government'!$B$16:$M$60,'Public Expenditure'!F$1,FALSE),0)</f>
        <v>20180249.262213923</v>
      </c>
      <c r="G23" s="266">
        <f t="shared" si="2"/>
        <v>0.43827232625070955</v>
      </c>
      <c r="H23" s="200">
        <f t="shared" si="3"/>
        <v>-67705.502213921398</v>
      </c>
      <c r="I23" s="272">
        <f t="shared" si="4"/>
        <v>-0.33550379548927367</v>
      </c>
      <c r="J23" s="151">
        <f>+IF(ISNUMBER(VLOOKUP($B23,'Cental Budget'!$B$16:$K$77,'Public Expenditure'!J$1,FALSE)),VLOOKUP($B23,'Cental Budget'!$B$16:$K$77,'Public Expenditure'!J$1,FALSE),0)+IF(ISNUMBER(VLOOKUP('Public Expenditure'!$B23,'Local Government'!$B$16:$M$60,'Public Expenditure'!J$1,FALSE)),VLOOKUP('Public Expenditure'!$B23,'Local Government'!$B$16:$M$60,'Public Expenditure'!J$1,FALSE),0)</f>
        <v>19081391.75</v>
      </c>
      <c r="K23" s="266">
        <f t="shared" si="1"/>
        <v>0.44385651895789718</v>
      </c>
      <c r="L23" s="200">
        <f t="shared" si="5"/>
        <v>1031152.0100000016</v>
      </c>
      <c r="M23" s="272">
        <f t="shared" si="6"/>
        <v>5.4039664585787079</v>
      </c>
      <c r="BF23" s="138"/>
      <c r="BG23" s="138"/>
      <c r="BH23" s="81"/>
    </row>
    <row r="24" spans="2:60" ht="15" customHeight="1">
      <c r="B24" s="80">
        <v>7117</v>
      </c>
      <c r="C24" s="97" t="s">
        <v>11</v>
      </c>
      <c r="D24" s="151">
        <f>'Local Government'!D20</f>
        <v>62657025.709999986</v>
      </c>
      <c r="E24" s="266">
        <f t="shared" si="0"/>
        <v>1.3607780586382883</v>
      </c>
      <c r="F24" s="151">
        <f>+IF(ISNUMBER(VLOOKUP($B24,'Cental Budget'!$B$16:$K$77,'Public Expenditure'!F$1,FALSE)),VLOOKUP($B24,'Cental Budget'!$B$16:$K$77,'Public Expenditure'!F$1,FALSE),0)+IF(ISNUMBER(VLOOKUP('Public Expenditure'!$B24,'Local Government'!$B$16:$M$60,'Public Expenditure'!F$1,FALSE)),VLOOKUP('Public Expenditure'!$B24,'Local Government'!$B$16:$M$60,'Public Expenditure'!F$1,FALSE),0)</f>
        <v>61338272.722860001</v>
      </c>
      <c r="G24" s="266">
        <f t="shared" si="2"/>
        <v>1.3321375333447714</v>
      </c>
      <c r="H24" s="200">
        <f t="shared" si="3"/>
        <v>1318752.987139985</v>
      </c>
      <c r="I24" s="272">
        <f t="shared" si="4"/>
        <v>2.1499675954332815</v>
      </c>
      <c r="J24" s="151">
        <f>+IF(ISNUMBER(VLOOKUP($B24,'Cental Budget'!$B$16:$K$77,'Public Expenditure'!J$1,FALSE)),VLOOKUP($B24,'Cental Budget'!$B$16:$K$77,'Public Expenditure'!J$1,FALSE),0)+IF(ISNUMBER(VLOOKUP('Public Expenditure'!$B24,'Local Government'!$B$16:$M$60,'Public Expenditure'!J$1,FALSE)),VLOOKUP('Public Expenditure'!$B24,'Local Government'!$B$16:$M$60,'Public Expenditure'!J$1,FALSE),0)</f>
        <v>58326075.810000002</v>
      </c>
      <c r="K24" s="266">
        <f t="shared" si="1"/>
        <v>1.3567358876482905</v>
      </c>
      <c r="L24" s="200">
        <f t="shared" si="5"/>
        <v>4330949.8999999836</v>
      </c>
      <c r="M24" s="272">
        <f t="shared" si="6"/>
        <v>7.4254093728305435</v>
      </c>
      <c r="BF24" s="138"/>
      <c r="BG24" s="138"/>
      <c r="BH24" s="81"/>
    </row>
    <row r="25" spans="2:60" ht="15" customHeight="1">
      <c r="B25" s="80">
        <v>7118</v>
      </c>
      <c r="C25" s="97" t="s">
        <v>457</v>
      </c>
      <c r="D25" s="151">
        <f>'Cental Budget'!D24</f>
        <v>6903978.3999999994</v>
      </c>
      <c r="E25" s="266">
        <f t="shared" si="0"/>
        <v>0.14993980671082635</v>
      </c>
      <c r="F25" s="151">
        <f>+IF(ISNUMBER(VLOOKUP($B25,'Cental Budget'!$B$16:$K$77,'Public Expenditure'!F$1,FALSE)),VLOOKUP($B25,'Cental Budget'!$B$16:$K$77,'Public Expenditure'!F$1,FALSE),0)+IF(ISNUMBER(VLOOKUP('Public Expenditure'!$B25,'Local Government'!$B$16:$M$60,'Public Expenditure'!F$1,FALSE)),VLOOKUP('Public Expenditure'!$B25,'Local Government'!$B$16:$M$60,'Public Expenditure'!F$1,FALSE),0)</f>
        <v>7045345.6211022232</v>
      </c>
      <c r="G25" s="266">
        <f t="shared" si="2"/>
        <v>0.15301000371597834</v>
      </c>
      <c r="H25" s="200">
        <f t="shared" si="3"/>
        <v>-141367.22110222373</v>
      </c>
      <c r="I25" s="272">
        <f t="shared" si="4"/>
        <v>-2.006533514534766</v>
      </c>
      <c r="J25" s="151">
        <f>+IF(ISNUMBER(VLOOKUP($B25,'Cental Budget'!$B$16:$K$77,'Public Expenditure'!J$1,FALSE)),VLOOKUP($B25,'Cental Budget'!$B$16:$K$77,'Public Expenditure'!J$1,FALSE),0)+IF(ISNUMBER(VLOOKUP('Public Expenditure'!$B25,'Local Government'!$B$16:$M$60,'Public Expenditure'!J$1,FALSE)),VLOOKUP('Public Expenditure'!$B25,'Local Government'!$B$16:$M$60,'Public Expenditure'!J$1,FALSE),0)</f>
        <v>6889769.9500000002</v>
      </c>
      <c r="K25" s="266">
        <f t="shared" si="1"/>
        <v>0.16026447894859269</v>
      </c>
      <c r="L25" s="200">
        <f t="shared" si="5"/>
        <v>14208.449999999255</v>
      </c>
      <c r="M25" s="272">
        <f t="shared" si="6"/>
        <v>0.20622531816174217</v>
      </c>
      <c r="BF25" s="138"/>
      <c r="BG25" s="138"/>
      <c r="BH25" s="81"/>
    </row>
    <row r="26" spans="2:60" ht="15" customHeight="1">
      <c r="B26" s="80">
        <v>712</v>
      </c>
      <c r="C26" s="93" t="str">
        <f>IF(MasterSheet!$A$1=1,MasterSheet!C81,MasterSheet!B81)</f>
        <v>Doprinosi</v>
      </c>
      <c r="D26" s="149">
        <f>'Cental Budget'!D25</f>
        <v>351331389.50999999</v>
      </c>
      <c r="E26" s="267">
        <f t="shared" si="0"/>
        <v>7.6301746011510474</v>
      </c>
      <c r="F26" s="149">
        <f>SUM(F27:F30)</f>
        <v>352093044.97005546</v>
      </c>
      <c r="G26" s="267">
        <f t="shared" si="2"/>
        <v>7.6467161465969253</v>
      </c>
      <c r="H26" s="199">
        <f t="shared" si="3"/>
        <v>-761655.46005547047</v>
      </c>
      <c r="I26" s="273">
        <f t="shared" si="4"/>
        <v>-0.21632221111332228</v>
      </c>
      <c r="J26" s="149">
        <f>SUM(J27:J30)</f>
        <v>330715133.68000001</v>
      </c>
      <c r="K26" s="267">
        <f t="shared" si="1"/>
        <v>7.6928386527099324</v>
      </c>
      <c r="L26" s="199">
        <f t="shared" si="5"/>
        <v>20616255.829999983</v>
      </c>
      <c r="M26" s="273">
        <f t="shared" si="6"/>
        <v>6.233841070589861</v>
      </c>
      <c r="BF26" s="138"/>
      <c r="BG26" s="138"/>
      <c r="BH26" s="81"/>
    </row>
    <row r="27" spans="2:60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1">
        <f>+IF(ISNUMBER(VLOOKUP($B27,'Cental Budget'!$B$16:$K$77,'Public Expenditure'!D$1,FALSE)),VLOOKUP($B27,'Cental Budget'!$B$16:$K$77,'Public Expenditure'!D$1,FALSE),0)+IF(ISNUMBER(VLOOKUP('Public Expenditure'!$B27,'Local Government'!$B$16:$M$60,'Public Expenditure'!D$1,FALSE)),VLOOKUP('Public Expenditure'!$B27,'Local Government'!$B$16:$M$60,'Public Expenditure'!D$1,FALSE),0)</f>
        <v>211532835.92000002</v>
      </c>
      <c r="E27" s="266">
        <f t="shared" si="0"/>
        <v>4.5940457361277014</v>
      </c>
      <c r="F27" s="151">
        <f>+IF(ISNUMBER(VLOOKUP($B27,'Cental Budget'!$B$16:$K$77,'Public Expenditure'!F$1,FALSE)),VLOOKUP($B27,'Cental Budget'!$B$16:$K$77,'Public Expenditure'!F$1,FALSE),0)+IF(ISNUMBER(VLOOKUP('Public Expenditure'!$B27,'Local Government'!$B$16:$M$60,'Public Expenditure'!F$1,FALSE)),VLOOKUP('Public Expenditure'!$B27,'Local Government'!$B$16:$M$60,'Public Expenditure'!F$1,FALSE),0)</f>
        <v>210240424.65713471</v>
      </c>
      <c r="G27" s="266">
        <f t="shared" si="2"/>
        <v>4.5659772973642028</v>
      </c>
      <c r="H27" s="200">
        <f t="shared" si="3"/>
        <v>1292411.2628653049</v>
      </c>
      <c r="I27" s="272">
        <f t="shared" si="4"/>
        <v>0.61473014287001604</v>
      </c>
      <c r="J27" s="151">
        <f>+IF(ISNUMBER(VLOOKUP($B27,'Cental Budget'!$B$16:$K$77,'Public Expenditure'!J$1,FALSE)),VLOOKUP($B27,'Cental Budget'!$B$16:$K$77,'Public Expenditure'!J$1,FALSE),0)+IF(ISNUMBER(VLOOKUP('Public Expenditure'!$B27,'Local Government'!$B$16:$M$60,'Public Expenditure'!J$1,FALSE)),VLOOKUP('Public Expenditure'!$B27,'Local Government'!$B$16:$M$60,'Public Expenditure'!J$1,FALSE),0)</f>
        <v>199521104.30000001</v>
      </c>
      <c r="K27" s="266">
        <f t="shared" si="1"/>
        <v>4.6411050081414285</v>
      </c>
      <c r="L27" s="200">
        <f t="shared" si="5"/>
        <v>12011731.620000005</v>
      </c>
      <c r="M27" s="272">
        <f t="shared" si="6"/>
        <v>6.0202812440027174</v>
      </c>
      <c r="BF27" s="138"/>
      <c r="BG27" s="138"/>
      <c r="BH27" s="81"/>
    </row>
    <row r="28" spans="2:60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1">
        <f>+IF(ISNUMBER(VLOOKUP($B28,'Cental Budget'!$B$16:$K$77,'Public Expenditure'!D$1,FALSE)),VLOOKUP($B28,'Cental Budget'!$B$16:$K$77,'Public Expenditure'!D$1,FALSE),0)+IF(ISNUMBER(VLOOKUP('Public Expenditure'!$B28,'Local Government'!$B$16:$M$60,'Public Expenditure'!D$1,FALSE)),VLOOKUP('Public Expenditure'!$B28,'Local Government'!$B$16:$M$60,'Public Expenditure'!D$1,FALSE),0)</f>
        <v>122263069.46000001</v>
      </c>
      <c r="E28" s="266">
        <f t="shared" si="0"/>
        <v>2.6552952429145407</v>
      </c>
      <c r="F28" s="151">
        <f>+IF(ISNUMBER(VLOOKUP($B28,'Cental Budget'!$B$16:$K$77,'Public Expenditure'!F$1,FALSE)),VLOOKUP($B28,'Cental Budget'!$B$16:$K$77,'Public Expenditure'!F$1,FALSE),0)+IF(ISNUMBER(VLOOKUP('Public Expenditure'!$B28,'Local Government'!$B$16:$M$60,'Public Expenditure'!F$1,FALSE)),VLOOKUP('Public Expenditure'!$B28,'Local Government'!$B$16:$M$60,'Public Expenditure'!F$1,FALSE),0)</f>
        <v>122765086.50071792</v>
      </c>
      <c r="G28" s="266">
        <f t="shared" si="2"/>
        <v>2.6661979911112592</v>
      </c>
      <c r="H28" s="200">
        <f t="shared" si="3"/>
        <v>-502017.0407179147</v>
      </c>
      <c r="I28" s="272">
        <f t="shared" si="4"/>
        <v>-0.40892492729598473</v>
      </c>
      <c r="J28" s="151">
        <f>+IF(ISNUMBER(VLOOKUP($B28,'Cental Budget'!$B$16:$K$77,'Public Expenditure'!J$1,FALSE)),VLOOKUP($B28,'Cental Budget'!$B$16:$K$77,'Public Expenditure'!J$1,FALSE),0)+IF(ISNUMBER(VLOOKUP('Public Expenditure'!$B28,'Local Government'!$B$16:$M$60,'Public Expenditure'!J$1,FALSE)),VLOOKUP('Public Expenditure'!$B28,'Local Government'!$B$16:$M$60,'Public Expenditure'!J$1,FALSE),0)</f>
        <v>113827350.36999999</v>
      </c>
      <c r="K28" s="266">
        <f t="shared" si="1"/>
        <v>2.6477634419632472</v>
      </c>
      <c r="L28" s="200">
        <f t="shared" si="5"/>
        <v>8435719.0900000185</v>
      </c>
      <c r="M28" s="272">
        <f t="shared" si="6"/>
        <v>7.410977293751813</v>
      </c>
      <c r="BF28" s="138"/>
      <c r="BG28" s="138"/>
      <c r="BH28" s="81"/>
    </row>
    <row r="29" spans="2:60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1">
        <f>+IF(ISNUMBER(VLOOKUP($B29,'Cental Budget'!$B$16:$K$77,'Public Expenditure'!D$1,FALSE)),VLOOKUP($B29,'Cental Budget'!$B$16:$K$77,'Public Expenditure'!D$1,FALSE),0)+IF(ISNUMBER(VLOOKUP('Public Expenditure'!$B29,'Local Government'!$B$16:$M$60,'Public Expenditure'!D$1,FALSE)),VLOOKUP('Public Expenditure'!$B29,'Local Government'!$B$16:$M$60,'Public Expenditure'!D$1,FALSE),0)</f>
        <v>9066838.9000000004</v>
      </c>
      <c r="E29" s="266">
        <f t="shared" si="0"/>
        <v>0.19691256162449777</v>
      </c>
      <c r="F29" s="151">
        <f>+IF(ISNUMBER(VLOOKUP($B29,'Cental Budget'!$B$16:$K$77,'Public Expenditure'!F$1,FALSE)),VLOOKUP($B29,'Cental Budget'!$B$16:$K$77,'Public Expenditure'!F$1,FALSE),0)+IF(ISNUMBER(VLOOKUP('Public Expenditure'!$B29,'Local Government'!$B$16:$M$60,'Public Expenditure'!F$1,FALSE)),VLOOKUP('Public Expenditure'!$B29,'Local Government'!$B$16:$M$60,'Public Expenditure'!F$1,FALSE),0)</f>
        <v>10387390.507108964</v>
      </c>
      <c r="G29" s="266">
        <f t="shared" si="2"/>
        <v>0.22559214913908054</v>
      </c>
      <c r="H29" s="200">
        <f t="shared" si="3"/>
        <v>-1320551.6071089637</v>
      </c>
      <c r="I29" s="272">
        <f t="shared" si="4"/>
        <v>-12.713025530379355</v>
      </c>
      <c r="J29" s="151">
        <f>+IF(ISNUMBER(VLOOKUP($B29,'Cental Budget'!$B$16:$K$77,'Public Expenditure'!J$1,FALSE)),VLOOKUP($B29,'Cental Budget'!$B$16:$K$77,'Public Expenditure'!J$1,FALSE),0)+IF(ISNUMBER(VLOOKUP('Public Expenditure'!$B29,'Local Government'!$B$16:$M$60,'Public Expenditure'!J$1,FALSE)),VLOOKUP('Public Expenditure'!$B29,'Local Government'!$B$16:$M$60,'Public Expenditure'!J$1,FALSE),0)</f>
        <v>9065320.2199999988</v>
      </c>
      <c r="K29" s="266">
        <f t="shared" si="1"/>
        <v>0.21087044010234934</v>
      </c>
      <c r="L29" s="200">
        <f t="shared" si="5"/>
        <v>1518.6800000015646</v>
      </c>
      <c r="M29" s="272">
        <f t="shared" si="6"/>
        <v>1.6752634911341602E-2</v>
      </c>
      <c r="BF29" s="138"/>
      <c r="BG29" s="138"/>
      <c r="BH29" s="81"/>
    </row>
    <row r="30" spans="2:60" ht="15" hidden="1" customHeight="1">
      <c r="B30" s="80">
        <v>7124</v>
      </c>
      <c r="C30" s="97" t="str">
        <f>IF(MasterSheet!$A$1=1,MasterSheet!C85,MasterSheet!B85)</f>
        <v>Ostali doprinosi</v>
      </c>
      <c r="D30" s="151">
        <f>+IF(ISNUMBER(VLOOKUP($B30,'Cental Budget'!$B$16:$K$77,'Public Expenditure'!D$1,FALSE)),VLOOKUP($B30,'Cental Budget'!$B$16:$K$77,'Public Expenditure'!D$1,FALSE),0)+IF(ISNUMBER(VLOOKUP('Public Expenditure'!$B30,'Local Government'!$B$16:$M$60,'Public Expenditure'!D$1,FALSE)),VLOOKUP('Public Expenditure'!$B30,'Local Government'!$B$16:$M$60,'Public Expenditure'!D$1,FALSE),0)</f>
        <v>8468645.2300000004</v>
      </c>
      <c r="E30" s="266">
        <f t="shared" si="0"/>
        <v>0.18392106048430884</v>
      </c>
      <c r="F30" s="151">
        <f>+IF(ISNUMBER(VLOOKUP($B30,'Cental Budget'!$B$16:$K$77,'Public Expenditure'!F$1,FALSE)),VLOOKUP($B30,'Cental Budget'!$B$16:$K$77,'Public Expenditure'!F$1,FALSE),0)+IF(ISNUMBER(VLOOKUP('Public Expenditure'!$B30,'Local Government'!$B$16:$M$60,'Public Expenditure'!F$1,FALSE)),VLOOKUP('Public Expenditure'!$B30,'Local Government'!$B$16:$M$60,'Public Expenditure'!F$1,FALSE),0)</f>
        <v>8700143.3050938118</v>
      </c>
      <c r="G30" s="266">
        <f t="shared" si="2"/>
        <v>0.1889487089823827</v>
      </c>
      <c r="H30" s="200">
        <f t="shared" si="3"/>
        <v>-231498.07509381138</v>
      </c>
      <c r="I30" s="272">
        <f t="shared" si="4"/>
        <v>-2.6608535856906315</v>
      </c>
      <c r="J30" s="151">
        <f>+IF(ISNUMBER(VLOOKUP($B30,'Cental Budget'!$B$16:$K$77,'Public Expenditure'!J$1,FALSE)),VLOOKUP($B30,'Cental Budget'!$B$16:$K$77,'Public Expenditure'!J$1,FALSE),0)+IF(ISNUMBER(VLOOKUP('Public Expenditure'!$B30,'Local Government'!$B$16:$M$60,'Public Expenditure'!J$1,FALSE)),VLOOKUP('Public Expenditure'!$B30,'Local Government'!$B$16:$M$60,'Public Expenditure'!J$1,FALSE),0)</f>
        <v>8301358.7899999991</v>
      </c>
      <c r="K30" s="266">
        <f t="shared" si="1"/>
        <v>0.19309976250290764</v>
      </c>
      <c r="L30" s="200">
        <f t="shared" si="5"/>
        <v>167286.44000000134</v>
      </c>
      <c r="M30" s="272">
        <f t="shared" si="6"/>
        <v>2.0151693744585373</v>
      </c>
      <c r="BF30" s="81"/>
      <c r="BG30" s="81"/>
      <c r="BH30" s="81"/>
    </row>
    <row r="31" spans="2:60" ht="15" customHeight="1">
      <c r="B31" s="80">
        <v>713</v>
      </c>
      <c r="C31" s="93" t="str">
        <f>IF(MasterSheet!$A$1=1,MasterSheet!C86,MasterSheet!B86)</f>
        <v>Takse</v>
      </c>
      <c r="D31" s="149">
        <f>'Cental Budget'!D30+'Local Government'!D21</f>
        <v>17027170.530000001</v>
      </c>
      <c r="E31" s="267">
        <f t="shared" si="0"/>
        <v>0.36979412596373112</v>
      </c>
      <c r="F31" s="149">
        <f>+IF(ISNUMBER(VLOOKUP($B31,'Cental Budget'!$B$16:$K$77,'Public Expenditure'!F$1,FALSE)),VLOOKUP($B31,'Cental Budget'!$B$16:$K$77,'Public Expenditure'!F$1,FALSE),0)+IF(ISNUMBER(VLOOKUP('Public Expenditure'!$B31,'Local Government'!$B$16:$M$60,'Public Expenditure'!F$1,FALSE)),VLOOKUP('Public Expenditure'!$B31,'Local Government'!$B$16:$M$60,'Public Expenditure'!F$1,FALSE),0)</f>
        <v>17517021.63829124</v>
      </c>
      <c r="G31" s="267">
        <f t="shared" si="2"/>
        <v>0.38043265584300662</v>
      </c>
      <c r="H31" s="199">
        <f t="shared" si="3"/>
        <v>-489851.10829123855</v>
      </c>
      <c r="I31" s="273">
        <f t="shared" si="4"/>
        <v>-2.7964292013001284</v>
      </c>
      <c r="J31" s="149">
        <f>+IF(ISNUMBER(VLOOKUP($B31,'Cental Budget'!$B$16:$K$77,'Public Expenditure'!J$1,FALSE)),VLOOKUP($B31,'Cental Budget'!$B$16:$K$77,'Public Expenditure'!J$1,FALSE),0)+IF(ISNUMBER(VLOOKUP('Public Expenditure'!$B31,'Local Government'!$B$16:$M$60,'Public Expenditure'!J$1,FALSE)),VLOOKUP('Public Expenditure'!$B31,'Local Government'!$B$16:$M$60,'Public Expenditure'!J$1,FALSE),0)</f>
        <v>17725939.010000002</v>
      </c>
      <c r="K31" s="267">
        <f t="shared" si="1"/>
        <v>0.41232702977436614</v>
      </c>
      <c r="L31" s="199">
        <f t="shared" si="5"/>
        <v>-698768.48000000045</v>
      </c>
      <c r="M31" s="273">
        <f t="shared" si="6"/>
        <v>-3.9420674955825632</v>
      </c>
      <c r="BF31" s="81"/>
      <c r="BG31" s="81"/>
      <c r="BH31" s="81"/>
    </row>
    <row r="32" spans="2:60" ht="15" customHeight="1">
      <c r="B32" s="80">
        <v>714</v>
      </c>
      <c r="C32" s="93" t="str">
        <f>IF(MasterSheet!$A$1=1,MasterSheet!C91,MasterSheet!B91)</f>
        <v>Naknade</v>
      </c>
      <c r="D32" s="149">
        <f>'Cental Budget'!D31+'Local Government'!D22</f>
        <v>56024444.510000005</v>
      </c>
      <c r="E32" s="267">
        <f t="shared" si="0"/>
        <v>1.2167324250190032</v>
      </c>
      <c r="F32" s="149">
        <f>+IF(ISNUMBER(VLOOKUP($B32,'Cental Budget'!$B$16:$K$77,'Public Expenditure'!F$1,FALSE)),VLOOKUP($B32,'Cental Budget'!$B$16:$K$77,'Public Expenditure'!F$1,FALSE),0)+IF(ISNUMBER(VLOOKUP('Public Expenditure'!$B32,'Local Government'!$B$16:$M$60,'Public Expenditure'!F$1,FALSE)),VLOOKUP('Public Expenditure'!$B32,'Local Government'!$B$16:$M$60,'Public Expenditure'!F$1,FALSE),0)</f>
        <v>66457715.065176822</v>
      </c>
      <c r="G32" s="267">
        <f t="shared" si="2"/>
        <v>1.4433209917510439</v>
      </c>
      <c r="H32" s="199">
        <f t="shared" si="3"/>
        <v>-10433270.555176817</v>
      </c>
      <c r="I32" s="273">
        <f t="shared" si="4"/>
        <v>-15.699111149013518</v>
      </c>
      <c r="J32" s="149">
        <f>+IF(ISNUMBER(VLOOKUP($B32,'Cental Budget'!$B$16:$K$77,'Public Expenditure'!J$1,FALSE)),VLOOKUP($B32,'Cental Budget'!$B$16:$K$77,'Public Expenditure'!J$1,FALSE),0)+IF(ISNUMBER(VLOOKUP('Public Expenditure'!$B32,'Local Government'!$B$16:$M$60,'Public Expenditure'!J$1,FALSE)),VLOOKUP('Public Expenditure'!$B32,'Local Government'!$B$16:$M$60,'Public Expenditure'!J$1,FALSE),0)</f>
        <v>53631345.890000001</v>
      </c>
      <c r="K32" s="267">
        <f t="shared" si="1"/>
        <v>1.2475307255175623</v>
      </c>
      <c r="L32" s="199">
        <f t="shared" si="5"/>
        <v>2393098.6200000048</v>
      </c>
      <c r="M32" s="273">
        <f t="shared" si="6"/>
        <v>4.4621267288506061</v>
      </c>
      <c r="BF32" s="138"/>
      <c r="BG32" s="138"/>
      <c r="BH32" s="138"/>
    </row>
    <row r="33" spans="1:63" ht="15" customHeight="1">
      <c r="B33" s="80">
        <v>715</v>
      </c>
      <c r="C33" s="93" t="str">
        <f>IF(MasterSheet!$A$1=1,MasterSheet!C98,MasterSheet!B98)</f>
        <v>Ostali prihodi</v>
      </c>
      <c r="D33" s="149">
        <f>'Cental Budget'!D32+'Local Government'!D23</f>
        <v>74948862</v>
      </c>
      <c r="E33" s="267">
        <f t="shared" si="0"/>
        <v>1.6277307416657616</v>
      </c>
      <c r="F33" s="149">
        <f>+IF(ISNUMBER(VLOOKUP($B33,'Cental Budget'!$B$16:$K$77,'Public Expenditure'!F$1,FALSE)),VLOOKUP($B33,'Cental Budget'!$B$16:$K$77,'Public Expenditure'!F$1,FALSE),0)+IF(ISNUMBER(VLOOKUP('Public Expenditure'!$B33,'Local Government'!$B$16:$M$60,'Public Expenditure'!F$1,FALSE)),VLOOKUP('Public Expenditure'!$B33,'Local Government'!$B$16:$M$60,'Public Expenditure'!F$1,FALSE),0)</f>
        <v>71169072.104502842</v>
      </c>
      <c r="G33" s="267">
        <f t="shared" si="2"/>
        <v>1.5456417006081624</v>
      </c>
      <c r="H33" s="199">
        <f t="shared" si="3"/>
        <v>3779789.8954971582</v>
      </c>
      <c r="I33" s="273">
        <f t="shared" si="4"/>
        <v>5.3110006688678055</v>
      </c>
      <c r="J33" s="149">
        <f>+IF(ISNUMBER(VLOOKUP($B33,'Cental Budget'!$B$16:$K$77,'Public Expenditure'!J$1,FALSE)),VLOOKUP($B33,'Cental Budget'!$B$16:$K$77,'Public Expenditure'!J$1,FALSE),0)+IF(ISNUMBER(VLOOKUP('Public Expenditure'!$B33,'Local Government'!$B$16:$M$60,'Public Expenditure'!J$1,FALSE)),VLOOKUP('Public Expenditure'!$B33,'Local Government'!$B$16:$M$60,'Public Expenditure'!J$1,FALSE),0)</f>
        <v>34248239.969999999</v>
      </c>
      <c r="K33" s="267">
        <f t="shared" si="1"/>
        <v>0.7966559658060014</v>
      </c>
      <c r="L33" s="199">
        <f t="shared" si="5"/>
        <v>40700622.030000001</v>
      </c>
      <c r="M33" s="273">
        <f t="shared" si="6"/>
        <v>118.8400398550466</v>
      </c>
      <c r="BF33" s="81"/>
      <c r="BG33" s="81"/>
      <c r="BH33" s="81"/>
      <c r="BI33" s="81"/>
      <c r="BJ33" s="81"/>
    </row>
    <row r="34" spans="1:63">
      <c r="B34" s="80">
        <v>73</v>
      </c>
      <c r="C34" s="101" t="str">
        <f>IF(MasterSheet!$A$1=1,MasterSheet!C103,MasterSheet!B103)</f>
        <v xml:space="preserve">Primici od otplate kredita </v>
      </c>
      <c r="D34" s="149">
        <f>'Cental Budget'!D33+'Local Government'!D24</f>
        <v>5577751.4500000002</v>
      </c>
      <c r="E34" s="267">
        <f t="shared" si="0"/>
        <v>0.12113696275382778</v>
      </c>
      <c r="F34" s="149">
        <f>+IF(ISNUMBER(VLOOKUP($B34,'Cental Budget'!$B$16:$K$77,'Public Expenditure'!F$1,FALSE)),VLOOKUP($B34,'Cental Budget'!$B$16:$K$77,'Public Expenditure'!F$1,FALSE),0)+IF(ISNUMBER(VLOOKUP('Public Expenditure'!$B34,'Local Government'!$B$16:$M$60,'Public Expenditure'!F$1,FALSE)),VLOOKUP('Public Expenditure'!$B34,'Local Government'!$B$16:$M$60,'Public Expenditure'!F$1,FALSE),0)</f>
        <v>5126021.0801104074</v>
      </c>
      <c r="G34" s="267">
        <f t="shared" si="2"/>
        <v>0.11132633467500072</v>
      </c>
      <c r="H34" s="199">
        <f t="shared" si="3"/>
        <v>451730.36988959275</v>
      </c>
      <c r="I34" s="273">
        <f t="shared" si="4"/>
        <v>8.8124953610191312</v>
      </c>
      <c r="J34" s="149">
        <f>+IF(ISNUMBER(VLOOKUP($B34,'Cental Budget'!$B$16:$K$77,'Public Expenditure'!J$1,FALSE)),VLOOKUP($B34,'Cental Budget'!$B$16:$K$77,'Public Expenditure'!J$1,FALSE),0)+IF(ISNUMBER(VLOOKUP('Public Expenditure'!$B34,'Local Government'!$B$16:$M$60,'Public Expenditure'!J$1,FALSE)),VLOOKUP('Public Expenditure'!$B34,'Local Government'!$B$16:$M$60,'Public Expenditure'!J$1,FALSE),0)</f>
        <v>3529582.71</v>
      </c>
      <c r="K34" s="267">
        <f t="shared" si="1"/>
        <v>8.2102412421493368E-2</v>
      </c>
      <c r="L34" s="199">
        <f t="shared" si="5"/>
        <v>2048168.7400000002</v>
      </c>
      <c r="M34" s="273">
        <f t="shared" si="6"/>
        <v>58.028637045312365</v>
      </c>
      <c r="BE34" s="100"/>
      <c r="BF34" s="100"/>
      <c r="BG34" s="99"/>
      <c r="BH34" s="140"/>
      <c r="BI34" s="140"/>
      <c r="BJ34" s="140"/>
      <c r="BK34" s="139"/>
    </row>
    <row r="35" spans="1:63" ht="13.5" customHeight="1" thickBot="1">
      <c r="B35" s="80">
        <v>74</v>
      </c>
      <c r="C35" s="93" t="s">
        <v>122</v>
      </c>
      <c r="D35" s="149">
        <f>'Cental Budget'!D34+'Local Government'!D25</f>
        <v>18577519.390000001</v>
      </c>
      <c r="E35" s="267">
        <f>D35/D$11*100</f>
        <v>0.40346442371593005</v>
      </c>
      <c r="F35" s="149">
        <f>+IF(ISNUMBER(VLOOKUP($B35,'Cental Budget'!$B$16:$K$77,'Public Expenditure'!F$1,FALSE)),VLOOKUP($B35,'Cental Budget'!$B$16:$K$77,'Public Expenditure'!F$1,FALSE),0)+IF(ISNUMBER(VLOOKUP('Public Expenditure'!$B35,'Local Government'!$B$16:$M$60,'Public Expenditure'!F$1,FALSE)),VLOOKUP('Public Expenditure'!$B35,'Local Government'!$B$16:$M$60,'Public Expenditure'!F$1,FALSE),0)-185257.67</f>
        <v>23154167.990870509</v>
      </c>
      <c r="G35" s="267">
        <f t="shared" si="2"/>
        <v>0.50285955024151396</v>
      </c>
      <c r="H35" s="199">
        <f t="shared" si="3"/>
        <v>-4576648.6008705087</v>
      </c>
      <c r="I35" s="273">
        <f t="shared" si="4"/>
        <v>-19.765981669801491</v>
      </c>
      <c r="J35" s="149">
        <f>+IF(ISNUMBER(VLOOKUP($B35,'Cental Budget'!$B$16:$K$77,'Public Expenditure'!J$1,FALSE)),VLOOKUP($B35,'Cental Budget'!$B$16:$K$77,'Public Expenditure'!J$1,FALSE),0)+IF(ISNUMBER(VLOOKUP('Public Expenditure'!$B35,'Local Government'!$B$16:$M$60,'Public Expenditure'!J$1,FALSE)),VLOOKUP('Public Expenditure'!$B35,'Local Government'!$B$16:$M$60,'Public Expenditure'!J$1,FALSE),0)-181625.17</f>
        <v>13960268.150000002</v>
      </c>
      <c r="K35" s="267">
        <f>J35/J$11*100</f>
        <v>0.32473291812049321</v>
      </c>
      <c r="L35" s="199">
        <f t="shared" si="5"/>
        <v>4617251.2399999984</v>
      </c>
      <c r="M35" s="273">
        <f t="shared" si="6"/>
        <v>33.074230311256571</v>
      </c>
      <c r="BF35" s="154"/>
      <c r="BG35" s="154"/>
      <c r="BH35" s="140"/>
      <c r="BI35" s="140"/>
      <c r="BJ35" s="140"/>
      <c r="BK35" s="139"/>
    </row>
    <row r="36" spans="1:63" ht="15" customHeight="1" thickTop="1" thickBot="1">
      <c r="B36" s="102"/>
      <c r="C36" s="171" t="s">
        <v>234</v>
      </c>
      <c r="D36" s="166">
        <f>+D38+D49+D55+SUM(D56:D61)</f>
        <v>1463794233.0660028</v>
      </c>
      <c r="E36" s="264">
        <f t="shared" si="0"/>
        <v>31.79051434609627</v>
      </c>
      <c r="F36" s="166">
        <f>+F38+F49+F55+SUM(F56:F61)</f>
        <v>1505199611.6681867</v>
      </c>
      <c r="G36" s="264">
        <f t="shared" si="2"/>
        <v>32.68975158362877</v>
      </c>
      <c r="H36" s="166">
        <f t="shared" si="3"/>
        <v>-41405378.602183819</v>
      </c>
      <c r="I36" s="264">
        <f t="shared" si="4"/>
        <v>-2.750823098890848</v>
      </c>
      <c r="J36" s="166">
        <f>+J38+J49+J55+SUM(J56:J61)</f>
        <v>1359734626.8400002</v>
      </c>
      <c r="K36" s="264">
        <f t="shared" si="1"/>
        <v>31.629091110490815</v>
      </c>
      <c r="L36" s="166">
        <f t="shared" si="5"/>
        <v>104059606.22600269</v>
      </c>
      <c r="M36" s="264">
        <f t="shared" si="6"/>
        <v>7.6529349309751211</v>
      </c>
      <c r="O36" s="206"/>
      <c r="BF36" s="81"/>
      <c r="BG36" s="81"/>
      <c r="BH36" s="140"/>
      <c r="BI36" s="140"/>
      <c r="BJ36" s="140"/>
      <c r="BK36" s="139"/>
    </row>
    <row r="37" spans="1:63" ht="13.5" customHeight="1" thickTop="1" thickBot="1">
      <c r="C37" s="171" t="s">
        <v>279</v>
      </c>
      <c r="D37" s="166">
        <f>+D36-D56</f>
        <v>1286357710.7460029</v>
      </c>
      <c r="E37" s="264">
        <f t="shared" si="0"/>
        <v>27.936968416679399</v>
      </c>
      <c r="F37" s="166">
        <f>+F36-F56</f>
        <v>1259638442.6856465</v>
      </c>
      <c r="G37" s="264">
        <f t="shared" si="2"/>
        <v>27.356682434263146</v>
      </c>
      <c r="H37" s="166">
        <f t="shared" si="3"/>
        <v>26719268.060356379</v>
      </c>
      <c r="I37" s="264">
        <f t="shared" si="4"/>
        <v>2.1211855048968573</v>
      </c>
      <c r="J37" s="166">
        <f>+J36-J56</f>
        <v>1232642955.5700002</v>
      </c>
      <c r="K37" s="264">
        <f t="shared" si="1"/>
        <v>28.672783334961622</v>
      </c>
      <c r="L37" s="166">
        <f t="shared" si="5"/>
        <v>53714755.176002741</v>
      </c>
      <c r="M37" s="264">
        <f t="shared" si="6"/>
        <v>4.3576897051396344</v>
      </c>
      <c r="BF37" s="154"/>
      <c r="BG37" s="154"/>
      <c r="BH37" s="140"/>
      <c r="BI37" s="140"/>
      <c r="BJ37" s="140"/>
      <c r="BK37" s="139"/>
    </row>
    <row r="38" spans="1:63" ht="13.5" customHeight="1" thickTop="1">
      <c r="A38" s="80">
        <v>41</v>
      </c>
      <c r="B38" s="80">
        <v>41</v>
      </c>
      <c r="C38" s="93" t="s">
        <v>62</v>
      </c>
      <c r="D38" s="94">
        <f>+SUM(D39:D48)</f>
        <v>634826096.00630295</v>
      </c>
      <c r="E38" s="267">
        <f t="shared" si="0"/>
        <v>13.787079943670385</v>
      </c>
      <c r="F38" s="94">
        <f>+SUM(F39:F48)</f>
        <v>642830823.70406663</v>
      </c>
      <c r="G38" s="267">
        <f t="shared" si="2"/>
        <v>13.960925696689468</v>
      </c>
      <c r="H38" s="197">
        <f t="shared" si="3"/>
        <v>-8004727.6977636814</v>
      </c>
      <c r="I38" s="273">
        <f t="shared" si="4"/>
        <v>-1.2452308449740315</v>
      </c>
      <c r="J38" s="94">
        <f>+SUM(J39:J48)</f>
        <v>610743941.83000016</v>
      </c>
      <c r="K38" s="267">
        <f t="shared" si="1"/>
        <v>14.206651356827175</v>
      </c>
      <c r="L38" s="197">
        <f t="shared" si="5"/>
        <v>24082154.176302791</v>
      </c>
      <c r="M38" s="273">
        <f t="shared" si="6"/>
        <v>3.9430852321095955</v>
      </c>
      <c r="BF38" s="154"/>
      <c r="BG38" s="154"/>
      <c r="BH38" s="140"/>
      <c r="BI38" s="140"/>
      <c r="BJ38" s="140"/>
      <c r="BK38" s="139"/>
    </row>
    <row r="39" spans="1:63" ht="13.5" customHeight="1">
      <c r="B39" s="80">
        <v>411</v>
      </c>
      <c r="C39" s="93" t="s">
        <v>63</v>
      </c>
      <c r="D39" s="149">
        <f>'Cental Budget'!D38+'Local Government'!D29</f>
        <v>373617609.44800001</v>
      </c>
      <c r="E39" s="267">
        <f t="shared" si="0"/>
        <v>8.1141841556737972</v>
      </c>
      <c r="F39" s="149">
        <f>+IF(ISNUMBER(VLOOKUP($B39,'Cental Budget'!$B$16:$K$77,'Public Expenditure'!F$1,FALSE)),VLOOKUP($B39,'Cental Budget'!$B$16:$K$77,'Public Expenditure'!F$1,FALSE),0)+IF(ISNUMBER(VLOOKUP('Public Expenditure'!$B39,'Local Government'!$B$16:$M$60,'Public Expenditure'!F$1,FALSE)),VLOOKUP('Public Expenditure'!$B39,'Local Government'!$B$16:$M$60,'Public Expenditure'!F$1,FALSE),0)</f>
        <v>368685329.12171996</v>
      </c>
      <c r="G39" s="267">
        <f t="shared" si="2"/>
        <v>8.0070654603479205</v>
      </c>
      <c r="H39" s="199">
        <f t="shared" si="3"/>
        <v>4932280.3262800574</v>
      </c>
      <c r="I39" s="273">
        <f t="shared" si="4"/>
        <v>1.337802168052022</v>
      </c>
      <c r="J39" s="149">
        <f>+IF(ISNUMBER(VLOOKUP($B39,'Cental Budget'!$B$16:$K$77,'Public Expenditure'!J$1,FALSE)),VLOOKUP($B39,'Cental Budget'!$B$16:$K$77,'Public Expenditure'!J$1,FALSE),0)+IF(ISNUMBER(VLOOKUP('Public Expenditure'!$B39,'Local Government'!$B$16:$M$60,'Public Expenditure'!J$1,FALSE)),VLOOKUP('Public Expenditure'!$B39,'Local Government'!$B$16:$M$60,'Public Expenditure'!J$1,FALSE),0)</f>
        <v>361155813.60000002</v>
      </c>
      <c r="K39" s="267">
        <f t="shared" si="1"/>
        <v>8.4009261130495467</v>
      </c>
      <c r="L39" s="199">
        <f t="shared" si="5"/>
        <v>12461795.84799999</v>
      </c>
      <c r="M39" s="273">
        <f t="shared" si="6"/>
        <v>3.4505317036934429</v>
      </c>
      <c r="BF39" s="154"/>
      <c r="BG39" s="154"/>
      <c r="BH39" s="140"/>
      <c r="BI39" s="140"/>
      <c r="BJ39" s="140"/>
      <c r="BK39" s="139"/>
    </row>
    <row r="40" spans="1:63" ht="13.5" customHeight="1">
      <c r="B40" s="80">
        <v>412</v>
      </c>
      <c r="C40" s="93" t="s">
        <v>74</v>
      </c>
      <c r="D40" s="149">
        <f>'Cental Budget'!D39+'Local Government'!D30</f>
        <v>10068650.199999999</v>
      </c>
      <c r="E40" s="267">
        <f t="shared" si="0"/>
        <v>0.21866978390704742</v>
      </c>
      <c r="F40" s="149">
        <f>+IF(ISNUMBER(VLOOKUP($B40,'Cental Budget'!$B$16:$K$77,'Public Expenditure'!F$1,FALSE)),VLOOKUP($B40,'Cental Budget'!$B$16:$K$77,'Public Expenditure'!F$1,FALSE),0)+IF(ISNUMBER(VLOOKUP('Public Expenditure'!$B40,'Local Government'!$B$16:$M$60,'Public Expenditure'!F$1,FALSE)),VLOOKUP('Public Expenditure'!$B40,'Local Government'!$B$16:$M$60,'Public Expenditure'!F$1,FALSE),0)</f>
        <v>11829871.569773335</v>
      </c>
      <c r="G40" s="267">
        <f t="shared" si="2"/>
        <v>0.25691978650827096</v>
      </c>
      <c r="H40" s="199">
        <f t="shared" si="3"/>
        <v>-1761221.3697733358</v>
      </c>
      <c r="I40" s="273">
        <f t="shared" si="4"/>
        <v>-14.887916232949266</v>
      </c>
      <c r="J40" s="149">
        <f>+IF(ISNUMBER(VLOOKUP($B40,'Cental Budget'!$B$16:$K$77,'Public Expenditure'!J$1,FALSE)),VLOOKUP($B40,'Cental Budget'!$B$16:$K$77,'Public Expenditure'!J$1,FALSE),0)+IF(ISNUMBER(VLOOKUP('Public Expenditure'!$B40,'Local Government'!$B$16:$M$60,'Public Expenditure'!J$1,FALSE)),VLOOKUP('Public Expenditure'!$B40,'Local Government'!$B$16:$M$60,'Public Expenditure'!J$1,FALSE),0)</f>
        <v>8601963.9800000004</v>
      </c>
      <c r="K40" s="267">
        <f t="shared" si="1"/>
        <v>0.20009220702488953</v>
      </c>
      <c r="L40" s="199">
        <f>+D40-J40</f>
        <v>1466686.2199999988</v>
      </c>
      <c r="M40" s="273">
        <f t="shared" si="6"/>
        <v>17.050597089340513</v>
      </c>
      <c r="BF40" s="154"/>
      <c r="BG40" s="154"/>
      <c r="BH40" s="140"/>
      <c r="BI40" s="140"/>
      <c r="BJ40" s="140"/>
      <c r="BK40" s="139"/>
    </row>
    <row r="41" spans="1:63" ht="13.5" customHeight="1">
      <c r="B41" s="80">
        <v>413</v>
      </c>
      <c r="C41" s="93" t="s">
        <v>428</v>
      </c>
      <c r="D41" s="149">
        <f>'Cental Budget'!D40+'Local Government'!D31</f>
        <v>27321178.119904999</v>
      </c>
      <c r="E41" s="267">
        <f t="shared" si="0"/>
        <v>0.59335819567607773</v>
      </c>
      <c r="F41" s="149">
        <f>+IF(ISNUMBER(VLOOKUP($B41,'Cental Budget'!$B$16:$K$77,'Public Expenditure'!F$1,FALSE)),VLOOKUP($B41,'Cental Budget'!$B$16:$K$77,'Public Expenditure'!F$1,FALSE),0)+IF(ISNUMBER(VLOOKUP('Public Expenditure'!$B41,'Local Government'!$B$16:$M$60,'Public Expenditure'!F$1,FALSE)),VLOOKUP('Public Expenditure'!$B41,'Local Government'!$B$16:$M$60,'Public Expenditure'!F$1,FALSE),0)</f>
        <v>29479662.331734002</v>
      </c>
      <c r="G41" s="267">
        <f t="shared" si="2"/>
        <v>0.64023590686793352</v>
      </c>
      <c r="H41" s="199">
        <f t="shared" si="3"/>
        <v>-2158484.2118290029</v>
      </c>
      <c r="I41" s="273">
        <f t="shared" si="4"/>
        <v>-7.321943472552789</v>
      </c>
      <c r="J41" s="149">
        <f>+IF(ISNUMBER(VLOOKUP($B41,'Cental Budget'!$B$16:$K$77,'Public Expenditure'!J$1,FALSE)),VLOOKUP($B41,'Cental Budget'!$B$16:$K$77,'Public Expenditure'!J$1,FALSE),0)+IF(ISNUMBER(VLOOKUP('Public Expenditure'!$B41,'Local Government'!$B$16:$M$60,'Public Expenditure'!J$1,FALSE)),VLOOKUP('Public Expenditure'!$B41,'Local Government'!$B$16:$M$60,'Public Expenditure'!J$1,FALSE),0)</f>
        <v>23284315.539999999</v>
      </c>
      <c r="K41" s="267">
        <f t="shared" si="1"/>
        <v>0.54162166876017681</v>
      </c>
      <c r="L41" s="199">
        <f t="shared" si="5"/>
        <v>4036862.5799049996</v>
      </c>
      <c r="M41" s="273">
        <f t="shared" si="6"/>
        <v>17.337261097368724</v>
      </c>
      <c r="BF41" s="154"/>
      <c r="BG41" s="154"/>
      <c r="BH41" s="140"/>
      <c r="BI41" s="140"/>
      <c r="BJ41" s="140"/>
      <c r="BK41" s="139"/>
    </row>
    <row r="42" spans="1:63" ht="13.5" customHeight="1">
      <c r="B42" s="80">
        <v>414</v>
      </c>
      <c r="C42" s="93" t="s">
        <v>429</v>
      </c>
      <c r="D42" s="149">
        <f>'Cental Budget'!D41+'Local Government'!D32</f>
        <v>51859454.298397996</v>
      </c>
      <c r="E42" s="267">
        <f t="shared" si="0"/>
        <v>1.1262776479182972</v>
      </c>
      <c r="F42" s="149">
        <f>+IF(ISNUMBER(VLOOKUP($B42,'Cental Budget'!$B$16:$K$77,'Public Expenditure'!F$1,FALSE)),VLOOKUP($B42,'Cental Budget'!$B$16:$K$77,'Public Expenditure'!F$1,FALSE),0)+IF(ISNUMBER(VLOOKUP('Public Expenditure'!$B42,'Local Government'!$B$16:$M$60,'Public Expenditure'!F$1,FALSE)),VLOOKUP('Public Expenditure'!$B42,'Local Government'!$B$16:$M$60,'Public Expenditure'!F$1,FALSE),0)</f>
        <v>49385779.967712656</v>
      </c>
      <c r="G42" s="267">
        <f t="shared" si="2"/>
        <v>1.0725546740734642</v>
      </c>
      <c r="H42" s="199">
        <f t="shared" si="3"/>
        <v>2473674.3306853399</v>
      </c>
      <c r="I42" s="273">
        <f t="shared" si="4"/>
        <v>5.008879746968816</v>
      </c>
      <c r="J42" s="149">
        <f>+IF(ISNUMBER(VLOOKUP($B42,'Cental Budget'!$B$16:$K$77,'Public Expenditure'!J$1,FALSE)),VLOOKUP($B42,'Cental Budget'!$B$16:$K$77,'Public Expenditure'!J$1,FALSE),0)+IF(ISNUMBER(VLOOKUP('Public Expenditure'!$B42,'Local Government'!$B$16:$M$60,'Public Expenditure'!J$1,FALSE)),VLOOKUP('Public Expenditure'!$B42,'Local Government'!$B$16:$M$60,'Public Expenditure'!J$1,FALSE),0)</f>
        <v>44272122.109999999</v>
      </c>
      <c r="K42" s="267">
        <f t="shared" si="1"/>
        <v>1.0298237290067458</v>
      </c>
      <c r="L42" s="199">
        <f t="shared" si="5"/>
        <v>7587332.1883979961</v>
      </c>
      <c r="M42" s="273">
        <f t="shared" si="6"/>
        <v>17.137945566616963</v>
      </c>
      <c r="BF42" s="154"/>
      <c r="BG42" s="154"/>
      <c r="BH42" s="140"/>
      <c r="BI42" s="140"/>
      <c r="BJ42" s="140"/>
      <c r="BK42" s="139"/>
    </row>
    <row r="43" spans="1:63" ht="13.5" customHeight="1">
      <c r="B43" s="80">
        <v>415</v>
      </c>
      <c r="C43" s="93" t="s">
        <v>430</v>
      </c>
      <c r="D43" s="149">
        <f>'Cental Budget'!D42+'Local Government'!D33</f>
        <v>16534216.939999999</v>
      </c>
      <c r="E43" s="267">
        <f t="shared" si="0"/>
        <v>0.3590882167444891</v>
      </c>
      <c r="F43" s="149">
        <f>+IF(ISNUMBER(VLOOKUP($B43,'Cental Budget'!$B$16:$K$77,'Public Expenditure'!F$1,FALSE)),VLOOKUP($B43,'Cental Budget'!$B$16:$K$77,'Public Expenditure'!F$1,FALSE),0)+IF(ISNUMBER(VLOOKUP('Public Expenditure'!$B43,'Local Government'!$B$16:$M$60,'Public Expenditure'!F$1,FALSE)),VLOOKUP('Public Expenditure'!$B43,'Local Government'!$B$16:$M$60,'Public Expenditure'!F$1,FALSE),0)</f>
        <v>21139572.259260003</v>
      </c>
      <c r="G43" s="267">
        <f t="shared" si="2"/>
        <v>0.45910679246954067</v>
      </c>
      <c r="H43" s="199">
        <f t="shared" si="3"/>
        <v>-4605355.319260003</v>
      </c>
      <c r="I43" s="273">
        <f t="shared" si="4"/>
        <v>-21.785470693441624</v>
      </c>
      <c r="J43" s="149">
        <f>+IF(ISNUMBER(VLOOKUP($B43,'Cental Budget'!$B$16:$K$77,'Public Expenditure'!J$1,FALSE)),VLOOKUP($B43,'Cental Budget'!$B$16:$K$77,'Public Expenditure'!J$1,FALSE),0)+IF(ISNUMBER(VLOOKUP('Public Expenditure'!$B43,'Local Government'!$B$16:$M$60,'Public Expenditure'!J$1,FALSE)),VLOOKUP('Public Expenditure'!$B43,'Local Government'!$B$16:$M$60,'Public Expenditure'!J$1,FALSE),0)</f>
        <v>16457082.870000001</v>
      </c>
      <c r="K43" s="267">
        <f t="shared" si="1"/>
        <v>0.3828118834612701</v>
      </c>
      <c r="L43" s="199">
        <f t="shared" si="5"/>
        <v>77134.069999998435</v>
      </c>
      <c r="M43" s="273">
        <f t="shared" si="6"/>
        <v>0.46869831433254205</v>
      </c>
      <c r="BF43" s="154"/>
      <c r="BG43" s="154"/>
      <c r="BH43" s="140"/>
      <c r="BI43" s="140"/>
      <c r="BJ43" s="140"/>
      <c r="BK43" s="139"/>
    </row>
    <row r="44" spans="1:63" ht="13.5" customHeight="1">
      <c r="B44" s="80">
        <v>416</v>
      </c>
      <c r="C44" s="93" t="s">
        <v>79</v>
      </c>
      <c r="D44" s="149">
        <f>'Cental Budget'!D43+'Local Government'!D34</f>
        <v>73226080.650000006</v>
      </c>
      <c r="E44" s="267">
        <f t="shared" si="0"/>
        <v>1.590315574980997</v>
      </c>
      <c r="F44" s="149">
        <f>+IF(ISNUMBER(VLOOKUP($B44,'Cental Budget'!$B$16:$K$77,'Public Expenditure'!F$1,FALSE)),VLOOKUP($B44,'Cental Budget'!$B$16:$K$77,'Public Expenditure'!F$1,FALSE),0)+IF(ISNUMBER(VLOOKUP('Public Expenditure'!$B44,'Local Government'!$B$16:$M$60,'Public Expenditure'!F$1,FALSE)),VLOOKUP('Public Expenditure'!$B44,'Local Government'!$B$16:$M$60,'Public Expenditure'!F$1,FALSE),0)</f>
        <v>67316418.428780004</v>
      </c>
      <c r="G44" s="267">
        <f t="shared" si="2"/>
        <v>1.4619702123744165</v>
      </c>
      <c r="H44" s="199">
        <f t="shared" si="3"/>
        <v>5909662.2212200016</v>
      </c>
      <c r="I44" s="273">
        <f t="shared" si="4"/>
        <v>8.7789314392481543</v>
      </c>
      <c r="J44" s="149">
        <f>+IF(ISNUMBER(VLOOKUP($B44,'Cental Budget'!$B$16:$K$77,'Public Expenditure'!J$1,FALSE)),VLOOKUP($B44,'Cental Budget'!$B$16:$K$77,'Public Expenditure'!J$1,FALSE),0)+IF(ISNUMBER(VLOOKUP('Public Expenditure'!$B44,'Local Government'!$B$16:$M$60,'Public Expenditure'!J$1,FALSE)),VLOOKUP('Public Expenditure'!$B44,'Local Government'!$B$16:$M$60,'Public Expenditure'!J$1,FALSE),0)</f>
        <v>93317385.880000025</v>
      </c>
      <c r="K44" s="267">
        <f t="shared" si="1"/>
        <v>2.1706765731565483</v>
      </c>
      <c r="L44" s="199">
        <f t="shared" si="5"/>
        <v>-20091305.230000019</v>
      </c>
      <c r="M44" s="273">
        <f t="shared" si="6"/>
        <v>-21.530077209659623</v>
      </c>
      <c r="BF44" s="154"/>
      <c r="BG44" s="154"/>
      <c r="BH44" s="140"/>
      <c r="BI44" s="140"/>
      <c r="BJ44" s="140"/>
      <c r="BK44" s="139"/>
    </row>
    <row r="45" spans="1:63" ht="13.5" customHeight="1">
      <c r="B45" s="80">
        <v>417</v>
      </c>
      <c r="C45" s="93" t="s">
        <v>81</v>
      </c>
      <c r="D45" s="149">
        <f>'Cental Budget'!D44+'Local Government'!D35</f>
        <v>6981649.7699999996</v>
      </c>
      <c r="E45" s="267">
        <f t="shared" si="0"/>
        <v>0.15162666456727114</v>
      </c>
      <c r="F45" s="149">
        <f>+IF(ISNUMBER(VLOOKUP($B45,'Cental Budget'!$B$16:$K$77,'Public Expenditure'!F$1,FALSE)),VLOOKUP($B45,'Cental Budget'!$B$16:$K$77,'Public Expenditure'!F$1,FALSE),0)+IF(ISNUMBER(VLOOKUP('Public Expenditure'!$B45,'Local Government'!$B$16:$M$60,'Public Expenditure'!F$1,FALSE)),VLOOKUP('Public Expenditure'!$B45,'Local Government'!$B$16:$M$60,'Public Expenditure'!F$1,FALSE),0)</f>
        <v>7803109.6259800009</v>
      </c>
      <c r="G45" s="267">
        <f t="shared" si="2"/>
        <v>0.16946703498707788</v>
      </c>
      <c r="H45" s="199">
        <f t="shared" si="3"/>
        <v>-821459.85598000139</v>
      </c>
      <c r="I45" s="273">
        <f t="shared" si="4"/>
        <v>-10.527339680644729</v>
      </c>
      <c r="J45" s="149">
        <f>+IF(ISNUMBER(VLOOKUP($B45,'Cental Budget'!$B$16:$K$77,'Public Expenditure'!J$1,FALSE)),VLOOKUP($B45,'Cental Budget'!$B$16:$K$77,'Public Expenditure'!J$1,FALSE),0)+IF(ISNUMBER(VLOOKUP('Public Expenditure'!$B45,'Local Government'!$B$16:$M$60,'Public Expenditure'!J$1,FALSE)),VLOOKUP('Public Expenditure'!$B45,'Local Government'!$B$16:$M$60,'Public Expenditure'!J$1,FALSE),0)</f>
        <v>6365788.9199999999</v>
      </c>
      <c r="K45" s="267">
        <f t="shared" si="1"/>
        <v>0.14807603907885553</v>
      </c>
      <c r="L45" s="199">
        <f t="shared" si="5"/>
        <v>615860.84999999963</v>
      </c>
      <c r="M45" s="273">
        <f t="shared" si="6"/>
        <v>9.6745408580088252</v>
      </c>
      <c r="BF45" s="154"/>
      <c r="BG45" s="154"/>
      <c r="BH45" s="140"/>
      <c r="BI45" s="140"/>
      <c r="BJ45" s="140"/>
      <c r="BK45" s="139"/>
    </row>
    <row r="46" spans="1:63" ht="13.5" customHeight="1">
      <c r="B46" s="80">
        <v>418</v>
      </c>
      <c r="C46" s="93" t="s">
        <v>83</v>
      </c>
      <c r="D46" s="149">
        <f>'Cental Budget'!D45+'Local Government'!D36</f>
        <v>18715805.629999995</v>
      </c>
      <c r="E46" s="267">
        <f t="shared" si="0"/>
        <v>0.40646770832880863</v>
      </c>
      <c r="F46" s="149">
        <f>+IF(ISNUMBER(VLOOKUP($B46,'Cental Budget'!$B$16:$K$77,'Public Expenditure'!F$1,FALSE)),VLOOKUP($B46,'Cental Budget'!$B$16:$K$77,'Public Expenditure'!F$1,FALSE),0)+IF(ISNUMBER(VLOOKUP('Public Expenditure'!$B46,'Local Government'!$B$16:$M$60,'Public Expenditure'!F$1,FALSE)),VLOOKUP('Public Expenditure'!$B46,'Local Government'!$B$16:$M$60,'Public Expenditure'!F$1,FALSE),0)</f>
        <v>21055080.290660005</v>
      </c>
      <c r="G46" s="267">
        <f t="shared" si="2"/>
        <v>0.45727180563926606</v>
      </c>
      <c r="H46" s="199">
        <f t="shared" si="3"/>
        <v>-2339274.6606600098</v>
      </c>
      <c r="I46" s="273">
        <f t="shared" si="4"/>
        <v>-11.110262361230255</v>
      </c>
      <c r="J46" s="149">
        <f>+IF(ISNUMBER(VLOOKUP($B46,'Cental Budget'!$B$16:$K$77,'Public Expenditure'!J$1,FALSE)),VLOOKUP($B46,'Cental Budget'!$B$16:$K$77,'Public Expenditure'!J$1,FALSE),0)+IF(ISNUMBER(VLOOKUP('Public Expenditure'!$B46,'Local Government'!$B$16:$M$60,'Public Expenditure'!J$1,FALSE)),VLOOKUP('Public Expenditure'!$B46,'Local Government'!$B$16:$M$60,'Public Expenditure'!J$1,FALSE),0)</f>
        <v>14890455.140000001</v>
      </c>
      <c r="K46" s="267">
        <f t="shared" si="1"/>
        <v>0.34637020562921611</v>
      </c>
      <c r="L46" s="199">
        <f t="shared" si="5"/>
        <v>3825350.4899999946</v>
      </c>
      <c r="M46" s="273">
        <f t="shared" si="6"/>
        <v>25.689950065555848</v>
      </c>
      <c r="BF46" s="154"/>
      <c r="BG46" s="154"/>
      <c r="BH46" s="140"/>
      <c r="BI46" s="140"/>
      <c r="BJ46" s="140"/>
      <c r="BK46" s="139"/>
    </row>
    <row r="47" spans="1:63" ht="13.5" customHeight="1">
      <c r="B47" s="80">
        <v>419</v>
      </c>
      <c r="C47" s="93" t="s">
        <v>85</v>
      </c>
      <c r="D47" s="149">
        <f>'Cental Budget'!D46+'Local Government'!D37</f>
        <v>27899607.280000001</v>
      </c>
      <c r="E47" s="267">
        <f t="shared" si="0"/>
        <v>0.60592045346943213</v>
      </c>
      <c r="F47" s="149">
        <f>+IF(ISNUMBER(VLOOKUP($B47,'Cental Budget'!$B$16:$K$77,'Public Expenditure'!F$1,FALSE)),VLOOKUP($B47,'Cental Budget'!$B$16:$K$77,'Public Expenditure'!F$1,FALSE),0)+IF(ISNUMBER(VLOOKUP('Public Expenditure'!$B47,'Local Government'!$B$16:$M$60,'Public Expenditure'!F$1,FALSE)),VLOOKUP('Public Expenditure'!$B47,'Local Government'!$B$16:$M$60,'Public Expenditure'!F$1,FALSE),0)</f>
        <v>30349769.767946668</v>
      </c>
      <c r="G47" s="267">
        <f t="shared" si="2"/>
        <v>0.65913279982509865</v>
      </c>
      <c r="H47" s="199">
        <f t="shared" si="3"/>
        <v>-2450162.4879466668</v>
      </c>
      <c r="I47" s="273">
        <f t="shared" si="4"/>
        <v>-8.0730842661427999</v>
      </c>
      <c r="J47" s="149">
        <f>+IF(ISNUMBER(VLOOKUP($B47,'Cental Budget'!$B$16:$K$77,'Public Expenditure'!J$1,FALSE)),VLOOKUP($B47,'Cental Budget'!$B$16:$K$77,'Public Expenditure'!J$1,FALSE),0)+IF(ISNUMBER(VLOOKUP('Public Expenditure'!$B47,'Local Government'!$B$16:$M$60,'Public Expenditure'!J$1,FALSE)),VLOOKUP('Public Expenditure'!$B47,'Local Government'!$B$16:$M$60,'Public Expenditure'!J$1,FALSE),0)</f>
        <v>24567481.84</v>
      </c>
      <c r="K47" s="267">
        <f t="shared" si="1"/>
        <v>0.57146968690393107</v>
      </c>
      <c r="L47" s="199">
        <f t="shared" si="5"/>
        <v>3332125.4400000013</v>
      </c>
      <c r="M47" s="273">
        <f t="shared" si="6"/>
        <v>13.563154179581957</v>
      </c>
      <c r="BF47" s="154"/>
      <c r="BG47" s="154"/>
      <c r="BH47" s="140"/>
      <c r="BI47" s="140"/>
      <c r="BJ47" s="140"/>
      <c r="BK47" s="139"/>
    </row>
    <row r="48" spans="1:63" ht="13.5" customHeight="1">
      <c r="B48" s="80">
        <v>441</v>
      </c>
      <c r="C48" s="93" t="s">
        <v>129</v>
      </c>
      <c r="D48" s="149">
        <f>'Cental Budget'!D47</f>
        <v>28601843.670000006</v>
      </c>
      <c r="E48" s="267">
        <f t="shared" si="0"/>
        <v>0.62117154240416994</v>
      </c>
      <c r="F48" s="149">
        <f>+IF(ISNUMBER(VLOOKUP($B48,'Cental Budget'!$B$16:$K$77,'Public Expenditure'!F$1,FALSE)),VLOOKUP($B48,'Cental Budget'!$B$16:$K$77,'Public Expenditure'!F$1,FALSE),0)+IF(ISNUMBER(VLOOKUP('Public Expenditure'!$B48,'Local Government'!$B$16:$M$60,'Public Expenditure'!F$1,FALSE)),VLOOKUP('Public Expenditure'!$B48,'Local Government'!$B$16:$M$60,'Public Expenditure'!F$1,FALSE),0)</f>
        <v>35786230.340500005</v>
      </c>
      <c r="G48" s="267">
        <f t="shared" si="2"/>
        <v>0.7772012235964818</v>
      </c>
      <c r="H48" s="199">
        <f>+D48-F48</f>
        <v>-7184386.6704999991</v>
      </c>
      <c r="I48" s="273">
        <f t="shared" si="4"/>
        <v>-20.075840909036131</v>
      </c>
      <c r="J48" s="149">
        <f>+IF(ISNUMBER(VLOOKUP($B48,'Cental Budget'!$B$16:$K$77,'Public Expenditure'!J$1,FALSE)),VLOOKUP($B48,'Cental Budget'!$B$16:$K$77,'Public Expenditure'!J$1,FALSE),0)+IF(ISNUMBER(VLOOKUP('Public Expenditure'!$B48,'Local Government'!$B$16:$M$60,'Public Expenditure'!J$1,FALSE)),VLOOKUP('Public Expenditure'!$B48,'Local Government'!$B$16:$M$60,'Public Expenditure'!J$1,FALSE),0)</f>
        <v>17831531.949999999</v>
      </c>
      <c r="K48" s="267">
        <f t="shared" si="1"/>
        <v>0.41478325075598976</v>
      </c>
      <c r="L48" s="199">
        <f t="shared" si="5"/>
        <v>10770311.720000006</v>
      </c>
      <c r="M48" s="273">
        <f t="shared" si="6"/>
        <v>60.400372498561495</v>
      </c>
      <c r="BF48" s="154"/>
      <c r="BG48" s="154"/>
      <c r="BH48" s="140"/>
      <c r="BI48" s="140"/>
      <c r="BJ48" s="140"/>
      <c r="BK48" s="139"/>
    </row>
    <row r="49" spans="1:63" ht="13.5" customHeight="1">
      <c r="A49" s="80">
        <v>42</v>
      </c>
      <c r="B49" s="80">
        <v>42</v>
      </c>
      <c r="C49" s="93" t="s">
        <v>86</v>
      </c>
      <c r="D49" s="94">
        <f>'Cental Budget'!D48+'Local Government'!D38</f>
        <v>402017906.80999994</v>
      </c>
      <c r="E49" s="267">
        <f t="shared" si="0"/>
        <v>8.730978538603539</v>
      </c>
      <c r="F49" s="94">
        <f>+IF(ISNUMBER(VLOOKUP($B49,'Cental Budget'!$B$16:$K$77,'Public Expenditure'!F$1,FALSE)),VLOOKUP($B49,'Cental Budget'!$B$16:$K$77,'Public Expenditure'!F$1,FALSE),0)+IF(ISNUMBER(VLOOKUP('Public Expenditure'!$B49,'Local Government'!$B$16:$M$60,'Public Expenditure'!F$1,FALSE)),VLOOKUP('Public Expenditure'!$B49,'Local Government'!$B$16:$M$60,'Public Expenditure'!F$1,FALSE),0)</f>
        <v>415437538.44000006</v>
      </c>
      <c r="G49" s="267">
        <f t="shared" si="2"/>
        <v>9.0224245507655567</v>
      </c>
      <c r="H49" s="197">
        <f t="shared" si="3"/>
        <v>-13419631.630000114</v>
      </c>
      <c r="I49" s="273">
        <f t="shared" si="4"/>
        <v>-3.230240502673837</v>
      </c>
      <c r="J49" s="94">
        <f>+IF(ISNUMBER(VLOOKUP($B49,'Cental Budget'!$B$16:$K$77,'Public Expenditure'!J$1,FALSE)),VLOOKUP($B49,'Cental Budget'!$B$16:$K$77,'Public Expenditure'!J$1,FALSE),0)+IF(ISNUMBER(VLOOKUP('Public Expenditure'!$B49,'Local Government'!$B$16:$M$60,'Public Expenditure'!J$1,FALSE)),VLOOKUP('Public Expenditure'!$B49,'Local Government'!$B$16:$M$60,'Public Expenditure'!J$1,FALSE),0)</f>
        <v>404518986.80000001</v>
      </c>
      <c r="K49" s="267">
        <f t="shared" si="1"/>
        <v>9.4096065782740173</v>
      </c>
      <c r="L49" s="197">
        <f t="shared" si="5"/>
        <v>-2501079.9900000691</v>
      </c>
      <c r="M49" s="273">
        <f t="shared" si="6"/>
        <v>-0.61828494375139087</v>
      </c>
      <c r="BF49" s="154"/>
      <c r="BG49" s="154"/>
      <c r="BH49" s="140"/>
      <c r="BI49" s="140"/>
      <c r="BJ49" s="140"/>
      <c r="BK49" s="139"/>
    </row>
    <row r="50" spans="1:63" ht="13.5" customHeight="1">
      <c r="B50" s="80">
        <v>421</v>
      </c>
      <c r="C50" s="97" t="s">
        <v>88</v>
      </c>
      <c r="D50" s="151">
        <f>'Cental Budget'!D49+'Local Government'!D39</f>
        <v>58013731.909999996</v>
      </c>
      <c r="E50" s="266">
        <f t="shared" si="0"/>
        <v>1.259935539363666</v>
      </c>
      <c r="F50" s="151">
        <f>+IF(ISNUMBER(VLOOKUP($B50,'Cental Budget'!$B$16:$K$77,'Public Expenditure'!F$1,FALSE)),VLOOKUP($B50,'Cental Budget'!$B$16:$K$77,'Public Expenditure'!F$1,FALSE),0)+IF(ISNUMBER(VLOOKUP('Public Expenditure'!$B50,'Local Government'!$B$16:$M$60,'Public Expenditure'!F$1,FALSE)),VLOOKUP('Public Expenditure'!$B50,'Local Government'!$B$16:$M$60,'Public Expenditure'!F$1,FALSE),0)</f>
        <v>61182661.514140002</v>
      </c>
      <c r="G50" s="266">
        <f t="shared" si="2"/>
        <v>1.3287579870591812</v>
      </c>
      <c r="H50" s="200">
        <f t="shared" si="3"/>
        <v>-3168929.604140006</v>
      </c>
      <c r="I50" s="272">
        <f t="shared" si="4"/>
        <v>-5.179456933902145</v>
      </c>
      <c r="J50" s="151">
        <f>+IF(ISNUMBER(VLOOKUP($B50,'Cental Budget'!$B$16:$K$77,'Public Expenditure'!J$1,FALSE)),VLOOKUP($B50,'Cental Budget'!$B$16:$K$77,'Public Expenditure'!J$1,FALSE),0)+IF(ISNUMBER(VLOOKUP('Public Expenditure'!$B50,'Local Government'!$B$16:$M$60,'Public Expenditure'!J$1,FALSE)),VLOOKUP('Public Expenditure'!$B50,'Local Government'!$B$16:$M$60,'Public Expenditure'!J$1,FALSE),0)</f>
        <v>78580035.189999998</v>
      </c>
      <c r="K50" s="266">
        <f t="shared" si="1"/>
        <v>1.8278677643638057</v>
      </c>
      <c r="L50" s="200">
        <f t="shared" si="5"/>
        <v>-20566303.280000001</v>
      </c>
      <c r="M50" s="272">
        <f t="shared" si="6"/>
        <v>-26.172428187735449</v>
      </c>
      <c r="BF50" s="154"/>
      <c r="BG50" s="154"/>
      <c r="BH50" s="140"/>
      <c r="BI50" s="140"/>
      <c r="BJ50" s="140"/>
      <c r="BK50" s="139"/>
    </row>
    <row r="51" spans="1:63" ht="13.5" customHeight="1">
      <c r="B51" s="80">
        <v>422</v>
      </c>
      <c r="C51" s="97" t="s">
        <v>90</v>
      </c>
      <c r="D51" s="151">
        <f>'Cental Budget'!D50</f>
        <v>8986781.6399999987</v>
      </c>
      <c r="E51" s="266">
        <f t="shared" si="0"/>
        <v>0.1951738872841785</v>
      </c>
      <c r="F51" s="151">
        <f>+IF(ISNUMBER(VLOOKUP($B51,'Cental Budget'!$B$16:$K$77,'Public Expenditure'!F$1,FALSE)),VLOOKUP($B51,'Cental Budget'!$B$16:$K$77,'Public Expenditure'!F$1,FALSE),0)+IF(ISNUMBER(VLOOKUP('Public Expenditure'!$B51,'Local Government'!$B$16:$M$60,'Public Expenditure'!F$1,FALSE)),VLOOKUP('Public Expenditure'!$B51,'Local Government'!$B$16:$M$60,'Public Expenditure'!F$1,FALSE),0)</f>
        <v>14524099.640000001</v>
      </c>
      <c r="G51" s="266">
        <f t="shared" si="2"/>
        <v>0.31543272103377129</v>
      </c>
      <c r="H51" s="200">
        <f t="shared" si="3"/>
        <v>-5537318.0000000019</v>
      </c>
      <c r="I51" s="272">
        <f t="shared" si="4"/>
        <v>-38.125034509884436</v>
      </c>
      <c r="J51" s="151">
        <f>+IF(ISNUMBER(VLOOKUP($B51,'Cental Budget'!$B$16:$K$77,'Public Expenditure'!J$1,FALSE)),VLOOKUP($B51,'Cental Budget'!$B$16:$K$77,'Public Expenditure'!J$1,FALSE),0)+IF(ISNUMBER(VLOOKUP('Public Expenditure'!$B51,'Local Government'!$B$16:$M$60,'Public Expenditure'!J$1,FALSE)),VLOOKUP('Public Expenditure'!$B51,'Local Government'!$B$16:$M$60,'Public Expenditure'!J$1,FALSE),0)</f>
        <v>8745055.0100000016</v>
      </c>
      <c r="K51" s="266">
        <f t="shared" si="1"/>
        <v>0.20342067946033962</v>
      </c>
      <c r="L51" s="200">
        <f t="shared" si="5"/>
        <v>241726.62999999709</v>
      </c>
      <c r="M51" s="272">
        <f t="shared" si="6"/>
        <v>2.7641521948527696</v>
      </c>
      <c r="BF51" s="154"/>
      <c r="BG51" s="154"/>
      <c r="BH51" s="140"/>
      <c r="BI51" s="140"/>
      <c r="BJ51" s="140"/>
      <c r="BK51" s="139"/>
    </row>
    <row r="52" spans="1:63" ht="13.5" customHeight="1">
      <c r="B52" s="80">
        <v>423</v>
      </c>
      <c r="C52" s="97" t="s">
        <v>92</v>
      </c>
      <c r="D52" s="151">
        <f>+'Cental Budget'!D51</f>
        <v>311063911.84999996</v>
      </c>
      <c r="E52" s="266">
        <f t="shared" si="0"/>
        <v>6.755650165055922</v>
      </c>
      <c r="F52" s="151">
        <f>+IF(ISNUMBER(VLOOKUP($B52,'Cental Budget'!$B$16:$K$77,'Public Expenditure'!F$1,FALSE)),VLOOKUP($B52,'Cental Budget'!$B$16:$K$77,'Public Expenditure'!F$1,FALSE),0)+IF(ISNUMBER(VLOOKUP('Public Expenditure'!$B52,'Local Government'!$B$16:$M$60,'Public Expenditure'!F$1,FALSE)),VLOOKUP('Public Expenditure'!$B52,'Local Government'!$B$16:$M$60,'Public Expenditure'!F$1,FALSE),0)</f>
        <v>319254592.82250005</v>
      </c>
      <c r="G52" s="266">
        <f t="shared" si="2"/>
        <v>6.9335344298512336</v>
      </c>
      <c r="H52" s="200">
        <f t="shared" si="3"/>
        <v>-8190680.9725000858</v>
      </c>
      <c r="I52" s="272">
        <f t="shared" si="4"/>
        <v>-2.5655640221451677</v>
      </c>
      <c r="J52" s="151">
        <f>+IF(ISNUMBER(VLOOKUP($B52,'Cental Budget'!$B$16:$K$77,'Public Expenditure'!J$1,FALSE)),VLOOKUP($B52,'Cental Budget'!$B$16:$K$77,'Public Expenditure'!J$1,FALSE),0)+IF(ISNUMBER(VLOOKUP('Public Expenditure'!$B52,'Local Government'!$B$16:$M$60,'Public Expenditure'!J$1,FALSE)),VLOOKUP('Public Expenditure'!$B52,'Local Government'!$B$16:$M$60,'Public Expenditure'!J$1,FALSE),0)</f>
        <v>299456467.99000001</v>
      </c>
      <c r="K52" s="266">
        <f t="shared" si="1"/>
        <v>6.9657238425215162</v>
      </c>
      <c r="L52" s="200">
        <f t="shared" si="5"/>
        <v>11607443.859999955</v>
      </c>
      <c r="M52" s="272">
        <f t="shared" si="6"/>
        <v>3.8761706961652749</v>
      </c>
      <c r="BF52" s="154"/>
      <c r="BG52" s="154"/>
      <c r="BH52" s="140"/>
      <c r="BI52" s="140"/>
      <c r="BJ52" s="140"/>
      <c r="BK52" s="139"/>
    </row>
    <row r="53" spans="1:63" ht="13.5" customHeight="1">
      <c r="B53" s="80">
        <v>424</v>
      </c>
      <c r="C53" s="97" t="s">
        <v>94</v>
      </c>
      <c r="D53" s="151">
        <f>+'Cental Budget'!D52</f>
        <v>13953541.960000001</v>
      </c>
      <c r="E53" s="266">
        <f t="shared" si="0"/>
        <v>0.30304141513736566</v>
      </c>
      <c r="F53" s="151">
        <f>+IF(ISNUMBER(VLOOKUP($B53,'Cental Budget'!$B$16:$K$77,'Public Expenditure'!F$1,FALSE)),VLOOKUP($B53,'Cental Budget'!$B$16:$K$77,'Public Expenditure'!F$1,FALSE),0)+IF(ISNUMBER(VLOOKUP('Public Expenditure'!$B53,'Local Government'!$B$16:$M$60,'Public Expenditure'!F$1,FALSE)),VLOOKUP('Public Expenditure'!$B53,'Local Government'!$B$16:$M$60,'Public Expenditure'!F$1,FALSE),0)</f>
        <v>13000074.999999998</v>
      </c>
      <c r="G53" s="266">
        <f t="shared" si="2"/>
        <v>0.28233412965577148</v>
      </c>
      <c r="H53" s="200">
        <f t="shared" si="3"/>
        <v>953466.96000000276</v>
      </c>
      <c r="I53" s="272">
        <f t="shared" si="4"/>
        <v>7.3343189173908883</v>
      </c>
      <c r="J53" s="151">
        <f>+IF(ISNUMBER(VLOOKUP($B53,'Cental Budget'!$B$16:$K$77,'Public Expenditure'!J$1,FALSE)),VLOOKUP($B53,'Cental Budget'!$B$16:$K$77,'Public Expenditure'!J$1,FALSE),0)+IF(ISNUMBER(VLOOKUP('Public Expenditure'!$B53,'Local Government'!$B$16:$M$60,'Public Expenditure'!J$1,FALSE)),VLOOKUP('Public Expenditure'!$B53,'Local Government'!$B$16:$M$60,'Public Expenditure'!J$1,FALSE),0)</f>
        <v>11828387.91</v>
      </c>
      <c r="K53" s="266">
        <f t="shared" si="1"/>
        <v>0.2751427752965806</v>
      </c>
      <c r="L53" s="200">
        <f t="shared" si="5"/>
        <v>2125154.0500000007</v>
      </c>
      <c r="M53" s="272">
        <f t="shared" si="6"/>
        <v>17.966556949010311</v>
      </c>
      <c r="BF53" s="154"/>
      <c r="BG53" s="154"/>
      <c r="BH53" s="140"/>
      <c r="BI53" s="140"/>
      <c r="BJ53" s="140"/>
      <c r="BK53" s="139"/>
    </row>
    <row r="54" spans="1:63" ht="13.5" customHeight="1">
      <c r="B54" s="80">
        <v>425</v>
      </c>
      <c r="C54" s="97" t="s">
        <v>431</v>
      </c>
      <c r="D54" s="151">
        <f>+'Cental Budget'!D53</f>
        <v>9999939.4499999993</v>
      </c>
      <c r="E54" s="266">
        <f t="shared" si="0"/>
        <v>0.21717753176240634</v>
      </c>
      <c r="F54" s="151">
        <f>+IF(ISNUMBER(VLOOKUP($B54,'Cental Budget'!$B$16:$K$77,'Public Expenditure'!F$1,FALSE)),VLOOKUP($B54,'Cental Budget'!$B$16:$K$77,'Public Expenditure'!F$1,FALSE),0)+IF(ISNUMBER(VLOOKUP('Public Expenditure'!$B54,'Local Government'!$B$16:$M$60,'Public Expenditure'!F$1,FALSE)),VLOOKUP('Public Expenditure'!$B54,'Local Government'!$B$16:$M$60,'Public Expenditure'!F$1,FALSE),0)</f>
        <v>8056250</v>
      </c>
      <c r="G54" s="266">
        <f t="shared" si="2"/>
        <v>0.1749647084373982</v>
      </c>
      <c r="H54" s="200">
        <f t="shared" si="3"/>
        <v>1943689.4499999993</v>
      </c>
      <c r="I54" s="272">
        <f t="shared" si="4"/>
        <v>24.126478820791306</v>
      </c>
      <c r="J54" s="151">
        <f>+IF(ISNUMBER(VLOOKUP($B54,'Cental Budget'!$B$16:$K$77,'Public Expenditure'!J$1,FALSE)),VLOOKUP($B54,'Cental Budget'!$B$16:$K$77,'Public Expenditure'!J$1,FALSE),0)+IF(ISNUMBER(VLOOKUP('Public Expenditure'!$B54,'Local Government'!$B$16:$M$60,'Public Expenditure'!J$1,FALSE)),VLOOKUP('Public Expenditure'!$B54,'Local Government'!$B$16:$M$60,'Public Expenditure'!J$1,FALSE),0)</f>
        <v>6395184.7000000002</v>
      </c>
      <c r="K54" s="266">
        <f t="shared" si="1"/>
        <v>0.14875982088857875</v>
      </c>
      <c r="L54" s="200">
        <f t="shared" si="5"/>
        <v>3604754.7499999991</v>
      </c>
      <c r="M54" s="272">
        <f t="shared" si="6"/>
        <v>56.366702747459328</v>
      </c>
      <c r="BF54" s="154"/>
      <c r="BG54" s="154"/>
      <c r="BH54" s="140"/>
      <c r="BI54" s="140"/>
      <c r="BJ54" s="140"/>
      <c r="BK54" s="139"/>
    </row>
    <row r="55" spans="1:63" ht="13.5" customHeight="1" thickBot="1">
      <c r="A55" s="80">
        <v>43</v>
      </c>
      <c r="B55" s="80">
        <v>43</v>
      </c>
      <c r="C55" s="93" t="s">
        <v>432</v>
      </c>
      <c r="D55" s="94">
        <f>+'Cental Budget'!D54+'Local Government'!D40</f>
        <v>177704582.28999999</v>
      </c>
      <c r="E55" s="267">
        <f t="shared" si="0"/>
        <v>3.8593676249321316</v>
      </c>
      <c r="F55" s="94">
        <f>+'Cental Budget'!F54+'Local Government'!F40</f>
        <v>182650173.71019998</v>
      </c>
      <c r="G55" s="267">
        <f t="shared" si="2"/>
        <v>3.9667754090607006</v>
      </c>
      <c r="H55" s="197">
        <f t="shared" si="3"/>
        <v>-4945591.4201999903</v>
      </c>
      <c r="I55" s="273">
        <f t="shared" si="4"/>
        <v>-2.7076850351354551</v>
      </c>
      <c r="J55" s="94">
        <f>+'Cental Budget'!J54+'Local Government'!J40</f>
        <v>144208421.69</v>
      </c>
      <c r="K55" s="267">
        <f t="shared" si="1"/>
        <v>3.354464333333333</v>
      </c>
      <c r="L55" s="197">
        <f t="shared" si="5"/>
        <v>33496160.599999994</v>
      </c>
      <c r="M55" s="273">
        <f t="shared" si="6"/>
        <v>23.227603636079991</v>
      </c>
      <c r="BF55" s="154"/>
      <c r="BG55" s="154"/>
      <c r="BH55" s="140"/>
      <c r="BI55" s="140"/>
      <c r="BJ55" s="140"/>
      <c r="BK55" s="139"/>
    </row>
    <row r="56" spans="1:63" ht="13.5" customHeight="1" thickTop="1" thickBot="1">
      <c r="B56" s="80">
        <v>44</v>
      </c>
      <c r="C56" s="171" t="s">
        <v>130</v>
      </c>
      <c r="D56" s="170">
        <f>'Cental Budget'!D57+'Local Government'!D41</f>
        <v>177436522.31999996</v>
      </c>
      <c r="E56" s="264">
        <f t="shared" si="0"/>
        <v>3.8535459294168737</v>
      </c>
      <c r="F56" s="170">
        <f>+IF(ISNUMBER(VLOOKUP($B56,'Cental Budget'!$B$16:$K$77,'Public Expenditure'!F$1,FALSE)),VLOOKUP($B56,'Cental Budget'!$B$16:$K$77,'Public Expenditure'!F$1,FALSE),0)+IF(ISNUMBER(VLOOKUP('Public Expenditure'!$B56,'Local Government'!$B$16:$M$60,'Public Expenditure'!F$1,FALSE)),VLOOKUP('Public Expenditure'!$B56,'Local Government'!$B$16:$M$60,'Public Expenditure'!F$1,FALSE),0)</f>
        <v>245561168.98254001</v>
      </c>
      <c r="G56" s="264">
        <f t="shared" si="2"/>
        <v>5.3330691493656204</v>
      </c>
      <c r="H56" s="170">
        <f t="shared" si="3"/>
        <v>-68124646.662540048</v>
      </c>
      <c r="I56" s="264">
        <f t="shared" si="4"/>
        <v>-27.742434581496838</v>
      </c>
      <c r="J56" s="170">
        <f>+IF(ISNUMBER(VLOOKUP($B56,'Cental Budget'!$B$16:$K$77,'Public Expenditure'!J$1,FALSE)),VLOOKUP($B56,'Cental Budget'!$B$16:$K$77,'Public Expenditure'!J$1,FALSE),0)+IF(ISNUMBER(VLOOKUP('Public Expenditure'!$B56,'Local Government'!$B$16:$M$60,'Public Expenditure'!J$1,FALSE)),VLOOKUP('Public Expenditure'!$B56,'Local Government'!$B$16:$M$60,'Public Expenditure'!J$1,FALSE),0)</f>
        <v>127091671.27000001</v>
      </c>
      <c r="K56" s="264">
        <f t="shared" si="1"/>
        <v>2.9563077755291931</v>
      </c>
      <c r="L56" s="170">
        <f t="shared" si="5"/>
        <v>50344851.049999952</v>
      </c>
      <c r="M56" s="264">
        <f t="shared" si="6"/>
        <v>39.613021488280509</v>
      </c>
      <c r="BF56" s="154"/>
      <c r="BG56" s="154"/>
      <c r="BH56" s="140"/>
      <c r="BI56" s="140"/>
      <c r="BJ56" s="140"/>
      <c r="BK56" s="139"/>
    </row>
    <row r="57" spans="1:63" ht="13.5" customHeight="1" thickTop="1">
      <c r="B57" s="80">
        <v>451</v>
      </c>
      <c r="C57" s="93" t="s">
        <v>110</v>
      </c>
      <c r="D57" s="149">
        <f>'Cental Budget'!D58+'Local Government'!D42</f>
        <v>2683029.2999999998</v>
      </c>
      <c r="E57" s="267">
        <f t="shared" si="0"/>
        <v>5.8269720925181887E-2</v>
      </c>
      <c r="F57" s="149">
        <f>+IF(ISNUMBER(VLOOKUP($B57,'Cental Budget'!$B$16:$K$77,'Public Expenditure'!F$1,FALSE)),VLOOKUP($B57,'Cental Budget'!$B$16:$K$77,'Public Expenditure'!F$1,FALSE),0)+IF(ISNUMBER(VLOOKUP('Public Expenditure'!$B57,'Local Government'!$B$16:$M$60,'Public Expenditure'!F$1,FALSE)),VLOOKUP('Public Expenditure'!$B57,'Local Government'!$B$16:$M$60,'Public Expenditure'!F$1,FALSE),0)</f>
        <v>3828781.6128000002</v>
      </c>
      <c r="G57" s="267">
        <f t="shared" si="2"/>
        <v>8.3153037524161144E-2</v>
      </c>
      <c r="H57" s="199">
        <f t="shared" si="3"/>
        <v>-1145752.3128000004</v>
      </c>
      <c r="I57" s="273">
        <f t="shared" si="4"/>
        <v>-29.92472354572628</v>
      </c>
      <c r="J57" s="149">
        <f>+IF(ISNUMBER(VLOOKUP($B57,'Cental Budget'!$B$16:$K$77,'Public Expenditure'!J$1,FALSE)),VLOOKUP($B57,'Cental Budget'!$B$16:$K$77,'Public Expenditure'!J$1,FALSE),0)+IF(ISNUMBER(VLOOKUP('Public Expenditure'!$B57,'Local Government'!$B$16:$M$60,'Public Expenditure'!J$1,FALSE)),VLOOKUP('Public Expenditure'!$B57,'Local Government'!$B$16:$M$60,'Public Expenditure'!J$1,FALSE),0)</f>
        <v>3353211.46</v>
      </c>
      <c r="K57" s="267">
        <f t="shared" si="1"/>
        <v>7.7999801349150966E-2</v>
      </c>
      <c r="L57" s="199">
        <f t="shared" si="5"/>
        <v>-670182.16000000015</v>
      </c>
      <c r="M57" s="273">
        <f t="shared" si="6"/>
        <v>-19.986277871065141</v>
      </c>
      <c r="BF57" s="154"/>
      <c r="BG57" s="154"/>
      <c r="BH57" s="140"/>
      <c r="BI57" s="140"/>
      <c r="BJ57" s="140"/>
      <c r="BK57" s="139"/>
    </row>
    <row r="58" spans="1:63" ht="13.5" customHeight="1" thickBot="1">
      <c r="B58" s="80">
        <v>47</v>
      </c>
      <c r="C58" s="93" t="s">
        <v>117</v>
      </c>
      <c r="D58" s="149">
        <f>'Cental Budget'!D59+'Local Government'!D43</f>
        <v>15020926.860000001</v>
      </c>
      <c r="E58" s="267">
        <f t="shared" si="0"/>
        <v>0.32622275730263878</v>
      </c>
      <c r="F58" s="149">
        <f>+IF(ISNUMBER(VLOOKUP($B58,'Cental Budget'!$B$16:$K$77,'Public Expenditure'!F$1,FALSE)),VLOOKUP($B58,'Cental Budget'!$B$16:$K$77,'Public Expenditure'!F$1,FALSE),0)+IF(ISNUMBER(VLOOKUP('Public Expenditure'!$B58,'Local Government'!$B$16:$M$60,'Public Expenditure'!F$1,FALSE)),VLOOKUP('Public Expenditure'!$B58,'Local Government'!$B$16:$M$60,'Public Expenditure'!F$1,FALSE),0)</f>
        <v>14891125.218580002</v>
      </c>
      <c r="G58" s="267">
        <f t="shared" si="2"/>
        <v>0.32340374022325991</v>
      </c>
      <c r="H58" s="199">
        <f t="shared" si="3"/>
        <v>129801.6414199993</v>
      </c>
      <c r="I58" s="273">
        <f t="shared" si="4"/>
        <v>0.87167114314532057</v>
      </c>
      <c r="J58" s="149">
        <f>+IF(ISNUMBER(VLOOKUP($B58,'Cental Budget'!$B$16:$K$77,'Public Expenditure'!J$1,FALSE)),VLOOKUP($B58,'Cental Budget'!$B$16:$K$77,'Public Expenditure'!J$1,FALSE),0)+IF(ISNUMBER(VLOOKUP('Public Expenditure'!$B58,'Local Government'!$B$16:$M$60,'Public Expenditure'!J$1,FALSE)),VLOOKUP('Public Expenditure'!$B58,'Local Government'!$B$16:$M$60,'Public Expenditure'!J$1,FALSE),0)</f>
        <v>11106330.49</v>
      </c>
      <c r="K58" s="267">
        <f t="shared" si="1"/>
        <v>0.25834683624098626</v>
      </c>
      <c r="L58" s="199">
        <f t="shared" si="5"/>
        <v>3914596.370000001</v>
      </c>
      <c r="M58" s="273">
        <f t="shared" si="6"/>
        <v>35.246532358501781</v>
      </c>
      <c r="BF58" s="154"/>
      <c r="BG58" s="154"/>
      <c r="BH58" s="140"/>
      <c r="BI58" s="140"/>
      <c r="BJ58" s="140"/>
      <c r="BK58" s="139"/>
    </row>
    <row r="59" spans="1:63" ht="13.5" customHeight="1" thickTop="1" thickBot="1">
      <c r="B59" s="80">
        <v>462</v>
      </c>
      <c r="C59" s="143" t="s">
        <v>112</v>
      </c>
      <c r="D59" s="156">
        <f>'Cental Budget'!D60+'Local Government'!D44</f>
        <v>0</v>
      </c>
      <c r="E59" s="268">
        <f t="shared" si="0"/>
        <v>0</v>
      </c>
      <c r="F59" s="156">
        <f>+IF(ISNUMBER(VLOOKUP($B59,'Cental Budget'!$B$16:$K$77,'Public Expenditure'!F$1,FALSE)),VLOOKUP($B59,'Cental Budget'!$B$16:$K$77,'Public Expenditure'!F$1,FALSE),0)+IF(ISNUMBER(VLOOKUP('Public Expenditure'!$B59,'Local Government'!$B$16:$M$60,'Public Expenditure'!F$1,FALSE)),VLOOKUP('Public Expenditure'!$B59,'Local Government'!$B$16:$M$60,'Public Expenditure'!F$1,FALSE),0)</f>
        <v>0</v>
      </c>
      <c r="G59" s="268">
        <f t="shared" si="2"/>
        <v>0</v>
      </c>
      <c r="H59" s="201">
        <f t="shared" si="3"/>
        <v>0</v>
      </c>
      <c r="I59" s="248" t="e">
        <f t="shared" si="4"/>
        <v>#DIV/0!</v>
      </c>
      <c r="J59" s="156">
        <f>+IF(ISNUMBER(VLOOKUP($B59,'Cental Budget'!$B$16:$K$77,'Public Expenditure'!J$1,FALSE)),VLOOKUP($B59,'Cental Budget'!$B$16:$K$77,'Public Expenditure'!J$1,FALSE),0)+IF(ISNUMBER(VLOOKUP('Public Expenditure'!$B59,'Local Government'!$B$16:$M$60,'Public Expenditure'!J$1,FALSE)),VLOOKUP('Public Expenditure'!$B59,'Local Government'!$B$16:$M$60,'Public Expenditure'!J$1,FALSE),0)</f>
        <v>0</v>
      </c>
      <c r="K59" s="268">
        <f t="shared" si="1"/>
        <v>0</v>
      </c>
      <c r="L59" s="201">
        <f t="shared" si="5"/>
        <v>0</v>
      </c>
      <c r="M59" s="274" t="e">
        <f t="shared" si="6"/>
        <v>#DIV/0!</v>
      </c>
      <c r="BF59" s="154"/>
      <c r="BG59" s="154"/>
      <c r="BH59" s="140"/>
      <c r="BI59" s="140"/>
      <c r="BJ59" s="140"/>
      <c r="BK59" s="139"/>
    </row>
    <row r="60" spans="1:63" ht="13.5" customHeight="1" thickTop="1" thickBot="1">
      <c r="B60" s="282" t="s">
        <v>447</v>
      </c>
      <c r="C60" s="203" t="s">
        <v>115</v>
      </c>
      <c r="D60" s="204">
        <f>'Cental Budget'!D61+'Local Government'!D45</f>
        <v>54105169.479699999</v>
      </c>
      <c r="E60" s="269">
        <f>D60/D$11*100</f>
        <v>1.1750498312455206</v>
      </c>
      <c r="F60" s="204">
        <f>'Cental Budget'!F61+'Local Government'!F45</f>
        <v>0</v>
      </c>
      <c r="G60" s="269">
        <f>F60/D$11*100</f>
        <v>0</v>
      </c>
      <c r="H60" s="205">
        <f>+D60-F60</f>
        <v>54105169.479699999</v>
      </c>
      <c r="I60" s="248" t="e">
        <f t="shared" si="4"/>
        <v>#DIV/0!</v>
      </c>
      <c r="J60" s="204">
        <f>'Cental Budget'!J61+'Local Government'!J45</f>
        <v>58712063.299999997</v>
      </c>
      <c r="K60" s="269">
        <f>J60/J$11*100</f>
        <v>1.365714428936962</v>
      </c>
      <c r="L60" s="205">
        <f>+D60-J60</f>
        <v>-4606893.8202999979</v>
      </c>
      <c r="M60" s="275">
        <f>+D60/J60*100-100</f>
        <v>-7.8465881819895174</v>
      </c>
      <c r="BF60" s="154"/>
      <c r="BG60" s="154"/>
      <c r="BH60" s="140"/>
      <c r="BI60" s="140"/>
      <c r="BJ60" s="140"/>
      <c r="BK60" s="139"/>
    </row>
    <row r="61" spans="1:63" ht="13.5" customHeight="1" thickTop="1" thickBot="1">
      <c r="B61" s="80">
        <v>990</v>
      </c>
      <c r="C61" s="142" t="s">
        <v>151</v>
      </c>
      <c r="D61" s="149">
        <f>'Cental Budget'!D62+'Local Government'!D46</f>
        <v>0</v>
      </c>
      <c r="E61" s="267">
        <f t="shared" si="0"/>
        <v>0</v>
      </c>
      <c r="F61" s="149">
        <f>+IF(ISNUMBER(VLOOKUP($B61,'Cental Budget'!$B$16:$K$77,'Public Expenditure'!F$1,FALSE)),VLOOKUP($B61,'Cental Budget'!$B$16:$K$77,'Public Expenditure'!F$1,FALSE),0)+IF(ISNUMBER(VLOOKUP('Public Expenditure'!$B61,'Local Government'!$B$16:$M$60,'Public Expenditure'!F$1,FALSE)),VLOOKUP('Public Expenditure'!$B61,'Local Government'!$B$16:$M$60,'Public Expenditure'!F$1,FALSE),0)</f>
        <v>0</v>
      </c>
      <c r="G61" s="267">
        <f t="shared" si="2"/>
        <v>0</v>
      </c>
      <c r="H61" s="199">
        <f t="shared" si="3"/>
        <v>0</v>
      </c>
      <c r="I61" s="248" t="e">
        <f t="shared" si="4"/>
        <v>#DIV/0!</v>
      </c>
      <c r="J61" s="149">
        <f>+IF(ISNUMBER(VLOOKUP($B61,'Cental Budget'!$B$16:$K$77,'Public Expenditure'!J$1,FALSE)),VLOOKUP($B61,'Cental Budget'!$B$16:$K$77,'Public Expenditure'!J$1,FALSE),0)+IF(ISNUMBER(VLOOKUP('Public Expenditure'!$B61,'Local Government'!$B$16:$M$60,'Public Expenditure'!J$1,FALSE)),VLOOKUP('Public Expenditure'!$B61,'Local Government'!$B$16:$M$60,'Public Expenditure'!J$1,FALSE),0)</f>
        <v>0</v>
      </c>
      <c r="K61" s="267">
        <f t="shared" si="1"/>
        <v>0</v>
      </c>
      <c r="L61" s="199">
        <f t="shared" si="5"/>
        <v>0</v>
      </c>
      <c r="M61" s="273" t="e">
        <f t="shared" si="6"/>
        <v>#DIV/0!</v>
      </c>
      <c r="BF61" s="154"/>
      <c r="BG61" s="154"/>
      <c r="BH61" s="140"/>
      <c r="BI61" s="140"/>
      <c r="BJ61" s="140"/>
      <c r="BK61" s="139"/>
    </row>
    <row r="62" spans="1:63" ht="13.5" customHeight="1" thickTop="1" thickBot="1">
      <c r="C62" s="171" t="s">
        <v>131</v>
      </c>
      <c r="D62" s="166">
        <f>+D16-D36</f>
        <v>-29475302.676002741</v>
      </c>
      <c r="E62" s="264">
        <f t="shared" si="0"/>
        <v>-0.64014122436752607</v>
      </c>
      <c r="F62" s="166">
        <f>+F16-F36</f>
        <v>-70637369.039777994</v>
      </c>
      <c r="G62" s="264">
        <f t="shared" si="2"/>
        <v>-1.5340942347655118</v>
      </c>
      <c r="H62" s="166">
        <f>+D62-F62</f>
        <v>41162066.363775253</v>
      </c>
      <c r="I62" s="264">
        <f t="shared" si="4"/>
        <v>-58.272366204063566</v>
      </c>
      <c r="J62" s="166">
        <f>+J16-J36-J61</f>
        <v>-94002613.699999809</v>
      </c>
      <c r="K62" s="264">
        <f>J62/J$11*100</f>
        <v>-2.186615810653636</v>
      </c>
      <c r="L62" s="166">
        <f t="shared" si="5"/>
        <v>64527311.023997068</v>
      </c>
      <c r="M62" s="264">
        <f t="shared" si="6"/>
        <v>-68.644166884475894</v>
      </c>
      <c r="O62" s="206"/>
      <c r="BF62" s="154"/>
      <c r="BG62" s="154"/>
      <c r="BH62" s="140"/>
      <c r="BI62" s="140"/>
      <c r="BJ62" s="140"/>
      <c r="BK62" s="139"/>
    </row>
    <row r="63" spans="1:63" ht="13.5" customHeight="1" thickTop="1" thickBot="1">
      <c r="C63" s="171" t="s">
        <v>470</v>
      </c>
      <c r="D63" s="166">
        <f>+D62+D44</f>
        <v>43750777.973997265</v>
      </c>
      <c r="E63" s="264">
        <f t="shared" si="0"/>
        <v>0.95017435061347089</v>
      </c>
      <c r="F63" s="166">
        <f>+F62+F44</f>
        <v>-3320950.6109979898</v>
      </c>
      <c r="G63" s="264">
        <f t="shared" si="2"/>
        <v>-7.2124022391095444E-2</v>
      </c>
      <c r="H63" s="166">
        <f t="shared" si="3"/>
        <v>47071728.584995255</v>
      </c>
      <c r="I63" s="264" t="s">
        <v>469</v>
      </c>
      <c r="J63" s="166">
        <f>+J62+J44</f>
        <v>-685227.81999978423</v>
      </c>
      <c r="K63" s="264">
        <f t="shared" si="1"/>
        <v>-1.5939237497087328E-2</v>
      </c>
      <c r="L63" s="166">
        <f t="shared" si="5"/>
        <v>44436005.793997049</v>
      </c>
      <c r="M63" s="264" t="s">
        <v>469</v>
      </c>
      <c r="BF63" s="154"/>
      <c r="BG63" s="154"/>
      <c r="BH63" s="140"/>
      <c r="BI63" s="140"/>
      <c r="BJ63" s="140"/>
      <c r="BK63" s="139"/>
    </row>
    <row r="64" spans="1:63" ht="13.5" customHeight="1" thickTop="1" thickBot="1">
      <c r="C64" s="171" t="s">
        <v>0</v>
      </c>
      <c r="D64" s="166">
        <f>+SUM(D65:D66)</f>
        <v>317700949.64999998</v>
      </c>
      <c r="E64" s="264">
        <f t="shared" si="0"/>
        <v>6.8997925866000651</v>
      </c>
      <c r="F64" s="166">
        <f>+SUM(F65:F67)</f>
        <v>173663096.36461246</v>
      </c>
      <c r="G64" s="264">
        <f t="shared" si="2"/>
        <v>3.7715950996766745</v>
      </c>
      <c r="H64" s="166">
        <f t="shared" si="3"/>
        <v>144037853.28538752</v>
      </c>
      <c r="I64" s="264">
        <f t="shared" si="4"/>
        <v>82.940968058622218</v>
      </c>
      <c r="J64" s="166">
        <f>+SUM(J65:J66)</f>
        <v>324555639.87000006</v>
      </c>
      <c r="K64" s="264">
        <f t="shared" si="1"/>
        <v>7.5495612903000717</v>
      </c>
      <c r="L64" s="166">
        <f t="shared" si="5"/>
        <v>-6854690.2200000882</v>
      </c>
      <c r="M64" s="264">
        <f t="shared" si="6"/>
        <v>-2.1120231411617851</v>
      </c>
      <c r="BF64" s="154"/>
      <c r="BG64" s="154"/>
      <c r="BH64" s="140"/>
      <c r="BI64" s="140"/>
      <c r="BJ64" s="140"/>
      <c r="BK64" s="139"/>
    </row>
    <row r="65" spans="2:63" ht="13.5" customHeight="1" thickTop="1">
      <c r="B65" s="80">
        <v>4611</v>
      </c>
      <c r="C65" s="97" t="s">
        <v>134</v>
      </c>
      <c r="D65" s="151">
        <f>'Cental Budget'!D66+'Local Government'!D50</f>
        <v>237698641.22</v>
      </c>
      <c r="E65" s="266">
        <f t="shared" si="0"/>
        <v>5.1623116781409486</v>
      </c>
      <c r="F65" s="151">
        <f>+IF(ISNUMBER(VLOOKUP($B65,'Cental Budget'!$B$16:$K$77,'Public Expenditure'!F$1,FALSE)),VLOOKUP($B65,'Cental Budget'!$B$16:$K$77,'Public Expenditure'!F$1,FALSE),0)+IF(ISNUMBER(VLOOKUP('Public Expenditure'!$B65,'Local Government'!$B$16:$M$60,'Public Expenditure'!F$1,FALSE)),VLOOKUP('Public Expenditure'!$B65,'Local Government'!$B$16:$M$60,'Public Expenditure'!F$1,FALSE),0)</f>
        <v>45941933.899999999</v>
      </c>
      <c r="G65" s="266">
        <f t="shared" si="2"/>
        <v>0.99776162232598553</v>
      </c>
      <c r="H65" s="200">
        <f t="shared" si="3"/>
        <v>191756707.31999999</v>
      </c>
      <c r="I65" s="272">
        <f t="shared" si="4"/>
        <v>417.38928042817975</v>
      </c>
      <c r="J65" s="151">
        <f>+IF(ISNUMBER(VLOOKUP($B65,'Cental Budget'!$B$16:$K$77,'Public Expenditure'!J$1,FALSE)),VLOOKUP($B65,'Cental Budget'!$B$16:$K$77,'Public Expenditure'!J$1,FALSE),0)+IF(ISNUMBER(VLOOKUP('Public Expenditure'!$B65,'Local Government'!$B$16:$M$60,'Public Expenditure'!J$1,FALSE)),VLOOKUP('Public Expenditure'!$B65,'Local Government'!$B$16:$M$60,'Public Expenditure'!J$1,FALSE),0)</f>
        <v>212391553.99000001</v>
      </c>
      <c r="K65" s="266">
        <f t="shared" si="1"/>
        <v>4.9404874154454523</v>
      </c>
      <c r="L65" s="200">
        <f t="shared" si="5"/>
        <v>25307087.229999989</v>
      </c>
      <c r="M65" s="272">
        <f t="shared" si="6"/>
        <v>11.915298303807091</v>
      </c>
      <c r="BF65" s="154"/>
      <c r="BG65" s="154"/>
      <c r="BH65" s="140"/>
      <c r="BI65" s="140"/>
      <c r="BJ65" s="140"/>
      <c r="BK65" s="139"/>
    </row>
    <row r="66" spans="2:63" ht="13.5" customHeight="1">
      <c r="B66" s="80">
        <v>4612</v>
      </c>
      <c r="C66" s="97" t="s">
        <v>136</v>
      </c>
      <c r="D66" s="151">
        <f>'Cental Budget'!D67+'Local Government'!D51</f>
        <v>80002308.429999992</v>
      </c>
      <c r="E66" s="266">
        <f t="shared" si="0"/>
        <v>1.7374809084591158</v>
      </c>
      <c r="F66" s="151">
        <f>+IF(ISNUMBER(VLOOKUP($B66,'Cental Budget'!$B$16:$K$77,'Public Expenditure'!F$1,FALSE)),VLOOKUP($B66,'Cental Budget'!$B$16:$K$77,'Public Expenditure'!F$1,FALSE),0)+IF(ISNUMBER(VLOOKUP('Public Expenditure'!$B66,'Local Government'!$B$16:$M$60,'Public Expenditure'!F$1,FALSE)),VLOOKUP('Public Expenditure'!$B66,'Local Government'!$B$16:$M$60,'Public Expenditure'!F$1,FALSE),0)</f>
        <v>83314041.214612454</v>
      </c>
      <c r="G66" s="266">
        <f t="shared" si="2"/>
        <v>1.8094047391597885</v>
      </c>
      <c r="H66" s="200">
        <f t="shared" si="3"/>
        <v>-3311732.7846124619</v>
      </c>
      <c r="I66" s="272">
        <f t="shared" si="4"/>
        <v>-3.9749995754996661</v>
      </c>
      <c r="J66" s="151">
        <f>+IF(ISNUMBER(VLOOKUP($B66,'Cental Budget'!$B$16:$K$77,'Public Expenditure'!J$1,FALSE)),VLOOKUP($B66,'Cental Budget'!$B$16:$K$77,'Public Expenditure'!J$1,FALSE),0)+IF(ISNUMBER(VLOOKUP('Public Expenditure'!$B66,'Local Government'!$B$16:$M$60,'Public Expenditure'!J$1,FALSE)),VLOOKUP('Public Expenditure'!$B66,'Local Government'!$B$16:$M$60,'Public Expenditure'!J$1,FALSE),0)</f>
        <v>112164085.88000004</v>
      </c>
      <c r="K66" s="266">
        <f t="shared" si="1"/>
        <v>2.6090738748546181</v>
      </c>
      <c r="L66" s="200">
        <f t="shared" si="5"/>
        <v>-32161777.450000048</v>
      </c>
      <c r="M66" s="272">
        <f t="shared" si="6"/>
        <v>-28.673864007066101</v>
      </c>
      <c r="BF66" s="154"/>
      <c r="BG66" s="154"/>
      <c r="BH66" s="140"/>
      <c r="BI66" s="140"/>
      <c r="BJ66" s="140"/>
      <c r="BK66" s="139"/>
    </row>
    <row r="67" spans="2:63" ht="13.5" customHeight="1" thickBot="1">
      <c r="B67" s="282" t="s">
        <v>447</v>
      </c>
      <c r="C67" s="289" t="s">
        <v>115</v>
      </c>
      <c r="D67" s="151">
        <f>'Cental Budget'!D68+'Local Government'!D52</f>
        <v>0</v>
      </c>
      <c r="E67" s="266">
        <f t="shared" si="0"/>
        <v>0</v>
      </c>
      <c r="F67" s="151">
        <f>'Cental Budget'!F68+'Local Government'!F52</f>
        <v>44407121.25</v>
      </c>
      <c r="G67" s="266">
        <f t="shared" si="2"/>
        <v>0.96442873819090025</v>
      </c>
      <c r="H67" s="200">
        <f t="shared" si="3"/>
        <v>-44407121.25</v>
      </c>
      <c r="I67" s="272">
        <f t="shared" si="4"/>
        <v>-100</v>
      </c>
      <c r="J67" s="151">
        <f>'Cental Budget'!J68+'Local Government'!J52</f>
        <v>0</v>
      </c>
      <c r="K67" s="266">
        <f t="shared" si="1"/>
        <v>0</v>
      </c>
      <c r="L67" s="200">
        <f t="shared" si="5"/>
        <v>0</v>
      </c>
      <c r="M67" s="272" t="e">
        <f t="shared" si="6"/>
        <v>#DIV/0!</v>
      </c>
      <c r="BF67" s="154"/>
      <c r="BG67" s="154"/>
      <c r="BH67" s="140"/>
      <c r="BI67" s="140"/>
      <c r="BJ67" s="140"/>
      <c r="BK67" s="139"/>
    </row>
    <row r="68" spans="2:63" ht="13.5" customHeight="1" thickTop="1" thickBot="1">
      <c r="C68" s="171" t="s">
        <v>468</v>
      </c>
      <c r="D68" s="166">
        <f>+'Cental Budget'!D69+'Local Government'!D53</f>
        <v>68939595.359999999</v>
      </c>
      <c r="E68" s="264">
        <f t="shared" si="0"/>
        <v>1.4972221817786946</v>
      </c>
      <c r="F68" s="166">
        <f>+'Cental Budget'!F69+'Local Government'!F53</f>
        <v>70000000</v>
      </c>
      <c r="G68" s="264">
        <f t="shared" si="2"/>
        <v>1.5202519274622652</v>
      </c>
      <c r="H68" s="166">
        <f t="shared" si="3"/>
        <v>-1060404.6400000006</v>
      </c>
      <c r="I68" s="264">
        <f t="shared" si="4"/>
        <v>-1.5148637714285798</v>
      </c>
      <c r="J68" s="166">
        <f>+'Cental Budget'!J69+'Local Government'!J53</f>
        <v>0</v>
      </c>
      <c r="K68" s="264">
        <f t="shared" si="1"/>
        <v>0</v>
      </c>
      <c r="L68" s="166">
        <f t="shared" si="5"/>
        <v>68939595.359999999</v>
      </c>
      <c r="M68" s="264" t="e">
        <f t="shared" si="6"/>
        <v>#DIV/0!</v>
      </c>
      <c r="BF68" s="154"/>
      <c r="BG68" s="154"/>
      <c r="BH68" s="140"/>
      <c r="BI68" s="140"/>
      <c r="BJ68" s="140"/>
      <c r="BK68" s="139"/>
    </row>
    <row r="69" spans="2:63" ht="13.5" customHeight="1" thickTop="1" thickBot="1">
      <c r="C69" s="171" t="s">
        <v>140</v>
      </c>
      <c r="D69" s="166">
        <f>+D62-D64-D68</f>
        <v>-416115847.68600273</v>
      </c>
      <c r="E69" s="264">
        <f t="shared" si="0"/>
        <v>-9.0371559927462854</v>
      </c>
      <c r="F69" s="166">
        <f>+F62-F64-F68</f>
        <v>-314300465.40439045</v>
      </c>
      <c r="G69" s="264">
        <f t="shared" si="2"/>
        <v>-6.8259412619044513</v>
      </c>
      <c r="H69" s="166">
        <f t="shared" si="3"/>
        <v>-101815382.28161228</v>
      </c>
      <c r="I69" s="264">
        <f t="shared" si="4"/>
        <v>32.394283015334679</v>
      </c>
      <c r="J69" s="166">
        <f>+J62-J64-J68</f>
        <v>-418558253.56999987</v>
      </c>
      <c r="K69" s="264">
        <f t="shared" si="1"/>
        <v>-9.7361771009537073</v>
      </c>
      <c r="L69" s="166">
        <f t="shared" si="5"/>
        <v>2442405.8839971423</v>
      </c>
      <c r="M69" s="264">
        <f t="shared" si="6"/>
        <v>-0.58352830535896771</v>
      </c>
      <c r="BF69" s="154"/>
      <c r="BG69" s="154"/>
      <c r="BH69" s="140"/>
      <c r="BI69" s="140"/>
      <c r="BJ69" s="140"/>
      <c r="BK69" s="139"/>
    </row>
    <row r="70" spans="2:63" ht="13.5" customHeight="1" thickTop="1" thickBot="1">
      <c r="C70" s="171" t="s">
        <v>120</v>
      </c>
      <c r="D70" s="166">
        <f>+SUM(D71:D75)</f>
        <v>416115847.68600273</v>
      </c>
      <c r="E70" s="264">
        <f t="shared" si="0"/>
        <v>9.0371559927462854</v>
      </c>
      <c r="F70" s="166">
        <f>+SUM(F71:F75)</f>
        <v>314300465.40439045</v>
      </c>
      <c r="G70" s="264">
        <f t="shared" si="2"/>
        <v>6.8259412619044513</v>
      </c>
      <c r="H70" s="166">
        <f t="shared" si="3"/>
        <v>101815382.28161228</v>
      </c>
      <c r="I70" s="264">
        <f t="shared" si="4"/>
        <v>32.394283015334679</v>
      </c>
      <c r="J70" s="166">
        <f>+SUM(J71:J75)</f>
        <v>418558253.56999987</v>
      </c>
      <c r="K70" s="264">
        <f t="shared" si="1"/>
        <v>9.7361771009537073</v>
      </c>
      <c r="L70" s="166">
        <f t="shared" si="5"/>
        <v>-2442405.8839971423</v>
      </c>
      <c r="M70" s="264">
        <f t="shared" si="6"/>
        <v>-0.58352830535896771</v>
      </c>
      <c r="BF70" s="154"/>
      <c r="BG70" s="154"/>
      <c r="BH70" s="140"/>
      <c r="BI70" s="140"/>
      <c r="BJ70" s="140"/>
      <c r="BK70" s="139"/>
    </row>
    <row r="71" spans="2:63" ht="13.5" customHeight="1" thickTop="1">
      <c r="B71" s="80">
        <v>7511</v>
      </c>
      <c r="C71" s="97" t="s">
        <v>143</v>
      </c>
      <c r="D71" s="151">
        <f>'Cental Budget'!D72+'Local Government'!D56</f>
        <v>200833423.13</v>
      </c>
      <c r="E71" s="266">
        <f t="shared" si="0"/>
        <v>4.361677123031817</v>
      </c>
      <c r="F71" s="151">
        <f>+IF(ISNUMBER(VLOOKUP($B71,'Cental Budget'!$B$16:$K$77,'Public Expenditure'!F$1,FALSE)),VLOOKUP($B71,'Cental Budget'!$B$16:$K$77,'Public Expenditure'!F$1,FALSE),0)+IF(ISNUMBER(VLOOKUP('Public Expenditure'!$B71,'Local Government'!$B$16:$M$60,'Public Expenditure'!F$1,FALSE)),VLOOKUP('Public Expenditure'!$B71,'Local Government'!$B$16:$M$60,'Public Expenditure'!F$1,FALSE),0)</f>
        <v>5600000</v>
      </c>
      <c r="G71" s="266">
        <f t="shared" si="2"/>
        <v>0.12162015419698122</v>
      </c>
      <c r="H71" s="200">
        <f t="shared" si="3"/>
        <v>195233423.13</v>
      </c>
      <c r="I71" s="272" t="s">
        <v>469</v>
      </c>
      <c r="J71" s="151">
        <f>+IF(ISNUMBER(VLOOKUP($B71,'Cental Budget'!$B$16:$K$77,'Public Expenditure'!J$1,FALSE)),VLOOKUP($B71,'Cental Budget'!$B$16:$K$77,'Public Expenditure'!J$1,FALSE),0)+IF(ISNUMBER(VLOOKUP('Public Expenditure'!$B71,'Local Government'!$B$16:$M$60,'Public Expenditure'!J$1,FALSE)),VLOOKUP('Public Expenditure'!$B71,'Local Government'!$B$16:$M$60,'Public Expenditure'!J$1,FALSE),0)</f>
        <v>260943793.69999999</v>
      </c>
      <c r="K71" s="266">
        <f t="shared" si="1"/>
        <v>6.0698719167248196</v>
      </c>
      <c r="L71" s="200">
        <f t="shared" si="5"/>
        <v>-60110370.569999993</v>
      </c>
      <c r="M71" s="272">
        <f t="shared" si="6"/>
        <v>-23.035754067064445</v>
      </c>
      <c r="BF71" s="154"/>
      <c r="BG71" s="154"/>
      <c r="BH71" s="140"/>
      <c r="BI71" s="140"/>
      <c r="BJ71" s="140"/>
      <c r="BK71" s="139"/>
    </row>
    <row r="72" spans="2:63" ht="13.5" customHeight="1">
      <c r="B72" s="80">
        <v>7512</v>
      </c>
      <c r="C72" s="97" t="s">
        <v>121</v>
      </c>
      <c r="D72" s="151">
        <f>'Cental Budget'!D73+'Local Government'!D57</f>
        <v>451234879.69</v>
      </c>
      <c r="E72" s="266">
        <f t="shared" si="0"/>
        <v>9.799867079813227</v>
      </c>
      <c r="F72" s="151">
        <f>+IF(ISNUMBER(VLOOKUP($B72,'Cental Budget'!$B$16:$K$77,'Public Expenditure'!F$1,FALSE)),VLOOKUP($B72,'Cental Budget'!$B$16:$K$77,'Public Expenditure'!F$1,FALSE),0)+IF(ISNUMBER(VLOOKUP('Public Expenditure'!$B72,'Local Government'!$B$16:$M$60,'Public Expenditure'!F$1,FALSE)),VLOOKUP('Public Expenditure'!$B72,'Local Government'!$B$16:$M$60,'Public Expenditure'!F$1,FALSE),0)</f>
        <v>226124999.96999997</v>
      </c>
      <c r="G72" s="266">
        <f t="shared" si="2"/>
        <v>4.9109566721685303</v>
      </c>
      <c r="H72" s="200">
        <f t="shared" si="3"/>
        <v>225109879.72000003</v>
      </c>
      <c r="I72" s="272">
        <f t="shared" si="4"/>
        <v>99.551080044163797</v>
      </c>
      <c r="J72" s="151">
        <f>+IF(ISNUMBER(VLOOKUP($B72,'Cental Budget'!$B$16:$K$77,'Public Expenditure'!J$1,FALSE)),VLOOKUP($B72,'Cental Budget'!$B$16:$K$77,'Public Expenditure'!J$1,FALSE),0)+IF(ISNUMBER(VLOOKUP('Public Expenditure'!$B72,'Local Government'!$B$16:$M$60,'Public Expenditure'!J$1,FALSE)),VLOOKUP('Public Expenditure'!$B72,'Local Government'!$B$16:$M$60,'Public Expenditure'!J$1,FALSE),0)</f>
        <v>176518583.99000001</v>
      </c>
      <c r="K72" s="266">
        <f t="shared" si="1"/>
        <v>4.1060382412188883</v>
      </c>
      <c r="L72" s="200">
        <f t="shared" si="5"/>
        <v>274716295.69999999</v>
      </c>
      <c r="M72" s="272">
        <f t="shared" si="6"/>
        <v>155.63023988203022</v>
      </c>
      <c r="BF72" s="154"/>
      <c r="BG72" s="154"/>
      <c r="BH72" s="140"/>
      <c r="BI72" s="140"/>
      <c r="BJ72" s="140"/>
      <c r="BK72" s="139"/>
    </row>
    <row r="73" spans="2:63" ht="13.5" customHeight="1">
      <c r="B73" s="80">
        <v>72</v>
      </c>
      <c r="C73" s="103" t="s">
        <v>328</v>
      </c>
      <c r="D73" s="151">
        <f>'Cental Budget'!D74+'Local Government'!D58</f>
        <v>18102807.870000001</v>
      </c>
      <c r="E73" s="270">
        <f t="shared" si="0"/>
        <v>0.39315469366923661</v>
      </c>
      <c r="F73" s="151">
        <f>+IF(ISNUMBER(VLOOKUP($B73,'Cental Budget'!$B$16:$K$77,'Public Expenditure'!F$1,FALSE)),VLOOKUP($B73,'Cental Budget'!$B$16:$K$77,'Public Expenditure'!F$1,FALSE),0)+IF(ISNUMBER(VLOOKUP('Public Expenditure'!$B73,'Local Government'!$B$16:$M$60,'Public Expenditure'!F$1,FALSE)),VLOOKUP('Public Expenditure'!$B73,'Local Government'!$B$16:$M$60,'Public Expenditure'!F$1,FALSE),0)</f>
        <v>3500000</v>
      </c>
      <c r="G73" s="270">
        <f t="shared" si="2"/>
        <v>7.6012596373113264E-2</v>
      </c>
      <c r="H73" s="200">
        <f t="shared" si="3"/>
        <v>14602807.870000001</v>
      </c>
      <c r="I73" s="272">
        <f t="shared" si="4"/>
        <v>417.22308199999998</v>
      </c>
      <c r="J73" s="151">
        <f>+IF(ISNUMBER(VLOOKUP($B73,'Cental Budget'!$B$16:$K$77,'Public Expenditure'!J$1,FALSE)),VLOOKUP($B73,'Cental Budget'!$B$16:$K$77,'Public Expenditure'!J$1,FALSE),0)+IF(ISNUMBER(VLOOKUP('Public Expenditure'!$B73,'Local Government'!$B$16:$M$60,'Public Expenditure'!J$1,FALSE)),VLOOKUP('Public Expenditure'!$B73,'Local Government'!$B$16:$M$60,'Public Expenditure'!J$1,FALSE),0)</f>
        <v>7125118.1799999997</v>
      </c>
      <c r="K73" s="270">
        <f t="shared" si="1"/>
        <v>0.16573896673645033</v>
      </c>
      <c r="L73" s="200">
        <f t="shared" si="5"/>
        <v>10977689.690000001</v>
      </c>
      <c r="M73" s="272">
        <f t="shared" si="6"/>
        <v>154.0702822419712</v>
      </c>
      <c r="BF73" s="154"/>
      <c r="BG73" s="154"/>
      <c r="BH73" s="140"/>
      <c r="BI73" s="140"/>
      <c r="BJ73" s="140"/>
      <c r="BK73" s="139"/>
    </row>
    <row r="74" spans="2:63" ht="13.5" customHeight="1" thickBot="1">
      <c r="C74" s="103" t="s">
        <v>464</v>
      </c>
      <c r="D74" s="151">
        <f>+'Local Government'!D60</f>
        <v>3987802.36</v>
      </c>
      <c r="E74" s="270">
        <f t="shared" si="0"/>
        <v>8.6606631773265275E-2</v>
      </c>
      <c r="F74" s="151">
        <f>+'Local Government'!F60</f>
        <v>2800000</v>
      </c>
      <c r="G74" s="270">
        <f t="shared" si="2"/>
        <v>6.0810077098490609E-2</v>
      </c>
      <c r="H74" s="200">
        <f t="shared" si="3"/>
        <v>1187802.3599999999</v>
      </c>
      <c r="I74" s="272">
        <f t="shared" si="4"/>
        <v>42.421512857142858</v>
      </c>
      <c r="J74" s="151">
        <f>+'Local Government'!J60</f>
        <v>1754359.28</v>
      </c>
      <c r="K74" s="270">
        <f t="shared" si="1"/>
        <v>4.0808543382181907E-2</v>
      </c>
      <c r="L74" s="200">
        <f t="shared" si="5"/>
        <v>2233443.08</v>
      </c>
      <c r="M74" s="272">
        <f t="shared" si="6"/>
        <v>127.30819196852309</v>
      </c>
      <c r="BF74" s="154"/>
      <c r="BG74" s="154"/>
      <c r="BH74" s="140"/>
      <c r="BI74" s="140"/>
      <c r="BJ74" s="140"/>
      <c r="BK74" s="139"/>
    </row>
    <row r="75" spans="2:63" ht="13.5" customHeight="1" thickTop="1" thickBot="1">
      <c r="C75" s="143" t="s">
        <v>124</v>
      </c>
      <c r="D75" s="144">
        <f>-D69-SUM(D71:D74)</f>
        <v>-258043065.36399722</v>
      </c>
      <c r="E75" s="268">
        <f t="shared" si="0"/>
        <v>-5.6041495355412581</v>
      </c>
      <c r="F75" s="144">
        <f>-F69-SUM(F71:F74)</f>
        <v>76275465.434390485</v>
      </c>
      <c r="G75" s="268">
        <f t="shared" si="2"/>
        <v>1.6565417620673359</v>
      </c>
      <c r="H75" s="198">
        <f t="shared" si="3"/>
        <v>-334318530.79838771</v>
      </c>
      <c r="I75" s="274">
        <f t="shared" si="4"/>
        <v>-438.30415048198813</v>
      </c>
      <c r="J75" s="144">
        <f>-J69-SUM(J71:J74)</f>
        <v>-27783601.580000103</v>
      </c>
      <c r="K75" s="268">
        <f t="shared" si="1"/>
        <v>-0.64628056710863235</v>
      </c>
      <c r="L75" s="198">
        <f t="shared" si="5"/>
        <v>-230259463.78399712</v>
      </c>
      <c r="M75" s="274" t="s">
        <v>469</v>
      </c>
      <c r="BF75" s="154"/>
      <c r="BG75" s="154"/>
      <c r="BH75" s="140"/>
      <c r="BI75" s="140"/>
      <c r="BJ75" s="140"/>
      <c r="BK75" s="139"/>
    </row>
    <row r="76" spans="2:63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427</v>
      </c>
    </row>
    <row r="78" spans="2:63">
      <c r="D78" s="206"/>
    </row>
    <row r="81" spans="4:10">
      <c r="D81" s="102"/>
      <c r="F81" s="102"/>
      <c r="J81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2" t="s">
        <v>434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34" t="s">
        <v>195</v>
      </c>
      <c r="C3" s="334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34" t="s">
        <v>243</v>
      </c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</row>
    <row r="40" spans="2:20" ht="12.75" customHeight="1">
      <c r="B40" s="333" t="s">
        <v>238</v>
      </c>
      <c r="C40" s="333"/>
      <c r="D40" s="338" t="s">
        <v>244</v>
      </c>
      <c r="E40" s="338"/>
      <c r="F40" s="333" t="s">
        <v>239</v>
      </c>
      <c r="G40" s="333"/>
      <c r="H40" s="333"/>
      <c r="I40" s="2" t="s">
        <v>240</v>
      </c>
      <c r="J40" s="333" t="s">
        <v>241</v>
      </c>
      <c r="K40" s="333"/>
      <c r="L40" s="333"/>
      <c r="M40" s="333" t="s">
        <v>242</v>
      </c>
      <c r="N40" s="333"/>
      <c r="O40" s="333"/>
      <c r="P40" s="333"/>
    </row>
    <row r="41" spans="2:20">
      <c r="B41" s="333"/>
      <c r="C41" s="333"/>
      <c r="D41" s="338"/>
      <c r="E41" s="338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36" t="s">
        <v>222</v>
      </c>
      <c r="C42" s="15" t="s">
        <v>223</v>
      </c>
      <c r="D42" s="339" t="s">
        <v>180</v>
      </c>
      <c r="E42" s="16" t="s">
        <v>181</v>
      </c>
      <c r="F42" s="339" t="s">
        <v>246</v>
      </c>
      <c r="G42" s="339"/>
      <c r="H42" s="339"/>
      <c r="I42" s="17" t="s">
        <v>247</v>
      </c>
      <c r="J42" s="340" t="s">
        <v>248</v>
      </c>
      <c r="K42" s="340"/>
      <c r="L42" s="340"/>
      <c r="M42" s="339" t="s">
        <v>249</v>
      </c>
      <c r="N42" s="339"/>
      <c r="O42" s="339"/>
      <c r="P42" s="339"/>
    </row>
    <row r="43" spans="2:20">
      <c r="B43" s="336"/>
      <c r="C43" s="18" t="s">
        <v>224</v>
      </c>
      <c r="D43" s="339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36"/>
      <c r="C44" s="15" t="s">
        <v>225</v>
      </c>
      <c r="D44" s="339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36"/>
      <c r="C45" s="15" t="s">
        <v>226</v>
      </c>
      <c r="D45" s="339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36"/>
      <c r="C46" s="15" t="s">
        <v>227</v>
      </c>
      <c r="D46" s="339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36"/>
      <c r="C47" s="15" t="s">
        <v>228</v>
      </c>
      <c r="D47" s="339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36"/>
      <c r="C48" s="15" t="s">
        <v>229</v>
      </c>
      <c r="D48" s="339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36"/>
      <c r="C49" s="19" t="s">
        <v>230</v>
      </c>
      <c r="D49" s="339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36"/>
      <c r="C50" s="15" t="s">
        <v>231</v>
      </c>
      <c r="D50" s="339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36"/>
      <c r="C51" s="15" t="s">
        <v>378</v>
      </c>
      <c r="D51" s="339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37" t="s">
        <v>232</v>
      </c>
      <c r="C52" s="20" t="s">
        <v>233</v>
      </c>
      <c r="D52" s="339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37"/>
      <c r="C53" s="20" t="s">
        <v>234</v>
      </c>
      <c r="D53" s="339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37"/>
      <c r="C54" s="20" t="s">
        <v>235</v>
      </c>
      <c r="D54" s="339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37"/>
      <c r="C55" s="20" t="s">
        <v>374</v>
      </c>
      <c r="D55" s="339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37"/>
      <c r="C56" s="20" t="s">
        <v>79</v>
      </c>
      <c r="D56" s="339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37"/>
      <c r="C57" s="20" t="s">
        <v>236</v>
      </c>
      <c r="D57" s="339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37"/>
      <c r="C58" s="20" t="s">
        <v>375</v>
      </c>
      <c r="D58" s="339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37"/>
      <c r="C59" s="20" t="s">
        <v>237</v>
      </c>
      <c r="D59" s="339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34" t="s">
        <v>251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34" t="s">
        <v>255</v>
      </c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T154" s="334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462</v>
      </c>
      <c r="C198" s="11" t="s">
        <v>460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34" t="s">
        <v>278</v>
      </c>
      <c r="C253" s="334"/>
      <c r="D253" s="334"/>
      <c r="E253" s="334"/>
      <c r="F253" s="334"/>
      <c r="G253" s="334"/>
      <c r="H253" s="334"/>
      <c r="I253" s="334"/>
      <c r="J253" s="334"/>
      <c r="K253" s="334"/>
      <c r="L253" s="334"/>
      <c r="M253" s="334"/>
      <c r="N253" s="334"/>
      <c r="O253" s="334"/>
      <c r="P253" s="334"/>
      <c r="Q253" s="334"/>
      <c r="R253" s="334"/>
      <c r="S253" s="334"/>
      <c r="T253" s="334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461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34" t="s">
        <v>314</v>
      </c>
      <c r="C331" s="334"/>
      <c r="D331" s="334"/>
      <c r="E331" s="334"/>
      <c r="F331" s="334"/>
      <c r="G331" s="334"/>
      <c r="H331" s="334"/>
      <c r="I331" s="334"/>
      <c r="J331" s="334"/>
      <c r="K331" s="334"/>
      <c r="L331" s="334"/>
      <c r="M331" s="334"/>
      <c r="N331" s="334"/>
      <c r="O331" s="334"/>
      <c r="P331" s="334"/>
      <c r="Q331" s="334"/>
      <c r="R331" s="334"/>
      <c r="S331" s="334"/>
      <c r="T331" s="334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457</v>
      </c>
      <c r="C345" s="11" t="s">
        <v>458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460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34" t="s">
        <v>386</v>
      </c>
      <c r="C419" s="335"/>
      <c r="D419" s="335"/>
      <c r="E419" s="335"/>
      <c r="F419" s="335"/>
      <c r="G419" s="335"/>
      <c r="H419" s="335"/>
      <c r="I419" s="335"/>
      <c r="J419" s="335"/>
      <c r="K419" s="335"/>
      <c r="L419" s="335"/>
      <c r="M419" s="335"/>
      <c r="N419" s="335"/>
      <c r="O419" s="335"/>
      <c r="P419" s="335"/>
      <c r="Q419" s="335"/>
      <c r="R419" s="335"/>
      <c r="S419" s="335"/>
      <c r="T419" s="335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34" t="s">
        <v>329</v>
      </c>
      <c r="C427" s="334"/>
      <c r="D427" s="334"/>
      <c r="E427" s="334"/>
      <c r="F427" s="334"/>
      <c r="G427" s="334"/>
      <c r="H427" s="334"/>
      <c r="I427" s="334"/>
      <c r="J427" s="334"/>
      <c r="K427" s="334"/>
      <c r="L427" s="334"/>
      <c r="M427" s="334"/>
      <c r="N427" s="334"/>
      <c r="O427" s="334"/>
      <c r="P427" s="334"/>
      <c r="Q427" s="334"/>
      <c r="R427" s="334"/>
      <c r="S427" s="334"/>
      <c r="T427" s="334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34" t="s">
        <v>344</v>
      </c>
      <c r="C432" s="334"/>
      <c r="D432" s="334"/>
      <c r="E432" s="334"/>
      <c r="F432" s="334"/>
      <c r="G432" s="334"/>
      <c r="H432" s="334"/>
      <c r="I432" s="334"/>
      <c r="J432" s="334"/>
      <c r="K432" s="334"/>
      <c r="L432" s="334"/>
      <c r="M432" s="334"/>
      <c r="N432" s="334"/>
      <c r="O432" s="334"/>
      <c r="P432" s="334"/>
      <c r="Q432" s="334"/>
      <c r="R432" s="334"/>
      <c r="S432" s="334"/>
      <c r="T432" s="334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4" t="s">
        <v>292</v>
      </c>
      <c r="E4" s="174" t="s">
        <v>293</v>
      </c>
      <c r="F4" s="174" t="s">
        <v>294</v>
      </c>
      <c r="G4" s="174" t="s">
        <v>295</v>
      </c>
      <c r="H4" s="174" t="s">
        <v>296</v>
      </c>
      <c r="I4" s="174" t="s">
        <v>297</v>
      </c>
      <c r="J4" s="174" t="s">
        <v>298</v>
      </c>
      <c r="K4" s="174" t="s">
        <v>299</v>
      </c>
      <c r="L4" s="174" t="s">
        <v>300</v>
      </c>
      <c r="M4" s="174" t="s">
        <v>301</v>
      </c>
      <c r="N4" s="174" t="s">
        <v>302</v>
      </c>
      <c r="O4" s="174" t="s">
        <v>303</v>
      </c>
    </row>
    <row r="5" spans="3:16">
      <c r="C5" s="174" t="s">
        <v>435</v>
      </c>
      <c r="D5" s="175">
        <v>62425293.156965584</v>
      </c>
      <c r="E5" s="175">
        <v>79762187.59852089</v>
      </c>
      <c r="F5" s="175">
        <v>89318688.151918903</v>
      </c>
      <c r="G5" s="175">
        <v>106294081.27535464</v>
      </c>
      <c r="H5" s="175">
        <v>97189661.825924918</v>
      </c>
      <c r="I5" s="175">
        <v>105191801.34506513</v>
      </c>
      <c r="J5" s="175">
        <v>123272889.17858437</v>
      </c>
      <c r="K5" s="175">
        <v>125579133.65326507</v>
      </c>
      <c r="L5" s="175">
        <v>121047897.33843082</v>
      </c>
      <c r="M5" s="175">
        <v>114789505.85515907</v>
      </c>
      <c r="N5" s="175">
        <v>97406301.479715049</v>
      </c>
      <c r="O5" s="175">
        <v>145778958.57826602</v>
      </c>
      <c r="P5" s="175">
        <f>+SUM(D5:O5)</f>
        <v>1268056399.4371705</v>
      </c>
    </row>
    <row r="6" spans="3:16">
      <c r="C6" s="174" t="s">
        <v>436</v>
      </c>
      <c r="D6" s="175">
        <v>70632268.589999989</v>
      </c>
      <c r="E6" s="175">
        <v>81381758.450000018</v>
      </c>
      <c r="F6" s="175">
        <v>100495765.61000001</v>
      </c>
      <c r="G6" s="175">
        <v>107356417.33534782</v>
      </c>
      <c r="H6" s="175">
        <v>98816734.644163221</v>
      </c>
      <c r="I6" s="175">
        <v>107147051.5707173</v>
      </c>
      <c r="J6" s="175">
        <v>125666748.8575906</v>
      </c>
      <c r="K6" s="175">
        <v>127890096.38694921</v>
      </c>
      <c r="L6" s="175">
        <v>123465322.33433203</v>
      </c>
      <c r="M6" s="175">
        <v>117130344.73943919</v>
      </c>
      <c r="N6" s="175">
        <v>99294843.070796907</v>
      </c>
      <c r="O6" s="175">
        <v>149056317.49743444</v>
      </c>
      <c r="P6" s="175">
        <f>+SUM(D6:O6)</f>
        <v>1308333669.0867708</v>
      </c>
    </row>
    <row r="7" spans="3:16">
      <c r="C7" s="174" t="s">
        <v>437</v>
      </c>
      <c r="D7" s="175">
        <v>54757461.979999989</v>
      </c>
      <c r="E7" s="175">
        <v>75673443.909999996</v>
      </c>
      <c r="F7" s="175">
        <v>88296245.580000013</v>
      </c>
      <c r="G7" s="175">
        <v>103948239.19999999</v>
      </c>
      <c r="H7" s="175">
        <v>93997829.679999992</v>
      </c>
      <c r="I7" s="175">
        <v>99561632.659999996</v>
      </c>
      <c r="J7" s="175">
        <v>122021331.04999998</v>
      </c>
      <c r="K7" s="175">
        <v>125053427.64999999</v>
      </c>
      <c r="L7" s="175">
        <v>116342017.78000002</v>
      </c>
      <c r="M7" s="175">
        <v>117283627.60000001</v>
      </c>
      <c r="N7" s="175">
        <v>95781753.159999996</v>
      </c>
      <c r="O7" s="175">
        <v>142429369.22999999</v>
      </c>
      <c r="P7" s="175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04">
        <v>3335894492.1291356</v>
      </c>
      <c r="D3" s="304"/>
      <c r="E3" s="297">
        <v>3516156889.9792166</v>
      </c>
      <c r="F3" s="298"/>
      <c r="G3" s="298"/>
      <c r="H3" s="299"/>
    </row>
    <row r="4" spans="2:13" ht="13.5" thickTop="1">
      <c r="E4" s="83"/>
      <c r="F4" s="83"/>
      <c r="G4" s="82"/>
      <c r="H4" s="82"/>
    </row>
    <row r="5" spans="2:13" ht="13.5" thickBot="1">
      <c r="E5" s="157"/>
      <c r="F5" s="157"/>
      <c r="G5" s="157"/>
      <c r="H5" s="157"/>
    </row>
    <row r="6" spans="2:13" ht="13.5" thickTop="1">
      <c r="B6" t="s">
        <v>126</v>
      </c>
      <c r="C6" s="295">
        <v>2013</v>
      </c>
      <c r="D6" s="296"/>
      <c r="E6" s="295" t="s">
        <v>392</v>
      </c>
      <c r="F6" s="296"/>
      <c r="G6" s="295" t="s">
        <v>426</v>
      </c>
      <c r="H6" s="296"/>
      <c r="I6" s="295" t="s">
        <v>438</v>
      </c>
      <c r="J6" s="296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77" t="s">
        <v>262</v>
      </c>
      <c r="J7" s="177" t="s">
        <v>439</v>
      </c>
    </row>
    <row r="8" spans="2:13" ht="14.25" thickTop="1" thickBot="1">
      <c r="B8" s="90" t="s">
        <v>127</v>
      </c>
      <c r="C8" s="158">
        <f>C9+C17+C22+C27+C34+C39</f>
        <v>1235146379.48</v>
      </c>
      <c r="D8" s="92">
        <f>C8/C$3*100</f>
        <v>37.025942588839719</v>
      </c>
      <c r="E8" s="158">
        <f>+E9+E17+E22+E27+E34+E39+E40</f>
        <v>1276056399.4371703</v>
      </c>
      <c r="F8" s="92">
        <f>E8/E$3*100</f>
        <v>36.291224748071834</v>
      </c>
      <c r="G8" s="155">
        <f>+G9+G17+G22+G27+G34+G39+G40</f>
        <v>1316333669.0867703</v>
      </c>
      <c r="H8" s="92">
        <f>G8/E$3*100</f>
        <v>37.436716002014087</v>
      </c>
      <c r="I8" s="155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49">
        <f>SUM(C10:C16)</f>
        <v>755696459.51000011</v>
      </c>
      <c r="D9" s="95">
        <f t="shared" ref="D9:D72" si="0">C9/C$3*100</f>
        <v>22.653488031261944</v>
      </c>
      <c r="E9" s="149">
        <f>+SUM(E10:E16)</f>
        <v>797828901.35953081</v>
      </c>
      <c r="F9" s="96">
        <f t="shared" ref="F9:F73" si="1">E9/E$3*100</f>
        <v>22.690366963808792</v>
      </c>
      <c r="G9" s="149">
        <f>+SUM(G10:G16)</f>
        <v>819077478.06873</v>
      </c>
      <c r="H9" s="96">
        <f t="shared" ref="H9:H72" si="2">G9/E$3*100</f>
        <v>23.294679495190881</v>
      </c>
      <c r="I9" s="149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0">
        <v>95618433.909999996</v>
      </c>
      <c r="D10" s="98">
        <f t="shared" si="0"/>
        <v>2.8663506635358695</v>
      </c>
      <c r="E10" s="150">
        <v>96011654.614494905</v>
      </c>
      <c r="F10" s="98">
        <f t="shared" si="1"/>
        <v>2.7305850568875618</v>
      </c>
      <c r="G10" s="151">
        <v>96781150.729929999</v>
      </c>
      <c r="H10" s="98">
        <f t="shared" si="2"/>
        <v>2.7524696354064582</v>
      </c>
      <c r="I10" s="151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1">
        <v>40638726.390000008</v>
      </c>
      <c r="D11" s="98">
        <f t="shared" si="0"/>
        <v>1.2182257708055488</v>
      </c>
      <c r="E11" s="151">
        <v>44395641.531501003</v>
      </c>
      <c r="F11" s="98">
        <f t="shared" si="1"/>
        <v>1.2626183336137604</v>
      </c>
      <c r="G11" s="151">
        <v>50018934.706970006</v>
      </c>
      <c r="H11" s="98">
        <f t="shared" si="2"/>
        <v>1.4225455880401758</v>
      </c>
      <c r="I11" s="151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1">
        <v>1440565.3199999998</v>
      </c>
      <c r="D12" s="98">
        <f t="shared" si="0"/>
        <v>4.318377944503151E-2</v>
      </c>
      <c r="E12" s="151">
        <v>1544536.6728920399</v>
      </c>
      <c r="F12" s="98">
        <f t="shared" si="1"/>
        <v>4.3926841754241781E-2</v>
      </c>
      <c r="G12" s="151">
        <v>1489198.0023599996</v>
      </c>
      <c r="H12" s="98">
        <f t="shared" si="2"/>
        <v>4.2353002125818169E-2</v>
      </c>
      <c r="I12" s="151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0">
        <v>429195069.32999998</v>
      </c>
      <c r="D13" s="98">
        <f t="shared" si="0"/>
        <v>12.865966544885122</v>
      </c>
      <c r="E13" s="150">
        <v>455945630.52919102</v>
      </c>
      <c r="F13" s="98">
        <f t="shared" si="1"/>
        <v>12.967158315051353</v>
      </c>
      <c r="G13" s="151">
        <v>473642045.78458995</v>
      </c>
      <c r="H13" s="98">
        <f t="shared" si="2"/>
        <v>13.470446871538474</v>
      </c>
      <c r="I13" s="151">
        <f t="shared" si="3"/>
        <v>17696415.255398929</v>
      </c>
      <c r="J13" s="98">
        <f t="shared" si="4"/>
        <v>3.8812555862986784</v>
      </c>
      <c r="L13" s="151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1">
        <v>161445470.17000002</v>
      </c>
      <c r="D14" s="98">
        <f t="shared" si="0"/>
        <v>4.8396455748502225</v>
      </c>
      <c r="E14" s="151">
        <v>171111988.52539012</v>
      </c>
      <c r="F14" s="98">
        <f t="shared" si="1"/>
        <v>4.8664491909631922</v>
      </c>
      <c r="G14" s="151">
        <v>169158715.98390999</v>
      </c>
      <c r="H14" s="98">
        <f t="shared" si="2"/>
        <v>4.8108978432105705</v>
      </c>
      <c r="I14" s="151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1">
        <v>22269382.640000001</v>
      </c>
      <c r="D15" s="98">
        <f t="shared" si="0"/>
        <v>0.66756855447746977</v>
      </c>
      <c r="E15" s="151">
        <v>23735353.696558259</v>
      </c>
      <c r="F15" s="98">
        <f t="shared" si="1"/>
        <v>0.67503682114419394</v>
      </c>
      <c r="G15" s="151">
        <v>22781578.440719999</v>
      </c>
      <c r="H15" s="98">
        <f t="shared" si="2"/>
        <v>0.64791131776985811</v>
      </c>
      <c r="I15" s="151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1">
        <v>5088811.75</v>
      </c>
      <c r="D16" s="98">
        <f t="shared" si="0"/>
        <v>0.15254714326267749</v>
      </c>
      <c r="E16" s="151">
        <v>5084095.7895035082</v>
      </c>
      <c r="F16" s="98">
        <f t="shared" si="1"/>
        <v>0.14459240439449103</v>
      </c>
      <c r="G16" s="151">
        <v>5205854.4202499995</v>
      </c>
      <c r="H16" s="98">
        <f t="shared" si="2"/>
        <v>0.14805523709952459</v>
      </c>
      <c r="I16" s="151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59">
        <f>SUM(C18:C21)</f>
        <v>398494284.19</v>
      </c>
      <c r="D17" s="96">
        <f t="shared" si="0"/>
        <v>11.94565011364196</v>
      </c>
      <c r="E17" s="149">
        <f>+SUM(E18:E21)</f>
        <v>397823173.70918262</v>
      </c>
      <c r="F17" s="96">
        <f t="shared" si="1"/>
        <v>11.314147410286179</v>
      </c>
      <c r="G17" s="149">
        <f>+SUM(G18:G21)</f>
        <v>417559652.73636997</v>
      </c>
      <c r="H17" s="96">
        <f t="shared" si="2"/>
        <v>11.87545566940951</v>
      </c>
      <c r="I17" s="149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1">
        <v>241949355.72999999</v>
      </c>
      <c r="D18" s="98">
        <f t="shared" si="0"/>
        <v>7.2529079172277937</v>
      </c>
      <c r="E18" s="151">
        <v>234882396.70208701</v>
      </c>
      <c r="F18" s="98">
        <f t="shared" si="1"/>
        <v>6.6800886323213922</v>
      </c>
      <c r="G18" s="151">
        <v>254875867.28178996</v>
      </c>
      <c r="H18" s="98">
        <f t="shared" si="2"/>
        <v>7.2487057676000486</v>
      </c>
      <c r="I18" s="151">
        <f t="shared" si="3"/>
        <v>19993470.579702944</v>
      </c>
      <c r="J18" s="98">
        <f t="shared" si="4"/>
        <v>8.5121196225963445</v>
      </c>
      <c r="L18" s="151">
        <f>+G18-C18</f>
        <v>12926511.551789969</v>
      </c>
    </row>
    <row r="19" spans="2:12">
      <c r="B19" s="97" t="s">
        <v>23</v>
      </c>
      <c r="C19" s="151">
        <v>134703897.09</v>
      </c>
      <c r="D19" s="98">
        <f t="shared" si="0"/>
        <v>4.038014313936686</v>
      </c>
      <c r="E19" s="151">
        <v>138667298.82084399</v>
      </c>
      <c r="F19" s="98">
        <f t="shared" si="1"/>
        <v>3.9437176201106214</v>
      </c>
      <c r="G19" s="151">
        <v>139196347.37307</v>
      </c>
      <c r="H19" s="98">
        <f t="shared" si="2"/>
        <v>3.9587638358734543</v>
      </c>
      <c r="I19" s="151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1">
        <v>10770190.189999999</v>
      </c>
      <c r="D20" s="98">
        <f t="shared" si="0"/>
        <v>0.32285763879558199</v>
      </c>
      <c r="E20" s="151">
        <v>11617385.520490499</v>
      </c>
      <c r="F20" s="98">
        <f t="shared" si="1"/>
        <v>0.33040008975706336</v>
      </c>
      <c r="G20" s="151">
        <v>11434714.104369998</v>
      </c>
      <c r="H20" s="98">
        <f t="shared" si="2"/>
        <v>0.3252048888079504</v>
      </c>
      <c r="I20" s="151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1">
        <v>11070841.180000002</v>
      </c>
      <c r="D21" s="98">
        <f t="shared" si="0"/>
        <v>0.33187024368189877</v>
      </c>
      <c r="E21" s="150">
        <v>12656092.6657611</v>
      </c>
      <c r="F21" s="98">
        <f t="shared" si="1"/>
        <v>0.3599410680971038</v>
      </c>
      <c r="G21" s="151">
        <v>12052723.97714</v>
      </c>
      <c r="H21" s="98">
        <f t="shared" si="2"/>
        <v>0.34278117712805589</v>
      </c>
      <c r="I21" s="151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49">
        <f>SUM(C23:C26)</f>
        <v>27069458</v>
      </c>
      <c r="D22" s="96">
        <f t="shared" si="0"/>
        <v>0.81146025642804165</v>
      </c>
      <c r="E22" s="149">
        <f>+SUM(E23:E26)</f>
        <v>20923047.198280636</v>
      </c>
      <c r="F22" s="96">
        <f t="shared" si="1"/>
        <v>0.59505442598166625</v>
      </c>
      <c r="G22" s="149">
        <f>+SUM(G23:G26)</f>
        <v>19923047.198280636</v>
      </c>
      <c r="H22" s="96">
        <f t="shared" si="2"/>
        <v>0.56661428433582772</v>
      </c>
      <c r="I22" s="149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1">
        <v>7881462.9399999995</v>
      </c>
      <c r="D23" s="98">
        <f t="shared" si="0"/>
        <v>0.23626235657620134</v>
      </c>
      <c r="E23" s="151">
        <v>8144616.5029747505</v>
      </c>
      <c r="F23" s="98">
        <f t="shared" si="1"/>
        <v>0.23163404699563594</v>
      </c>
      <c r="G23" s="151">
        <v>8144616.5029747505</v>
      </c>
      <c r="H23" s="98">
        <f t="shared" si="2"/>
        <v>0.23163404699563594</v>
      </c>
      <c r="I23" s="151">
        <f t="shared" si="3"/>
        <v>0</v>
      </c>
      <c r="J23" s="98">
        <f t="shared" si="4"/>
        <v>0</v>
      </c>
    </row>
    <row r="24" spans="2:12">
      <c r="B24" s="97" t="s">
        <v>32</v>
      </c>
      <c r="C24" s="151">
        <v>4557791.26</v>
      </c>
      <c r="D24" s="98">
        <f t="shared" si="0"/>
        <v>0.13662875941531916</v>
      </c>
      <c r="E24" s="151">
        <v>3676083.5729169641</v>
      </c>
      <c r="F24" s="98">
        <f t="shared" si="1"/>
        <v>0.10454833751569864</v>
      </c>
      <c r="G24" s="151">
        <v>5176083.5729169641</v>
      </c>
      <c r="H24" s="98">
        <f t="shared" si="2"/>
        <v>0.14720854998445643</v>
      </c>
      <c r="I24" s="151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1">
        <v>767936.98999999987</v>
      </c>
      <c r="D25" s="98">
        <f t="shared" si="0"/>
        <v>2.3020422013103413E-2</v>
      </c>
      <c r="E25" s="151">
        <v>762511.44191594806</v>
      </c>
      <c r="F25" s="98">
        <f t="shared" si="1"/>
        <v>2.1685933414662142E-2</v>
      </c>
      <c r="G25" s="151">
        <v>762511.44191594806</v>
      </c>
      <c r="H25" s="98">
        <f t="shared" si="2"/>
        <v>2.1685933414662142E-2</v>
      </c>
      <c r="I25" s="151">
        <f t="shared" si="3"/>
        <v>0</v>
      </c>
      <c r="J25" s="98">
        <f t="shared" si="4"/>
        <v>0</v>
      </c>
    </row>
    <row r="26" spans="2:12">
      <c r="B26" s="97" t="s">
        <v>37</v>
      </c>
      <c r="C26" s="150">
        <v>13862266.809999999</v>
      </c>
      <c r="D26" s="98">
        <f t="shared" si="0"/>
        <v>0.41554871842341756</v>
      </c>
      <c r="E26" s="150">
        <v>8339835.6804729737</v>
      </c>
      <c r="F26" s="98">
        <f t="shared" si="1"/>
        <v>0.23718610805566953</v>
      </c>
      <c r="G26" s="150">
        <v>5839835.6804729737</v>
      </c>
      <c r="H26" s="98">
        <f t="shared" si="2"/>
        <v>0.16608575394107319</v>
      </c>
      <c r="I26" s="150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49">
        <f>SUM(C28:C33)</f>
        <v>13233490.18</v>
      </c>
      <c r="D27" s="96">
        <f t="shared" si="0"/>
        <v>0.39669990196703492</v>
      </c>
      <c r="E27" s="149">
        <f>+SUM(E28:E33)</f>
        <v>13024243.76827177</v>
      </c>
      <c r="F27" s="96">
        <f t="shared" si="1"/>
        <v>0.37041133759957889</v>
      </c>
      <c r="G27" s="149">
        <f>+SUM(G28:G33)</f>
        <v>12724243.76827177</v>
      </c>
      <c r="H27" s="96">
        <f t="shared" si="2"/>
        <v>0.36187929510582734</v>
      </c>
      <c r="I27" s="149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1">
        <v>647266.8600000001</v>
      </c>
      <c r="D28" s="98">
        <f t="shared" si="0"/>
        <v>1.9403097475870164E-2</v>
      </c>
      <c r="E28" s="151">
        <v>698651.48499726248</v>
      </c>
      <c r="F28" s="98">
        <f t="shared" si="1"/>
        <v>1.9869747194397578E-2</v>
      </c>
      <c r="G28" s="151">
        <v>698651.48499726248</v>
      </c>
      <c r="H28" s="98">
        <f t="shared" si="2"/>
        <v>1.9869747194397578E-2</v>
      </c>
      <c r="I28" s="151">
        <f t="shared" si="3"/>
        <v>0</v>
      </c>
      <c r="J28" s="98">
        <f t="shared" si="4"/>
        <v>0</v>
      </c>
    </row>
    <row r="29" spans="2:12">
      <c r="B29" s="97" t="s">
        <v>42</v>
      </c>
      <c r="C29" s="151">
        <v>1995183.6300000001</v>
      </c>
      <c r="D29" s="98">
        <f t="shared" si="0"/>
        <v>5.9809554370125591E-2</v>
      </c>
      <c r="E29" s="151">
        <v>1997965.7673730874</v>
      </c>
      <c r="F29" s="98">
        <f t="shared" si="1"/>
        <v>5.6822429427627073E-2</v>
      </c>
      <c r="G29" s="151">
        <v>1997965.7673730874</v>
      </c>
      <c r="H29" s="98">
        <f t="shared" si="2"/>
        <v>5.6822429427627073E-2</v>
      </c>
      <c r="I29" s="151">
        <f t="shared" si="3"/>
        <v>0</v>
      </c>
      <c r="J29" s="98">
        <f t="shared" si="4"/>
        <v>0</v>
      </c>
    </row>
    <row r="30" spans="2:12">
      <c r="B30" s="97" t="s">
        <v>45</v>
      </c>
      <c r="C30" s="151">
        <v>309851.25</v>
      </c>
      <c r="D30" s="98">
        <f t="shared" si="0"/>
        <v>9.2884007791936302E-3</v>
      </c>
      <c r="E30" s="151">
        <v>424373.88097611902</v>
      </c>
      <c r="F30" s="98">
        <f t="shared" si="1"/>
        <v>1.2069253285755047E-2</v>
      </c>
      <c r="G30" s="151">
        <v>424373.88097611902</v>
      </c>
      <c r="H30" s="98">
        <f t="shared" si="2"/>
        <v>1.2069253285755047E-2</v>
      </c>
      <c r="I30" s="151">
        <f t="shared" si="3"/>
        <v>0</v>
      </c>
      <c r="J30" s="98">
        <f t="shared" si="4"/>
        <v>0</v>
      </c>
    </row>
    <row r="31" spans="2:12">
      <c r="B31" s="97" t="s">
        <v>47</v>
      </c>
      <c r="C31" s="151">
        <v>3324177.16</v>
      </c>
      <c r="D31" s="98">
        <f t="shared" si="0"/>
        <v>9.9648749918296836E-2</v>
      </c>
      <c r="E31" s="151">
        <v>3266343.0516235088</v>
      </c>
      <c r="F31" s="98">
        <f t="shared" si="1"/>
        <v>9.2895259052073062E-2</v>
      </c>
      <c r="G31" s="151">
        <v>3666343.0516235088</v>
      </c>
      <c r="H31" s="98">
        <f t="shared" si="2"/>
        <v>0.10427131571040847</v>
      </c>
      <c r="I31" s="151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1">
        <v>3659024.1899999995</v>
      </c>
      <c r="D32" s="98">
        <f t="shared" si="0"/>
        <v>0.10968644837638813</v>
      </c>
      <c r="E32" s="151">
        <v>3355752.0175728933</v>
      </c>
      <c r="F32" s="98">
        <f t="shared" si="1"/>
        <v>9.5438062708081514E-2</v>
      </c>
      <c r="G32" s="151">
        <v>3355752.0175728933</v>
      </c>
      <c r="H32" s="98">
        <f t="shared" si="2"/>
        <v>9.5438062708081514E-2</v>
      </c>
      <c r="I32" s="151">
        <f t="shared" si="3"/>
        <v>0</v>
      </c>
      <c r="J32" s="98">
        <f t="shared" si="4"/>
        <v>0</v>
      </c>
    </row>
    <row r="33" spans="2:10">
      <c r="B33" s="97" t="s">
        <v>51</v>
      </c>
      <c r="C33" s="151">
        <v>3297987.09</v>
      </c>
      <c r="D33" s="98">
        <f t="shared" si="0"/>
        <v>9.8863651047160633E-2</v>
      </c>
      <c r="E33" s="151">
        <v>3281157.5657288986</v>
      </c>
      <c r="F33" s="98">
        <f t="shared" si="1"/>
        <v>9.331658593164463E-2</v>
      </c>
      <c r="G33" s="151">
        <v>2581157.5657288986</v>
      </c>
      <c r="H33" s="98">
        <f t="shared" si="2"/>
        <v>7.340848677955765E-2</v>
      </c>
      <c r="I33" s="151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49">
        <f>SUM(C35:C38)</f>
        <v>33088194.540000003</v>
      </c>
      <c r="D34" s="96">
        <f t="shared" si="0"/>
        <v>0.99188372468223518</v>
      </c>
      <c r="E34" s="149">
        <f>+SUM(E35:E38)</f>
        <v>31410770.914738216</v>
      </c>
      <c r="F34" s="96">
        <f t="shared" si="1"/>
        <v>0.89332677402013982</v>
      </c>
      <c r="G34" s="149">
        <f>+SUM(G35:G38)</f>
        <v>31310770.914738216</v>
      </c>
      <c r="H34" s="96">
        <f t="shared" si="2"/>
        <v>0.89048275985555603</v>
      </c>
      <c r="I34" s="149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1">
        <v>6034873.3200000003</v>
      </c>
      <c r="D35" s="98">
        <f t="shared" si="0"/>
        <v>0.18090719998006413</v>
      </c>
      <c r="E35" s="151">
        <v>5533606.7424404304</v>
      </c>
      <c r="F35" s="98">
        <f t="shared" si="1"/>
        <v>0.15737655956737298</v>
      </c>
      <c r="G35" s="151">
        <v>6533606.7424404304</v>
      </c>
      <c r="H35" s="98">
        <f t="shared" si="2"/>
        <v>0.1858167012132115</v>
      </c>
      <c r="I35" s="151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1">
        <v>12316700.43</v>
      </c>
      <c r="D36" s="98">
        <f t="shared" si="0"/>
        <v>0.36921732563966259</v>
      </c>
      <c r="E36" s="151">
        <v>11824073.889814863</v>
      </c>
      <c r="F36" s="98">
        <f t="shared" si="1"/>
        <v>0.33627833625719566</v>
      </c>
      <c r="G36" s="151">
        <v>12424073.889814863</v>
      </c>
      <c r="H36" s="98">
        <f t="shared" si="2"/>
        <v>0.35334242124469878</v>
      </c>
      <c r="I36" s="151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1">
        <v>2179410.2600000002</v>
      </c>
      <c r="D37" s="98">
        <f t="shared" si="0"/>
        <v>6.5332110027526411E-2</v>
      </c>
      <c r="E37" s="151">
        <v>2220205.3434794326</v>
      </c>
      <c r="F37" s="98">
        <f t="shared" si="1"/>
        <v>6.3142954451402653E-2</v>
      </c>
      <c r="G37" s="151">
        <v>2220205.3434794326</v>
      </c>
      <c r="H37" s="98">
        <f t="shared" si="2"/>
        <v>6.3142954451402653E-2</v>
      </c>
      <c r="I37" s="151">
        <f t="shared" si="3"/>
        <v>0</v>
      </c>
      <c r="J37" s="98">
        <f t="shared" si="4"/>
        <v>0</v>
      </c>
    </row>
    <row r="38" spans="2:10">
      <c r="B38" s="97" t="s">
        <v>53</v>
      </c>
      <c r="C38" s="151">
        <v>12557210.530000001</v>
      </c>
      <c r="D38" s="98">
        <f t="shared" si="0"/>
        <v>0.37642708903498195</v>
      </c>
      <c r="E38" s="151">
        <v>11832884.939003492</v>
      </c>
      <c r="F38" s="98">
        <f t="shared" si="1"/>
        <v>0.33652892374416871</v>
      </c>
      <c r="G38" s="151">
        <v>10132884.939003492</v>
      </c>
      <c r="H38" s="98">
        <f t="shared" si="2"/>
        <v>0.28818068294624322</v>
      </c>
      <c r="I38" s="151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49">
        <v>7564493.0600000005</v>
      </c>
      <c r="D39" s="96">
        <f t="shared" si="0"/>
        <v>0.22676056085850488</v>
      </c>
      <c r="E39" s="149">
        <v>7046262.4871663069</v>
      </c>
      <c r="F39" s="96">
        <f t="shared" si="1"/>
        <v>0.20039670320876826</v>
      </c>
      <c r="G39" s="149">
        <v>7738476.4003799995</v>
      </c>
      <c r="H39" s="96">
        <f t="shared" si="2"/>
        <v>0.22008336494978584</v>
      </c>
      <c r="I39" s="149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1">
        <v>6615451.54</v>
      </c>
      <c r="D40" s="98">
        <f t="shared" si="0"/>
        <v>0.19831117427750797</v>
      </c>
      <c r="E40" s="149">
        <v>8000000</v>
      </c>
      <c r="F40" s="96">
        <f t="shared" si="1"/>
        <v>0.22752113316670824</v>
      </c>
      <c r="G40" s="149">
        <v>8000000</v>
      </c>
      <c r="H40" s="96">
        <f t="shared" si="2"/>
        <v>0.22752113316670824</v>
      </c>
      <c r="I40" s="149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49">
        <v>366128508.17291778</v>
      </c>
      <c r="D44" s="96">
        <f t="shared" si="0"/>
        <v>10.975422305375018</v>
      </c>
      <c r="E44" s="149">
        <v>386488693.71999997</v>
      </c>
      <c r="F44" s="96">
        <f t="shared" si="1"/>
        <v>10.991793193911903</v>
      </c>
      <c r="G44" s="149">
        <v>386488693.71999997</v>
      </c>
      <c r="H44" s="96">
        <f t="shared" si="2"/>
        <v>10.991793193911903</v>
      </c>
      <c r="I44" s="149">
        <f t="shared" si="5"/>
        <v>0</v>
      </c>
      <c r="J44" s="96">
        <f t="shared" si="4"/>
        <v>0</v>
      </c>
    </row>
    <row r="45" spans="2:10">
      <c r="B45" s="93" t="s">
        <v>74</v>
      </c>
      <c r="C45" s="149">
        <v>12022159.040000001</v>
      </c>
      <c r="D45" s="96">
        <f t="shared" si="0"/>
        <v>0.36038786803256645</v>
      </c>
      <c r="E45" s="149">
        <v>11478163.960000001</v>
      </c>
      <c r="F45" s="96">
        <f t="shared" si="1"/>
        <v>0.3264406088565589</v>
      </c>
      <c r="G45" s="149">
        <v>11478163.960000001</v>
      </c>
      <c r="H45" s="96">
        <f t="shared" si="2"/>
        <v>0.3264406088565589</v>
      </c>
      <c r="I45" s="149">
        <f t="shared" si="5"/>
        <v>0</v>
      </c>
      <c r="J45" s="96">
        <f t="shared" si="4"/>
        <v>0</v>
      </c>
    </row>
    <row r="46" spans="2:10">
      <c r="B46" s="93" t="s">
        <v>428</v>
      </c>
      <c r="C46" s="149">
        <v>90442340.840000004</v>
      </c>
      <c r="D46" s="96">
        <f t="shared" si="0"/>
        <v>2.7111870910004456</v>
      </c>
      <c r="E46" s="149">
        <v>89210330.25999999</v>
      </c>
      <c r="F46" s="96">
        <f t="shared" si="1"/>
        <v>2.5371544288664349</v>
      </c>
      <c r="G46" s="149">
        <v>29295302.830000002</v>
      </c>
      <c r="H46" s="96">
        <f t="shared" si="2"/>
        <v>0.83316256204293437</v>
      </c>
      <c r="I46" s="149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49"/>
      <c r="D47" s="96">
        <f t="shared" si="0"/>
        <v>0</v>
      </c>
      <c r="E47" s="149"/>
      <c r="F47" s="96">
        <f t="shared" si="1"/>
        <v>0</v>
      </c>
      <c r="G47" s="149">
        <v>40692845.799999997</v>
      </c>
      <c r="H47" s="96">
        <f t="shared" si="2"/>
        <v>1.1573102985242654</v>
      </c>
      <c r="I47" s="149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49">
        <v>20416485.639999997</v>
      </c>
      <c r="D48" s="96">
        <f t="shared" si="0"/>
        <v>0.61202432175752564</v>
      </c>
      <c r="E48" s="149">
        <v>21655403.200000003</v>
      </c>
      <c r="F48" s="96">
        <f t="shared" si="1"/>
        <v>0.61588273440574504</v>
      </c>
      <c r="G48" s="149">
        <v>21655403.200000003</v>
      </c>
      <c r="H48" s="96">
        <f t="shared" si="2"/>
        <v>0.61588273440574504</v>
      </c>
      <c r="I48" s="149">
        <f t="shared" si="5"/>
        <v>0</v>
      </c>
      <c r="J48" s="96">
        <f t="shared" si="4"/>
        <v>0</v>
      </c>
    </row>
    <row r="49" spans="2:10">
      <c r="B49" s="93" t="s">
        <v>79</v>
      </c>
      <c r="C49" s="149">
        <v>67427730.789999992</v>
      </c>
      <c r="D49" s="96">
        <f t="shared" si="0"/>
        <v>2.0212788788462022</v>
      </c>
      <c r="E49" s="149">
        <v>73316123.120000005</v>
      </c>
      <c r="F49" s="96">
        <f t="shared" si="1"/>
        <v>2.0851209264565371</v>
      </c>
      <c r="G49" s="149">
        <v>73316123.120000005</v>
      </c>
      <c r="H49" s="96">
        <f t="shared" si="2"/>
        <v>2.0851209264565371</v>
      </c>
      <c r="I49" s="149">
        <f t="shared" si="5"/>
        <v>0</v>
      </c>
      <c r="J49" s="96">
        <f t="shared" si="4"/>
        <v>0</v>
      </c>
    </row>
    <row r="50" spans="2:10">
      <c r="B50" s="93" t="s">
        <v>81</v>
      </c>
      <c r="C50" s="149">
        <v>7928041.8100000005</v>
      </c>
      <c r="D50" s="96">
        <f t="shared" si="0"/>
        <v>0.23765864983757101</v>
      </c>
      <c r="E50" s="149">
        <v>8172802.1399999997</v>
      </c>
      <c r="F50" s="96">
        <f t="shared" si="1"/>
        <v>0.23243565050501225</v>
      </c>
      <c r="G50" s="149">
        <v>8172802.1399999997</v>
      </c>
      <c r="H50" s="96">
        <f t="shared" si="2"/>
        <v>0.23243565050501225</v>
      </c>
      <c r="I50" s="149">
        <f t="shared" si="5"/>
        <v>0</v>
      </c>
      <c r="J50" s="96">
        <f t="shared" si="4"/>
        <v>0</v>
      </c>
    </row>
    <row r="51" spans="2:10">
      <c r="B51" s="93" t="s">
        <v>83</v>
      </c>
      <c r="C51" s="149">
        <v>17426749.959999997</v>
      </c>
      <c r="D51" s="96">
        <f t="shared" si="0"/>
        <v>0.52240111313824467</v>
      </c>
      <c r="E51" s="149">
        <v>18874600</v>
      </c>
      <c r="F51" s="96">
        <f t="shared" si="1"/>
        <v>0.53679629750854385</v>
      </c>
      <c r="G51" s="149">
        <v>18874600</v>
      </c>
      <c r="H51" s="96">
        <f t="shared" si="2"/>
        <v>0.53679629750854385</v>
      </c>
      <c r="I51" s="149">
        <f t="shared" si="5"/>
        <v>0</v>
      </c>
      <c r="J51" s="96">
        <f t="shared" si="4"/>
        <v>0</v>
      </c>
    </row>
    <row r="52" spans="2:10">
      <c r="B52" s="93" t="s">
        <v>85</v>
      </c>
      <c r="C52" s="149">
        <v>6279093.0100000007</v>
      </c>
      <c r="D52" s="96">
        <f t="shared" si="0"/>
        <v>0.18822816563339112</v>
      </c>
      <c r="E52" s="149">
        <v>5827393.7300000023</v>
      </c>
      <c r="F52" s="96">
        <f t="shared" si="1"/>
        <v>0.16573190310727137</v>
      </c>
      <c r="G52" s="149">
        <v>25049575.370000001</v>
      </c>
      <c r="H52" s="96">
        <f t="shared" si="2"/>
        <v>0.71241347169090818</v>
      </c>
      <c r="I52" s="149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49">
        <v>12216538.75</v>
      </c>
      <c r="D53" s="153">
        <f t="shared" si="0"/>
        <v>0.36621478223679643</v>
      </c>
      <c r="E53" s="149"/>
      <c r="F53" s="153">
        <f t="shared" si="1"/>
        <v>0</v>
      </c>
      <c r="G53" s="149">
        <v>10502963.32</v>
      </c>
      <c r="H53" s="153">
        <f t="shared" si="2"/>
        <v>0.2987057645218465</v>
      </c>
      <c r="I53" s="149">
        <f t="shared" si="5"/>
        <v>10502963.32</v>
      </c>
      <c r="J53" s="153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1">
        <v>64036543.990000002</v>
      </c>
      <c r="D55" s="98">
        <f t="shared" si="0"/>
        <v>1.919621383142986</v>
      </c>
      <c r="E55" s="151">
        <v>58645000</v>
      </c>
      <c r="F55" s="98">
        <f t="shared" si="1"/>
        <v>1.6678721068202007</v>
      </c>
      <c r="G55" s="151">
        <v>58645000</v>
      </c>
      <c r="H55" s="98">
        <f t="shared" si="2"/>
        <v>1.6678721068202007</v>
      </c>
      <c r="I55" s="151">
        <f t="shared" si="5"/>
        <v>0</v>
      </c>
      <c r="J55" s="98">
        <f t="shared" si="4"/>
        <v>0</v>
      </c>
    </row>
    <row r="56" spans="2:10">
      <c r="B56" s="97" t="s">
        <v>90</v>
      </c>
      <c r="C56" s="151">
        <v>13086355.520000001</v>
      </c>
      <c r="D56" s="98">
        <f t="shared" si="0"/>
        <v>0.39228925108022916</v>
      </c>
      <c r="E56" s="151">
        <v>20758124</v>
      </c>
      <c r="F56" s="98">
        <f t="shared" si="1"/>
        <v>0.59036398686188019</v>
      </c>
      <c r="G56" s="151">
        <v>20758124</v>
      </c>
      <c r="H56" s="98">
        <f t="shared" si="2"/>
        <v>0.59036398686188019</v>
      </c>
      <c r="I56" s="151">
        <f t="shared" si="5"/>
        <v>0</v>
      </c>
      <c r="J56" s="98">
        <f t="shared" si="4"/>
        <v>0</v>
      </c>
    </row>
    <row r="57" spans="2:10">
      <c r="B57" s="97" t="s">
        <v>92</v>
      </c>
      <c r="C57" s="151">
        <v>383190248.31999987</v>
      </c>
      <c r="D57" s="98">
        <f t="shared" si="0"/>
        <v>11.486881531298929</v>
      </c>
      <c r="E57" s="151">
        <v>397320274.96999997</v>
      </c>
      <c r="F57" s="98">
        <f t="shared" si="1"/>
        <v>11.299844898910312</v>
      </c>
      <c r="G57" s="151">
        <v>397320274.96999997</v>
      </c>
      <c r="H57" s="98">
        <f t="shared" si="2"/>
        <v>11.299844898910312</v>
      </c>
      <c r="I57" s="151">
        <f t="shared" si="5"/>
        <v>0</v>
      </c>
      <c r="J57" s="98">
        <f t="shared" si="4"/>
        <v>0</v>
      </c>
    </row>
    <row r="58" spans="2:10">
      <c r="B58" s="97" t="s">
        <v>94</v>
      </c>
      <c r="C58" s="151">
        <v>14792096.089999998</v>
      </c>
      <c r="D58" s="98">
        <f t="shared" si="0"/>
        <v>0.44342218031478986</v>
      </c>
      <c r="E58" s="151">
        <v>14500000</v>
      </c>
      <c r="F58" s="98">
        <f t="shared" si="1"/>
        <v>0.4123820538646587</v>
      </c>
      <c r="G58" s="151">
        <v>14500000</v>
      </c>
      <c r="H58" s="98">
        <f t="shared" si="2"/>
        <v>0.4123820538646587</v>
      </c>
      <c r="I58" s="151">
        <f t="shared" si="5"/>
        <v>0</v>
      </c>
      <c r="J58" s="98">
        <f t="shared" si="4"/>
        <v>0</v>
      </c>
    </row>
    <row r="59" spans="2:10">
      <c r="B59" s="97" t="s">
        <v>431</v>
      </c>
      <c r="C59" s="151">
        <v>7862525.3600000013</v>
      </c>
      <c r="D59" s="98">
        <f t="shared" si="0"/>
        <v>0.23569466536040659</v>
      </c>
      <c r="E59" s="151">
        <v>7000000</v>
      </c>
      <c r="F59" s="98">
        <f t="shared" si="1"/>
        <v>0.19908099152086972</v>
      </c>
      <c r="G59" s="151">
        <v>7000000</v>
      </c>
      <c r="H59" s="98">
        <f t="shared" si="2"/>
        <v>0.19908099152086972</v>
      </c>
      <c r="I59" s="151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1">
        <v>94307106.209999993</v>
      </c>
      <c r="D61" s="98">
        <f t="shared" si="0"/>
        <v>2.8270410359953697</v>
      </c>
      <c r="E61" s="151">
        <v>101040047.61999999</v>
      </c>
      <c r="F61" s="98">
        <f t="shared" si="1"/>
        <v>2.8735932662150696</v>
      </c>
      <c r="G61" s="151">
        <v>101040047.61999999</v>
      </c>
      <c r="H61" s="98">
        <f t="shared" si="2"/>
        <v>2.8735932662150696</v>
      </c>
      <c r="I61" s="151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1"/>
      <c r="D62" s="98">
        <f t="shared" si="0"/>
        <v>0</v>
      </c>
      <c r="E62" s="151"/>
      <c r="F62" s="98">
        <f t="shared" si="1"/>
        <v>0</v>
      </c>
      <c r="G62" s="151"/>
      <c r="H62" s="98">
        <f t="shared" si="2"/>
        <v>0</v>
      </c>
      <c r="I62" s="151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55">
        <v>61785502.860000007</v>
      </c>
      <c r="D63" s="92">
        <f t="shared" si="0"/>
        <v>1.8521419968700925</v>
      </c>
      <c r="E63" s="155">
        <v>101820500</v>
      </c>
      <c r="F63" s="92">
        <f t="shared" si="1"/>
        <v>2.8957894424501021</v>
      </c>
      <c r="G63" s="155">
        <v>101820500</v>
      </c>
      <c r="H63" s="92">
        <f t="shared" si="2"/>
        <v>2.8957894424501021</v>
      </c>
      <c r="I63" s="155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49">
        <v>2752781.9799999995</v>
      </c>
      <c r="D64" s="96">
        <f t="shared" si="0"/>
        <v>8.2520055310353516E-2</v>
      </c>
      <c r="E64" s="149">
        <v>2140000</v>
      </c>
      <c r="F64" s="96">
        <f t="shared" si="1"/>
        <v>6.0861903122094448E-2</v>
      </c>
      <c r="G64" s="149">
        <v>2140000</v>
      </c>
      <c r="H64" s="96">
        <f t="shared" si="2"/>
        <v>6.0861903122094448E-2</v>
      </c>
      <c r="I64" s="149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49">
        <v>14126844.789999999</v>
      </c>
      <c r="D65" s="96">
        <f t="shared" si="0"/>
        <v>0.42347996386970665</v>
      </c>
      <c r="E65" s="149">
        <v>8854649.7699999996</v>
      </c>
      <c r="F65" s="96">
        <f t="shared" si="1"/>
        <v>0.25182749368309154</v>
      </c>
      <c r="G65" s="149">
        <v>8854649.7699999996</v>
      </c>
      <c r="H65" s="96">
        <f t="shared" si="2"/>
        <v>0.25182749368309154</v>
      </c>
      <c r="I65" s="149">
        <f t="shared" si="5"/>
        <v>0</v>
      </c>
      <c r="J65" s="96">
        <f t="shared" si="4"/>
        <v>0</v>
      </c>
    </row>
    <row r="66" spans="2:10" ht="14.25" thickTop="1" thickBot="1">
      <c r="B66" s="143" t="s">
        <v>112</v>
      </c>
      <c r="C66" s="156">
        <v>107239350.92999999</v>
      </c>
      <c r="D66" s="145">
        <f t="shared" si="0"/>
        <v>3.2147105126683559</v>
      </c>
      <c r="E66" s="156">
        <v>0</v>
      </c>
      <c r="F66" s="145">
        <f t="shared" si="1"/>
        <v>0</v>
      </c>
      <c r="G66" s="156">
        <v>5153201.26</v>
      </c>
      <c r="H66" s="145">
        <f t="shared" si="2"/>
        <v>0.14655777376391357</v>
      </c>
      <c r="I66" s="156">
        <f t="shared" si="5"/>
        <v>5153201.26</v>
      </c>
      <c r="J66" s="145" t="e">
        <f t="shared" si="4"/>
        <v>#DIV/0!</v>
      </c>
    </row>
    <row r="67" spans="2:10" ht="14.25" thickTop="1" thickBot="1">
      <c r="B67" s="176" t="s">
        <v>151</v>
      </c>
      <c r="C67" s="149">
        <v>0</v>
      </c>
      <c r="D67" s="96">
        <f t="shared" si="0"/>
        <v>0</v>
      </c>
      <c r="E67" s="149">
        <v>0</v>
      </c>
      <c r="F67" s="96">
        <f t="shared" si="1"/>
        <v>0</v>
      </c>
      <c r="G67" s="149">
        <v>0</v>
      </c>
      <c r="H67" s="96">
        <f t="shared" si="2"/>
        <v>0</v>
      </c>
      <c r="I67" s="149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1">
        <v>112695950.91</v>
      </c>
      <c r="D71" s="98">
        <f t="shared" si="0"/>
        <v>3.3782828316632929</v>
      </c>
      <c r="E71" s="151">
        <v>30008345.27</v>
      </c>
      <c r="F71" s="98">
        <f t="shared" si="1"/>
        <v>0.8534415900360286</v>
      </c>
      <c r="G71" s="151">
        <v>30008345.27</v>
      </c>
      <c r="H71" s="98">
        <f t="shared" si="2"/>
        <v>0.8534415900360286</v>
      </c>
      <c r="I71" s="151">
        <f t="shared" si="5"/>
        <v>0</v>
      </c>
      <c r="J71" s="98">
        <f t="shared" si="4"/>
        <v>0</v>
      </c>
    </row>
    <row r="72" spans="2:10">
      <c r="B72" s="97" t="s">
        <v>136</v>
      </c>
      <c r="C72" s="151">
        <v>68802905.489999995</v>
      </c>
      <c r="D72" s="98">
        <f t="shared" si="0"/>
        <v>2.0625024458158605</v>
      </c>
      <c r="E72" s="151">
        <v>108080400.25</v>
      </c>
      <c r="F72" s="98">
        <f t="shared" si="1"/>
        <v>3.073821892248922</v>
      </c>
      <c r="G72" s="151">
        <v>108080400.25</v>
      </c>
      <c r="H72" s="98">
        <f t="shared" si="2"/>
        <v>3.073821892248922</v>
      </c>
      <c r="I72" s="151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1">
        <v>60278571.609999992</v>
      </c>
      <c r="D73" s="98">
        <f t="shared" ref="D73:D79" si="6">C73/C$3*100</f>
        <v>1.8069687681137414</v>
      </c>
      <c r="E73" s="151">
        <v>33338159.969999999</v>
      </c>
      <c r="F73" s="98">
        <f t="shared" si="1"/>
        <v>0.94814199175842395</v>
      </c>
      <c r="G73" s="151">
        <v>33338159.969999999</v>
      </c>
      <c r="H73" s="98">
        <f t="shared" ref="H73:H79" si="7">G73/E$3*100</f>
        <v>0.94814199175842395</v>
      </c>
      <c r="I73" s="151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1">
        <v>102834751.84999999</v>
      </c>
      <c r="D76" s="98">
        <f t="shared" si="6"/>
        <v>3.0826739902186082</v>
      </c>
      <c r="E76" s="151">
        <v>0</v>
      </c>
      <c r="F76" s="98">
        <f t="shared" si="8"/>
        <v>0</v>
      </c>
      <c r="G76" s="178">
        <v>0</v>
      </c>
      <c r="H76" s="179">
        <f t="shared" si="7"/>
        <v>0</v>
      </c>
      <c r="I76" s="151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1">
        <v>230537476.81999999</v>
      </c>
      <c r="D77" s="98">
        <f t="shared" si="6"/>
        <v>6.910814396676539</v>
      </c>
      <c r="E77" s="151">
        <v>227975575.86282945</v>
      </c>
      <c r="F77" s="98">
        <f t="shared" si="8"/>
        <v>6.4836576693304764</v>
      </c>
      <c r="G77" s="178">
        <v>227975575.86282945</v>
      </c>
      <c r="H77" s="179">
        <f t="shared" si="7"/>
        <v>6.4836576693304764</v>
      </c>
      <c r="I77" s="151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1">
        <v>11948846.35</v>
      </c>
      <c r="D78" s="104">
        <f t="shared" si="6"/>
        <v>0.35819017592410862</v>
      </c>
      <c r="E78" s="151">
        <v>5000000</v>
      </c>
      <c r="F78" s="104">
        <f t="shared" si="8"/>
        <v>0.14220070822919265</v>
      </c>
      <c r="G78" s="178">
        <v>5000000</v>
      </c>
      <c r="H78" s="179">
        <f t="shared" si="7"/>
        <v>0.14220070822919265</v>
      </c>
      <c r="I78" s="151">
        <f t="shared" si="9"/>
        <v>0</v>
      </c>
      <c r="J78" s="104">
        <f t="shared" si="10"/>
        <v>0</v>
      </c>
    </row>
    <row r="79" spans="2:10" ht="14.25" thickTop="1" thickBot="1">
      <c r="B79" s="143" t="s">
        <v>124</v>
      </c>
      <c r="C79" s="144">
        <f>-C74-SUM(C76:C78)</f>
        <v>24776977.5729177</v>
      </c>
      <c r="D79" s="145">
        <f t="shared" si="6"/>
        <v>0.74273864570290371</v>
      </c>
      <c r="E79" s="144">
        <f>-E74-SUM(E76:E78)</f>
        <v>-10502963.319999933</v>
      </c>
      <c r="F79" s="145">
        <f t="shared" si="8"/>
        <v>-0.29870576452184461</v>
      </c>
      <c r="G79" s="180">
        <f>-G74-SUM(G76:G78)</f>
        <v>-27124068.379600048</v>
      </c>
      <c r="H79" s="181">
        <f t="shared" si="7"/>
        <v>-0.77141234672723535</v>
      </c>
      <c r="I79" s="144">
        <f t="shared" si="9"/>
        <v>-16621105.059600115</v>
      </c>
      <c r="J79" s="145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442</v>
      </c>
      <c r="E4">
        <v>2015</v>
      </c>
      <c r="F4">
        <v>2016</v>
      </c>
      <c r="G4">
        <v>2017</v>
      </c>
    </row>
    <row r="5" spans="3:7">
      <c r="C5" t="s">
        <v>440</v>
      </c>
      <c r="D5" s="175">
        <v>-26424601.993229389</v>
      </c>
      <c r="E5" s="175">
        <v>-24569497.372829676</v>
      </c>
      <c r="F5" s="175">
        <v>33498994.005818129</v>
      </c>
      <c r="G5" s="175">
        <v>103834080.12588143</v>
      </c>
    </row>
    <row r="6" spans="3:7">
      <c r="C6" t="s">
        <v>441</v>
      </c>
      <c r="D6" s="175">
        <v>-51424601.993229389</v>
      </c>
      <c r="E6" s="175">
        <v>-149569497.37282968</v>
      </c>
      <c r="F6" s="175">
        <v>-191501005.99418187</v>
      </c>
      <c r="G6" s="175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Tamara Poleksic</cp:lastModifiedBy>
  <cp:lastPrinted>2016-06-30T08:34:04Z</cp:lastPrinted>
  <dcterms:created xsi:type="dcterms:W3CDTF">2008-03-17T08:49:23Z</dcterms:created>
  <dcterms:modified xsi:type="dcterms:W3CDTF">2018-12-05T09:32:13Z</dcterms:modified>
</cp:coreProperties>
</file>