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always" codeName="ThisWorkbook" defaultThemeVersion="124226"/>
  <mc:AlternateContent xmlns:mc="http://schemas.openxmlformats.org/markup-compatibility/2006">
    <mc:Choice Requires="x15">
      <x15ac:absPath xmlns:x15ac="http://schemas.microsoft.com/office/spreadsheetml/2010/11/ac" url="C:\Users\bojan.paunovic\Desktop\Bojan NE diraj\izvrsenje budzeta\Izvjestaji\izvjestaji 2023\GDDS\Konsolidovani izvjestaji\q3\"/>
    </mc:Choice>
  </mc:AlternateContent>
  <xr:revisionPtr revIDLastSave="0" documentId="13_ncr:1_{8B2A83B6-4C6D-40A8-B863-B78DB9C1B43C}" xr6:coauthVersionLast="36" xr6:coauthVersionMax="36" xr10:uidLastSave="{00000000-0000-0000-0000-000000000000}"/>
  <workbookProtection workbookAlgorithmName="SHA-512" workbookHashValue="U0Zt6j3MJMiX083PeojI5Oir6JWHxlEDlMR+Z+pmAn5B5Y9btdZxnk4nGoLRhk2v/MuU3/84UU5jeSV30ev7fw==" workbookSaltValue="7mTQf/fELNkj/k3gvkzHUQ==" workbookSpinCount="100000" lockStructure="1"/>
  <bookViews>
    <workbookView xWindow="0" yWindow="0" windowWidth="11730" windowHeight="9570" xr2:uid="{00000000-000D-0000-FFFF-FFFF000000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91029"/>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C20" i="10" l="1"/>
  <c r="K24" i="43" l="1"/>
  <c r="L24" i="43"/>
  <c r="F24" i="43" l="1"/>
  <c r="E12" i="43"/>
  <c r="C12" i="43"/>
  <c r="I67" i="10" l="1"/>
  <c r="I55" i="44" l="1"/>
  <c r="J55" i="44" s="1"/>
  <c r="E55" i="44"/>
  <c r="C55" i="44"/>
  <c r="L65" i="43"/>
  <c r="K65" i="43"/>
  <c r="H65" i="43"/>
  <c r="G65" i="43"/>
  <c r="J71" i="10"/>
  <c r="K71" i="10"/>
  <c r="L71" i="10"/>
  <c r="F71" i="10"/>
  <c r="G71" i="10"/>
  <c r="H71" i="10"/>
  <c r="D71" i="10"/>
  <c r="L55" i="44" l="1"/>
  <c r="G55" i="44"/>
  <c r="K55" i="44"/>
  <c r="H55" i="44"/>
  <c r="L71" i="43"/>
  <c r="K71" i="43"/>
  <c r="H71" i="43"/>
  <c r="G71" i="43"/>
  <c r="I61" i="44"/>
  <c r="J61" i="44" s="1"/>
  <c r="E61" i="44"/>
  <c r="C61" i="44"/>
  <c r="I2" i="43"/>
  <c r="J24" i="43" s="1"/>
  <c r="E2" i="43"/>
  <c r="C2" i="43"/>
  <c r="D22" i="43" l="1"/>
  <c r="D23" i="43"/>
  <c r="D25" i="43"/>
  <c r="J71" i="43"/>
  <c r="J65" i="43"/>
  <c r="F71" i="43"/>
  <c r="F65" i="43"/>
  <c r="D71" i="43"/>
  <c r="D65" i="43"/>
  <c r="K61" i="44"/>
  <c r="H61" i="44"/>
  <c r="L61" i="44"/>
  <c r="G61" i="44"/>
  <c r="L77" i="10" l="1"/>
  <c r="K77" i="10"/>
  <c r="J77" i="10"/>
  <c r="H77" i="10"/>
  <c r="G77" i="10"/>
  <c r="F77" i="10"/>
  <c r="D77" i="10"/>
  <c r="H59" i="10" l="1"/>
  <c r="E67" i="10"/>
  <c r="H60" i="10" l="1"/>
  <c r="J58" i="10" l="1"/>
  <c r="C67" i="10" l="1"/>
  <c r="D68" i="10" l="1"/>
  <c r="F68" i="10"/>
  <c r="I43" i="44" l="1"/>
  <c r="I38" i="43" l="1"/>
  <c r="I37" i="43" s="1"/>
  <c r="C38" i="43"/>
  <c r="C37" i="43" s="1"/>
  <c r="E38" i="43"/>
  <c r="E37" i="43" s="1"/>
  <c r="J74" i="10" l="1"/>
  <c r="J75" i="10"/>
  <c r="J76" i="10"/>
  <c r="I53" i="44" l="1"/>
  <c r="I60" i="43"/>
  <c r="E60" i="43" l="1"/>
  <c r="C60" i="43"/>
  <c r="C51" i="44"/>
  <c r="E43" i="44"/>
  <c r="C43" i="44"/>
  <c r="F56" i="43" l="1"/>
  <c r="I12" i="43"/>
  <c r="K68" i="10" l="1"/>
  <c r="K69" i="10"/>
  <c r="C8" i="44" l="1"/>
  <c r="I54" i="44" l="1"/>
  <c r="E54" i="44"/>
  <c r="C54" i="44"/>
  <c r="C7" i="10" l="1"/>
  <c r="C15" i="10"/>
  <c r="E2" i="44" l="1"/>
  <c r="C2" i="44"/>
  <c r="J63" i="43"/>
  <c r="D56" i="43"/>
  <c r="F61" i="44" l="1"/>
  <c r="F55" i="44"/>
  <c r="D61" i="44"/>
  <c r="D55" i="44"/>
  <c r="F17" i="46"/>
  <c r="I17" i="46" s="1"/>
  <c r="G15" i="46"/>
  <c r="G19" i="46" s="1"/>
  <c r="F15" i="46"/>
  <c r="F19" i="46" s="1"/>
  <c r="I19" i="46" s="1"/>
  <c r="D15" i="46"/>
  <c r="D19" i="46" s="1"/>
  <c r="C15" i="46"/>
  <c r="C19" i="46" s="1"/>
  <c r="F13" i="46"/>
  <c r="I13" i="46" s="1"/>
  <c r="J11" i="46"/>
  <c r="G11" i="46"/>
  <c r="J15" i="46" s="1"/>
  <c r="J19" i="46" s="1"/>
  <c r="F11" i="46"/>
  <c r="I15" i="46" s="1"/>
  <c r="F9" i="46"/>
  <c r="I9" i="46" s="1"/>
  <c r="I11" i="46" l="1"/>
  <c r="I62" i="44"/>
  <c r="J62" i="44" s="1"/>
  <c r="E62" i="44"/>
  <c r="F62" i="44" s="1"/>
  <c r="C62" i="44"/>
  <c r="D62" i="44" s="1"/>
  <c r="I60" i="44"/>
  <c r="E60" i="44"/>
  <c r="F60" i="44" s="1"/>
  <c r="C60" i="44"/>
  <c r="I59" i="44"/>
  <c r="J59" i="44" s="1"/>
  <c r="I58" i="44"/>
  <c r="J58" i="44" s="1"/>
  <c r="E59" i="44"/>
  <c r="E58" i="44"/>
  <c r="F58" i="44" s="1"/>
  <c r="C59" i="44"/>
  <c r="C58" i="44"/>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58" i="44" l="1"/>
  <c r="D20" i="44"/>
  <c r="H37" i="44"/>
  <c r="H33" i="44"/>
  <c r="L13" i="44"/>
  <c r="G20" i="44"/>
  <c r="L20" i="44"/>
  <c r="G14" i="44"/>
  <c r="K35" i="44"/>
  <c r="G39" i="44"/>
  <c r="G10" i="44"/>
  <c r="L15" i="44"/>
  <c r="K60" i="44"/>
  <c r="L36" i="44"/>
  <c r="K32" i="44"/>
  <c r="L31" i="44"/>
  <c r="D15" i="44"/>
  <c r="G51" i="44"/>
  <c r="K15" i="44"/>
  <c r="K43" i="44"/>
  <c r="K31" i="44"/>
  <c r="D35" i="44"/>
  <c r="J20" i="44"/>
  <c r="K20" i="44"/>
  <c r="J13" i="44"/>
  <c r="H19" i="44"/>
  <c r="F20" i="44"/>
  <c r="H12" i="44"/>
  <c r="L8" i="44"/>
  <c r="L12" i="44"/>
  <c r="G13" i="44"/>
  <c r="K13" i="44"/>
  <c r="L59" i="44"/>
  <c r="K51" i="44"/>
  <c r="L51" i="44"/>
  <c r="K26" i="44"/>
  <c r="K62" i="44"/>
  <c r="L62" i="44"/>
  <c r="H59" i="44"/>
  <c r="D39" i="44"/>
  <c r="K21" i="44"/>
  <c r="J8" i="44"/>
  <c r="J12" i="44"/>
  <c r="G60" i="44"/>
  <c r="H18" i="44"/>
  <c r="G9" i="44"/>
  <c r="L35" i="44"/>
  <c r="G12" i="44"/>
  <c r="G8" i="44"/>
  <c r="H13" i="44"/>
  <c r="H10" i="44"/>
  <c r="G36" i="44"/>
  <c r="G62" i="44"/>
  <c r="L60" i="44"/>
  <c r="H8" i="44"/>
  <c r="K9" i="44"/>
  <c r="G32" i="44"/>
  <c r="H36" i="44"/>
  <c r="H51" i="44"/>
  <c r="D60" i="44"/>
  <c r="K29" i="44"/>
  <c r="J32" i="44"/>
  <c r="J15" i="44"/>
  <c r="F51" i="44"/>
  <c r="G31" i="44"/>
  <c r="F10" i="44"/>
  <c r="K59" i="44"/>
  <c r="H62" i="44"/>
  <c r="D59" i="44"/>
  <c r="L53" i="44"/>
  <c r="H32" i="44"/>
  <c r="H39" i="44"/>
  <c r="L40" i="44"/>
  <c r="K10" i="44"/>
  <c r="D10" i="44"/>
  <c r="L10" i="44"/>
  <c r="J60"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8" i="44"/>
  <c r="G59" i="44"/>
  <c r="H60" i="44"/>
  <c r="K46" i="44"/>
  <c r="K34" i="44"/>
  <c r="G29" i="44"/>
  <c r="K30" i="44"/>
  <c r="H35" i="44"/>
  <c r="D26" i="44"/>
  <c r="H26" i="44"/>
  <c r="D19" i="44"/>
  <c r="H14" i="44"/>
  <c r="D14" i="44"/>
  <c r="H16" i="44"/>
  <c r="H11" i="44"/>
  <c r="G11" i="44"/>
  <c r="D11" i="44"/>
  <c r="C7" i="44"/>
  <c r="D7" i="44" s="1"/>
  <c r="D9" i="44"/>
  <c r="L9" i="44"/>
  <c r="F59" i="44"/>
  <c r="H58" i="44"/>
  <c r="G58" i="44"/>
  <c r="L58"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2" i="43" l="1"/>
  <c r="K72" i="43"/>
  <c r="L72" i="43"/>
  <c r="F72" i="43"/>
  <c r="G72" i="43"/>
  <c r="H72" i="43"/>
  <c r="D72" i="43"/>
  <c r="J25" i="43"/>
  <c r="K25" i="43"/>
  <c r="L25" i="43"/>
  <c r="J26" i="43"/>
  <c r="K26" i="43"/>
  <c r="L26" i="43"/>
  <c r="J27" i="43"/>
  <c r="K27" i="43"/>
  <c r="L27" i="43"/>
  <c r="G25" i="43"/>
  <c r="H25" i="43"/>
  <c r="G26" i="43"/>
  <c r="H26" i="43"/>
  <c r="G27" i="43"/>
  <c r="H27" i="43"/>
  <c r="F25" i="43"/>
  <c r="F26" i="43"/>
  <c r="F27" i="43"/>
  <c r="F28" i="43"/>
  <c r="F29"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70" i="43"/>
  <c r="K70" i="43"/>
  <c r="J70" i="43"/>
  <c r="H70" i="43"/>
  <c r="G70" i="43"/>
  <c r="F70" i="43"/>
  <c r="D70" i="43"/>
  <c r="L69" i="43"/>
  <c r="K69" i="43"/>
  <c r="J69" i="43"/>
  <c r="H69" i="43"/>
  <c r="G69" i="43"/>
  <c r="F69" i="43"/>
  <c r="D69" i="43"/>
  <c r="L68" i="43"/>
  <c r="K68" i="43"/>
  <c r="J68" i="43"/>
  <c r="H68" i="43"/>
  <c r="G68" i="43"/>
  <c r="F68" i="43"/>
  <c r="D68"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L22" i="43"/>
  <c r="K22" i="43"/>
  <c r="J22" i="43"/>
  <c r="H22" i="43"/>
  <c r="G22" i="43"/>
  <c r="F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4" i="10"/>
  <c r="L74" i="10"/>
  <c r="K75" i="10"/>
  <c r="L75" i="10"/>
  <c r="K76" i="10"/>
  <c r="L76" i="10"/>
  <c r="G74" i="10"/>
  <c r="G75" i="10"/>
  <c r="G76" i="10"/>
  <c r="H74" i="10"/>
  <c r="H75" i="10"/>
  <c r="H76" i="10"/>
  <c r="F74" i="10"/>
  <c r="F75" i="10"/>
  <c r="F76" i="10"/>
  <c r="D74" i="10"/>
  <c r="D75" i="10"/>
  <c r="D76"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9" i="10"/>
  <c r="J60" i="10"/>
  <c r="J61" i="10"/>
  <c r="I50" i="10"/>
  <c r="I40" i="10"/>
  <c r="H41" i="10"/>
  <c r="H42" i="10"/>
  <c r="H43" i="10"/>
  <c r="H44" i="10"/>
  <c r="H45" i="10"/>
  <c r="H46" i="10"/>
  <c r="H47" i="10"/>
  <c r="H48" i="10"/>
  <c r="H49" i="10"/>
  <c r="H51" i="10"/>
  <c r="H52" i="10"/>
  <c r="H53" i="10"/>
  <c r="H54" i="10"/>
  <c r="H55" i="10"/>
  <c r="H56" i="10"/>
  <c r="H57" i="10"/>
  <c r="H58"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E66" i="43" s="1"/>
  <c r="F55" i="43"/>
  <c r="L59" i="43"/>
  <c r="H59" i="43"/>
  <c r="D59" i="43"/>
  <c r="K59" i="43"/>
  <c r="G59" i="43"/>
  <c r="I57" i="43"/>
  <c r="I66" i="43" s="1"/>
  <c r="J55" i="43"/>
  <c r="K55" i="43"/>
  <c r="G55" i="43"/>
  <c r="C57" i="43"/>
  <c r="C66" i="43" s="1"/>
  <c r="C73" i="43" s="1"/>
  <c r="C67" i="43" s="1"/>
  <c r="L55" i="43"/>
  <c r="D55" i="43"/>
  <c r="G18" i="46" s="1"/>
  <c r="H55" i="43"/>
  <c r="L50" i="10"/>
  <c r="K40" i="10"/>
  <c r="D67" i="10"/>
  <c r="K50" i="10"/>
  <c r="G40" i="10"/>
  <c r="G67" i="10"/>
  <c r="L67" i="10"/>
  <c r="K67" i="10"/>
  <c r="G50" i="10"/>
  <c r="D40" i="10"/>
  <c r="D50" i="10"/>
  <c r="H50" i="10"/>
  <c r="I39" i="10"/>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C66" i="10" l="1"/>
  <c r="J39" i="10"/>
  <c r="I66" i="10"/>
  <c r="J66" i="10" s="1"/>
  <c r="F6" i="10"/>
  <c r="E66" i="10"/>
  <c r="F66" i="10" s="1"/>
  <c r="H22" i="44"/>
  <c r="C6" i="44"/>
  <c r="C10" i="46"/>
  <c r="C62" i="10"/>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K57" i="43"/>
  <c r="H57" i="43"/>
  <c r="G57" i="43"/>
  <c r="L57" i="43"/>
  <c r="D57" i="43"/>
  <c r="I73" i="43"/>
  <c r="I67" i="43" s="1"/>
  <c r="J57" i="43"/>
  <c r="I58" i="43"/>
  <c r="J58" i="43" s="1"/>
  <c r="E73" i="43"/>
  <c r="E67" i="43" s="1"/>
  <c r="F57" i="43"/>
  <c r="E58" i="43"/>
  <c r="F58" i="43" s="1"/>
  <c r="E62" i="10"/>
  <c r="K39" i="10"/>
  <c r="H39" i="10"/>
  <c r="D39" i="10"/>
  <c r="D14" i="46" s="1"/>
  <c r="G39" i="10"/>
  <c r="L39" i="10"/>
  <c r="J6" i="10"/>
  <c r="I62" i="10"/>
  <c r="L6" i="10"/>
  <c r="K6" i="10"/>
  <c r="H6" i="10"/>
  <c r="D6" i="10"/>
  <c r="D10" i="46" s="1"/>
  <c r="G6" i="10"/>
  <c r="C64" i="10" l="1"/>
  <c r="C72" i="10" s="1"/>
  <c r="C78" i="10" s="1"/>
  <c r="D6" i="44"/>
  <c r="J10" i="46" s="1"/>
  <c r="E49" i="44"/>
  <c r="F49" i="44" s="1"/>
  <c r="K66" i="10"/>
  <c r="I49" i="44"/>
  <c r="J49" i="44" s="1"/>
  <c r="G66" i="10"/>
  <c r="G6" i="44"/>
  <c r="C49" i="44"/>
  <c r="D49" i="44" s="1"/>
  <c r="I10" i="46"/>
  <c r="C45" i="44"/>
  <c r="K6" i="44"/>
  <c r="G27" i="44"/>
  <c r="C18" i="46"/>
  <c r="H6" i="44"/>
  <c r="L6" i="44"/>
  <c r="K27" i="44"/>
  <c r="L27" i="44"/>
  <c r="J6" i="44"/>
  <c r="I45" i="44"/>
  <c r="H27" i="44"/>
  <c r="F6" i="44"/>
  <c r="E45" i="44"/>
  <c r="J66" i="43"/>
  <c r="F66" i="43"/>
  <c r="L66" i="43"/>
  <c r="H66" i="43"/>
  <c r="D66" i="43"/>
  <c r="K66" i="43"/>
  <c r="G66" i="43"/>
  <c r="L58" i="43"/>
  <c r="H58" i="43"/>
  <c r="D58" i="43"/>
  <c r="K58" i="43"/>
  <c r="G58" i="43"/>
  <c r="E64" i="10"/>
  <c r="E72" i="10" s="1"/>
  <c r="F62" i="10"/>
  <c r="L62" i="10"/>
  <c r="H62" i="10"/>
  <c r="D62" i="10"/>
  <c r="D18" i="46" s="1"/>
  <c r="K62" i="10"/>
  <c r="G62" i="10"/>
  <c r="J62" i="10"/>
  <c r="I64" i="10"/>
  <c r="H66" i="10"/>
  <c r="L66" i="10"/>
  <c r="D66" i="10"/>
  <c r="E78" i="10" l="1"/>
  <c r="E73" i="10" s="1"/>
  <c r="I72" i="10"/>
  <c r="I78" i="10" s="1"/>
  <c r="I73" i="10" s="1"/>
  <c r="C73" i="10"/>
  <c r="C65" i="10"/>
  <c r="D45" i="44"/>
  <c r="J18" i="46" s="1"/>
  <c r="G45" i="44"/>
  <c r="I18" i="46"/>
  <c r="C47" i="44"/>
  <c r="L45" i="44"/>
  <c r="K45" i="44"/>
  <c r="K49" i="44"/>
  <c r="H49" i="44"/>
  <c r="L49" i="44"/>
  <c r="J45" i="44"/>
  <c r="I47" i="44"/>
  <c r="I56" i="44" s="1"/>
  <c r="H45" i="44"/>
  <c r="G49" i="44"/>
  <c r="E47" i="44"/>
  <c r="E56" i="44" s="1"/>
  <c r="E63" i="44" s="1"/>
  <c r="F45" i="44"/>
  <c r="F73" i="43"/>
  <c r="F67" i="43"/>
  <c r="J73" i="43"/>
  <c r="J67" i="43"/>
  <c r="J64" i="10"/>
  <c r="I65" i="10"/>
  <c r="J65" i="10" s="1"/>
  <c r="H64" i="10"/>
  <c r="D64" i="10"/>
  <c r="G64" i="10"/>
  <c r="K64" i="10"/>
  <c r="L64" i="10"/>
  <c r="F64" i="10"/>
  <c r="E65" i="10"/>
  <c r="L72" i="10" l="1"/>
  <c r="J72" i="10"/>
  <c r="I63" i="44"/>
  <c r="I57" i="44" s="1"/>
  <c r="C48" i="44"/>
  <c r="D48" i="44" s="1"/>
  <c r="C56" i="44"/>
  <c r="C63" i="44" s="1"/>
  <c r="C57" i="44" s="1"/>
  <c r="K72" i="10"/>
  <c r="D72" i="10"/>
  <c r="H47" i="44"/>
  <c r="D47" i="44"/>
  <c r="L47" i="44"/>
  <c r="K47" i="44"/>
  <c r="J47" i="44"/>
  <c r="I48" i="44"/>
  <c r="J48" i="44" s="1"/>
  <c r="G47" i="44"/>
  <c r="E48" i="44"/>
  <c r="F48" i="44" s="1"/>
  <c r="F47" i="44"/>
  <c r="D78" i="10"/>
  <c r="L78" i="10"/>
  <c r="J73" i="10"/>
  <c r="J78" i="10"/>
  <c r="D65" i="10"/>
  <c r="H65" i="10"/>
  <c r="L65" i="10"/>
  <c r="K65" i="10"/>
  <c r="G65" i="10"/>
  <c r="F65" i="10"/>
  <c r="D56" i="44" l="1"/>
  <c r="K78" i="10"/>
  <c r="G48" i="44"/>
  <c r="D63" i="44"/>
  <c r="G56" i="44"/>
  <c r="E57" i="44"/>
  <c r="K56" i="44"/>
  <c r="L48" i="44"/>
  <c r="H48" i="44"/>
  <c r="K48" i="44"/>
  <c r="J56" i="44"/>
  <c r="L56" i="44"/>
  <c r="H56" i="44"/>
  <c r="F56" i="44"/>
  <c r="K73" i="10"/>
  <c r="D73" i="10"/>
  <c r="L73" i="10"/>
  <c r="L63" i="44" l="1"/>
  <c r="D57" i="44"/>
  <c r="H63" i="44"/>
  <c r="K63" i="44"/>
  <c r="J63" i="44"/>
  <c r="J57" i="44"/>
  <c r="F63" i="44"/>
  <c r="F57" i="44"/>
  <c r="G63" i="44"/>
  <c r="L57" i="44" l="1"/>
  <c r="K57" i="44"/>
  <c r="G57" i="44"/>
  <c r="H57" i="44"/>
  <c r="K73" i="43"/>
  <c r="L73" i="43"/>
  <c r="H73" i="43"/>
  <c r="D73" i="43"/>
  <c r="K67" i="43"/>
  <c r="G73" i="43"/>
  <c r="D67" i="43" l="1"/>
  <c r="L67" i="43"/>
  <c r="G67" i="43"/>
  <c r="H67" i="43"/>
  <c r="G72" i="10"/>
  <c r="F72" i="10"/>
  <c r="H72" i="10"/>
  <c r="G73" i="10" l="1"/>
  <c r="H73" i="10"/>
  <c r="F73" i="10"/>
  <c r="G78" i="10"/>
  <c r="H78" i="10"/>
  <c r="F78" i="10"/>
</calcChain>
</file>

<file path=xl/sharedStrings.xml><?xml version="1.0" encoding="utf-8"?>
<sst xmlns="http://schemas.openxmlformats.org/spreadsheetml/2006/main" count="472" uniqueCount="194">
  <si>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</si>
  <si>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</si>
  <si>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</si>
  <si>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</si>
  <si>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</si>
  <si>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</si>
  <si>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</si>
  <si>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</si>
  <si>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</si>
  <si>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</si>
  <si>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</si>
  <si>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</si>
  <si>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</si>
  <si>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</si>
  <si>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</si>
  <si>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</si>
  <si>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</si>
  <si>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</si>
  <si>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</si>
  <si>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</si>
  <si>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</si>
  <si>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</si>
  <si>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</si>
  <si>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</si>
  <si>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</si>
  <si>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</si>
  <si>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</si>
  <si>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</si>
  <si>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</si>
  <si>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</si>
  <si>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</si>
  <si>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</si>
  <si>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</si>
  <si>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</si>
  <si>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</si>
  <si>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</si>
  <si>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</si>
  <si>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</si>
  <si>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</si>
  <si>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</si>
  <si>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</si>
  <si>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</si>
  <si>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</si>
  <si>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</si>
  <si>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</si>
  <si>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</si>
  <si>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</si>
  <si>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</si>
  <si>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</si>
  <si>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</si>
  <si>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</si>
  <si>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</si>
  <si>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</si>
  <si>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</si>
  <si>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</si>
  <si>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</si>
  <si>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</si>
  <si>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</si>
  <si>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</si>
  <si>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</si>
  <si>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</si>
  <si>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</si>
  <si>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</si>
  <si>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</si>
  <si>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</si>
  <si>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</si>
  <si>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</si>
  <si>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</si>
  <si>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</si>
  <si>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</si>
  <si>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</si>
  <si>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</si>
  <si>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</si>
  <si>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</si>
  <si>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</si>
  <si>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</si>
  <si>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</si>
  <si>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</si>
  <si>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</si>
  <si>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</si>
  <si>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</si>
  <si>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</si>
  <si>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</si>
  <si>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</si>
  <si>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</si>
  <si>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</si>
  <si>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</si>
  <si>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</si>
  <si>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</si>
  <si>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</si>
  <si>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</si>
  <si>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</si>
  <si>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</si>
  <si>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</si>
  <si>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</si>
  <si>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</si>
  <si>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</si>
  <si>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</si>
  <si>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</si>
  <si>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</si>
  <si>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</si>
  <si>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</si>
  <si>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</si>
  <si>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</si>
  <si>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</si>
  <si>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</si>
  <si>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</si>
  <si>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</si>
  <si>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</si>
  <si>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</si>
  <si>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</si>
  <si>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</si>
  <si>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</si>
  <si>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</si>
  <si>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</si>
  <si>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</si>
  <si>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</si>
  <si>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</si>
  <si>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</si>
  <si>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</si>
  <si>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</si>
  <si>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</si>
  <si>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</si>
  <si>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</si>
  <si>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</si>
  <si>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</si>
  <si>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</si>
  <si>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</si>
  <si>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</si>
  <si>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</si>
  <si>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</si>
  <si>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</si>
  <si>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</si>
  <si>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</si>
  <si>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</si>
  <si>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</si>
  <si>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</si>
  <si>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</si>
  <si>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</si>
  <si>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</si>
  <si>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</si>
  <si>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</si>
  <si>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</si>
  <si>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</si>
  <si>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</si>
  <si>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</si>
  <si>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</si>
  <si>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</si>
  <si>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</si>
  <si>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</si>
  <si>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</si>
  <si>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</si>
  <si>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</si>
  <si>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</si>
  <si>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</si>
  <si>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</si>
  <si>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</si>
  <si>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</si>
  <si>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</si>
  <si>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</si>
  <si>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</si>
  <si>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</si>
  <si>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</si>
  <si>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</si>
  <si>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</si>
  <si>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</si>
  <si>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</si>
  <si>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</si>
  <si>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</si>
  <si>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</si>
  <si>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</si>
  <si>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</si>
  <si>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</si>
  <si>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</si>
  <si>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</si>
  <si>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</si>
  <si>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</si>
  <si>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</si>
  <si>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</si>
  <si>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</si>
  <si>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</si>
  <si>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</si>
  <si>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Neto promjena obaveza</t>
  </si>
  <si>
    <t>Donacije i transferi</t>
  </si>
  <si>
    <t>Naknada za komunalno opremanje građevinskog zemljišta</t>
  </si>
  <si>
    <t>Fee for communal equipment of construction land</t>
  </si>
  <si>
    <t>Primarni  suficit/deficit</t>
  </si>
  <si>
    <t xml:space="preserve">Primici od otplate kredita </t>
  </si>
  <si>
    <t>Primici od otplate kredita</t>
  </si>
  <si>
    <t>Q 3 2023</t>
  </si>
  <si>
    <t>Plan Q 3 2023</t>
  </si>
  <si>
    <t>Q3  2022</t>
  </si>
  <si>
    <t>Q 3 2022</t>
  </si>
  <si>
    <t>Q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</si>
</sst>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 numFmtId="179" formatCode="0.000000000000000000"/>
  </numFmts>
  <fonts count="32">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
      <b/>
      <sz val="10"/>
      <name val="Century Gothic"/>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27">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164" fontId="3" fillId="0" borderId="0" xfId="27" applyNumberFormat="1" applyFont="1"/>
    <xf numFmtId="165" fontId="0" fillId="0" borderId="0" xfId="0" applyNumberFormat="1"/>
    <xf numFmtId="174" fontId="17" fillId="0" borderId="1" xfId="0" applyNumberFormat="1" applyFont="1" applyBorder="1" applyAlignment="1">
      <alignment horizontal="right"/>
    </xf>
    <xf numFmtId="0" fontId="17" fillId="0" borderId="31" xfId="0" applyFont="1" applyBorder="1"/>
    <xf numFmtId="0" fontId="17" fillId="2" borderId="1" xfId="0" applyFont="1" applyFill="1" applyBorder="1"/>
    <xf numFmtId="0" fontId="31" fillId="0" borderId="1" xfId="0" applyFont="1" applyBorder="1"/>
    <xf numFmtId="174" fontId="17" fillId="5" borderId="1" xfId="0" applyNumberFormat="1" applyFont="1" applyFill="1" applyBorder="1" applyAlignment="1">
      <alignment horizontal="right"/>
    </xf>
    <xf numFmtId="174" fontId="16" fillId="0" borderId="1" xfId="0" applyNumberFormat="1" applyFont="1" applyBorder="1" applyAlignment="1">
      <alignment horizontal="right"/>
    </xf>
    <xf numFmtId="174" fontId="17" fillId="0" borderId="8" xfId="0" applyNumberFormat="1" applyFont="1" applyBorder="1" applyAlignment="1">
      <alignment horizontal="right"/>
    </xf>
    <xf numFmtId="0" fontId="16" fillId="0" borderId="0" xfId="27" applyFont="1" applyAlignment="1">
      <alignment horizontal="right"/>
    </xf>
    <xf numFmtId="0" fontId="17" fillId="0" borderId="0" xfId="27" applyFont="1" applyAlignment="1">
      <alignment horizontal="right"/>
    </xf>
    <xf numFmtId="0" fontId="17" fillId="0" borderId="1" xfId="0" applyFont="1" applyBorder="1" applyAlignment="1">
      <alignment horizontal="right"/>
    </xf>
    <xf numFmtId="174" fontId="17" fillId="3" borderId="1" xfId="0" applyNumberFormat="1" applyFont="1" applyFill="1" applyBorder="1" applyAlignment="1">
      <alignment horizontal="right"/>
    </xf>
    <xf numFmtId="0" fontId="17" fillId="0" borderId="1" xfId="27" applyFont="1" applyBorder="1" applyAlignment="1">
      <alignment horizontal="right"/>
    </xf>
    <xf numFmtId="174" fontId="17" fillId="4" borderId="1" xfId="0" applyNumberFormat="1" applyFont="1" applyFill="1" applyBorder="1" applyAlignment="1">
      <alignment horizontal="right"/>
    </xf>
    <xf numFmtId="0" fontId="17" fillId="0" borderId="1" xfId="0" applyFont="1" applyFill="1" applyBorder="1"/>
    <xf numFmtId="179" fontId="3" fillId="0" borderId="0" xfId="27" applyNumberFormat="1" applyFont="1"/>
    <xf numFmtId="178" fontId="17" fillId="0" borderId="1" xfId="0" applyNumberFormat="1" applyFont="1" applyBorder="1" applyAlignment="1">
      <alignment horizontal="right"/>
    </xf>
    <xf numFmtId="174" fontId="16" fillId="0" borderId="0" xfId="0" applyNumberFormat="1" applyFont="1" applyAlignment="1">
      <alignment horizontal="center"/>
    </xf>
    <xf numFmtId="0" fontId="19" fillId="6" borderId="0" xfId="0" applyFont="1" applyFill="1" applyBorder="1" applyAlignment="1" applyProtection="1">
      <alignment horizontal="center" vertical="center" wrapText="1"/>
      <protection hidden="1"/>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9" xfId="28" applyFont="1" applyBorder="1" applyAlignment="1">
      <alignment horizontal="center"/>
    </xf>
    <xf numFmtId="0" fontId="17" fillId="0" borderId="10" xfId="28"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xr:uid="{00000000-0005-0000-0000-000000000000}"/>
    <cellStyle name="1 indent 2" xfId="41" xr:uid="{00000000-0005-0000-0000-000001000000}"/>
    <cellStyle name="2 indents" xfId="2" xr:uid="{00000000-0005-0000-0000-000002000000}"/>
    <cellStyle name="2 indents 2" xfId="42" xr:uid="{00000000-0005-0000-0000-000003000000}"/>
    <cellStyle name="3 indents" xfId="3" xr:uid="{00000000-0005-0000-0000-000004000000}"/>
    <cellStyle name="3 indents 2" xfId="43" xr:uid="{00000000-0005-0000-0000-000005000000}"/>
    <cellStyle name="4 indents" xfId="4" xr:uid="{00000000-0005-0000-0000-000006000000}"/>
    <cellStyle name="4 indents 2" xfId="44" xr:uid="{00000000-0005-0000-0000-000007000000}"/>
    <cellStyle name="Currency 2" xfId="60" xr:uid="{00000000-0005-0000-0000-000008000000}"/>
    <cellStyle name="Date" xfId="5" xr:uid="{00000000-0005-0000-0000-000009000000}"/>
    <cellStyle name="Excel Built-in Normal" xfId="61" xr:uid="{00000000-0005-0000-0000-00000A000000}"/>
    <cellStyle name="F2" xfId="6" xr:uid="{00000000-0005-0000-0000-00000B000000}"/>
    <cellStyle name="F3" xfId="7" xr:uid="{00000000-0005-0000-0000-00000C000000}"/>
    <cellStyle name="F4" xfId="8" xr:uid="{00000000-0005-0000-0000-00000D000000}"/>
    <cellStyle name="F5" xfId="9" xr:uid="{00000000-0005-0000-0000-00000E000000}"/>
    <cellStyle name="F6" xfId="10" xr:uid="{00000000-0005-0000-0000-00000F000000}"/>
    <cellStyle name="F7" xfId="11" xr:uid="{00000000-0005-0000-0000-000010000000}"/>
    <cellStyle name="F8" xfId="12" xr:uid="{00000000-0005-0000-0000-000011000000}"/>
    <cellStyle name="Fixed" xfId="13" xr:uid="{00000000-0005-0000-0000-000012000000}"/>
    <cellStyle name="HEADING1" xfId="14" xr:uid="{00000000-0005-0000-0000-000013000000}"/>
    <cellStyle name="HEADING2" xfId="15" xr:uid="{00000000-0005-0000-0000-000014000000}"/>
    <cellStyle name="imf-one decimal" xfId="16" xr:uid="{00000000-0005-0000-0000-000015000000}"/>
    <cellStyle name="imf-one decimal 2" xfId="45" xr:uid="{00000000-0005-0000-0000-000016000000}"/>
    <cellStyle name="imf-zero decimal" xfId="17" xr:uid="{00000000-0005-0000-0000-000017000000}"/>
    <cellStyle name="imf-zero decimal 2" xfId="46" xr:uid="{00000000-0005-0000-0000-000018000000}"/>
    <cellStyle name="Label" xfId="18" xr:uid="{00000000-0005-0000-0000-000019000000}"/>
    <cellStyle name="Normal" xfId="0" builtinId="0"/>
    <cellStyle name="Normal - Style1" xfId="19" xr:uid="{00000000-0005-0000-0000-00001B000000}"/>
    <cellStyle name="Normal - Style2" xfId="20" xr:uid="{00000000-0005-0000-0000-00001C000000}"/>
    <cellStyle name="Normal - Style3" xfId="21" xr:uid="{00000000-0005-0000-0000-00001D000000}"/>
    <cellStyle name="Normal 10" xfId="22" xr:uid="{00000000-0005-0000-0000-00001E000000}"/>
    <cellStyle name="Normal 10 2" xfId="54" xr:uid="{00000000-0005-0000-0000-00001F000000}"/>
    <cellStyle name="Normal 11" xfId="23" xr:uid="{00000000-0005-0000-0000-000020000000}"/>
    <cellStyle name="Normal 11 2" xfId="55" xr:uid="{00000000-0005-0000-0000-000021000000}"/>
    <cellStyle name="Normal 12" xfId="24" xr:uid="{00000000-0005-0000-0000-000022000000}"/>
    <cellStyle name="Normal 12 2" xfId="56" xr:uid="{00000000-0005-0000-0000-000023000000}"/>
    <cellStyle name="Normal 13" xfId="40" xr:uid="{00000000-0005-0000-0000-000024000000}"/>
    <cellStyle name="Normal 15" xfId="25" xr:uid="{00000000-0005-0000-0000-000025000000}"/>
    <cellStyle name="Normal 16" xfId="26" xr:uid="{00000000-0005-0000-0000-000026000000}"/>
    <cellStyle name="Normal 2" xfId="27" xr:uid="{00000000-0005-0000-0000-000027000000}"/>
    <cellStyle name="Normal 2 2" xfId="28" xr:uid="{00000000-0005-0000-0000-000028000000}"/>
    <cellStyle name="Normal 2 2 2" xfId="59" xr:uid="{00000000-0005-0000-0000-000029000000}"/>
    <cellStyle name="Normal 3" xfId="29" xr:uid="{00000000-0005-0000-0000-00002A000000}"/>
    <cellStyle name="Normal 4" xfId="30" xr:uid="{00000000-0005-0000-0000-00002B000000}"/>
    <cellStyle name="Normal 4 2" xfId="57" xr:uid="{00000000-0005-0000-0000-00002C000000}"/>
    <cellStyle name="Normal 4 3" xfId="48" xr:uid="{00000000-0005-0000-0000-00002D000000}"/>
    <cellStyle name="Normal 48" xfId="31" xr:uid="{00000000-0005-0000-0000-00002E000000}"/>
    <cellStyle name="Normal 5" xfId="32" xr:uid="{00000000-0005-0000-0000-00002F000000}"/>
    <cellStyle name="Normal 5 2" xfId="49" xr:uid="{00000000-0005-0000-0000-000030000000}"/>
    <cellStyle name="Normal 6" xfId="33" xr:uid="{00000000-0005-0000-0000-000031000000}"/>
    <cellStyle name="Normal 6 2" xfId="50" xr:uid="{00000000-0005-0000-0000-000032000000}"/>
    <cellStyle name="Normal 7" xfId="34" xr:uid="{00000000-0005-0000-0000-000033000000}"/>
    <cellStyle name="Normal 7 2" xfId="51" xr:uid="{00000000-0005-0000-0000-000034000000}"/>
    <cellStyle name="Normal 8" xfId="35" xr:uid="{00000000-0005-0000-0000-000035000000}"/>
    <cellStyle name="Normal 8 2" xfId="52" xr:uid="{00000000-0005-0000-0000-000036000000}"/>
    <cellStyle name="Normal 9" xfId="36" xr:uid="{00000000-0005-0000-0000-000037000000}"/>
    <cellStyle name="Normal 9 2" xfId="53" xr:uid="{00000000-0005-0000-0000-000038000000}"/>
    <cellStyle name="Obično_KnjigaZIKS i Min pomorstva i saobracaja" xfId="37" xr:uid="{00000000-0005-0000-0000-000039000000}"/>
    <cellStyle name="Percent 2" xfId="58" xr:uid="{00000000-0005-0000-0000-00003A000000}"/>
    <cellStyle name="percentage difference" xfId="38" xr:uid="{00000000-0005-0000-0000-00003B000000}"/>
    <cellStyle name="percentage difference 2" xfId="47" xr:uid="{00000000-0005-0000-0000-00003C000000}"/>
    <cellStyle name="Publication" xfId="39"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endParaRPr lang="sr-Latn-CS" sz="1100" b="1" i="1" u="none" strike="noStrike">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a:solidFill>
                <a:schemeClr val="dk1"/>
              </a:solidFill>
              <a:effectLst/>
              <a:latin typeface="+mn-lt"/>
              <a:ea typeface="+mn-ea"/>
              <a:cs typeface="+mn-cs"/>
            </a:rPr>
            <a:t>Prikupljanje podataka:</a:t>
          </a:r>
          <a:r>
            <a:rPr lang="sr-Latn-CS" sz="1100">
              <a:solidFill>
                <a:schemeClr val="dk1"/>
              </a:solidFill>
              <a:effectLst/>
              <a:latin typeface="+mn-lt"/>
              <a:ea typeface="+mn-ea"/>
              <a:cs typeface="+mn-cs"/>
            </a:rPr>
            <a:t> </a:t>
          </a:r>
          <a:r>
            <a:rPr lang="sr-Latn-CS" sz="1100" b="0" i="0">
              <a:solidFill>
                <a:schemeClr val="dk1"/>
              </a:solidFill>
              <a:effectLst/>
              <a:latin typeface="+mn-lt"/>
              <a:ea typeface="+mn-ea"/>
              <a:cs typeface="+mn-cs"/>
            </a:rPr>
            <a:t>Podaci o opštoj državi prikupljaju se na bazi podataka o izvršenju budžeta na centralnom nivou države raspoloživih u </a:t>
          </a:r>
          <a:r>
            <a:rPr lang="en-US" sz="1100" b="0" i="0">
              <a:solidFill>
                <a:schemeClr val="dk1"/>
              </a:solidFill>
              <a:effectLst/>
              <a:latin typeface="+mn-lt"/>
              <a:ea typeface="+mn-ea"/>
              <a:cs typeface="+mn-cs"/>
            </a:rPr>
            <a:t>informacionom sistemu Dr</a:t>
          </a:r>
          <a:r>
            <a:rPr lang="sr-Latn-ME" sz="1100" b="0" i="0">
              <a:solidFill>
                <a:schemeClr val="dk1"/>
              </a:solidFill>
              <a:effectLst/>
              <a:latin typeface="+mn-lt"/>
              <a:ea typeface="+mn-ea"/>
              <a:cs typeface="+mn-cs"/>
            </a:rPr>
            <a:t>žavnog</a:t>
          </a:r>
          <a:r>
            <a:rPr lang="sr-Latn-ME" sz="1100" b="0" i="0" baseline="0">
              <a:solidFill>
                <a:schemeClr val="dk1"/>
              </a:solidFill>
              <a:effectLst/>
              <a:latin typeface="+mn-lt"/>
              <a:ea typeface="+mn-ea"/>
              <a:cs typeface="+mn-cs"/>
            </a:rPr>
            <a:t> trezora </a:t>
          </a:r>
          <a:r>
            <a:rPr lang="sr-Latn-CS" sz="1100" b="0" i="0">
              <a:solidFill>
                <a:schemeClr val="dk1"/>
              </a:solidFill>
              <a:effectLst/>
              <a:latin typeface="+mn-lt"/>
              <a:ea typeface="+mn-ea"/>
              <a:cs typeface="+mn-cs"/>
            </a:rPr>
            <a:t>i podataka o izvršenju budžeta jedinica lokalne samouprave.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endParaRPr lang="sr-Latn-CS"/>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sr-Latn-CS" sz="1100" b="0" i="0" u="none" strike="noStrike" kern="0" cap="none" spc="0" normalizeH="0" baseline="0" noProof="0">
            <a:ln>
              <a:noFill/>
            </a:ln>
            <a:solidFill>
              <a:schemeClr val="dk1"/>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a:solidFill>
                <a:schemeClr val="dk1"/>
              </a:solidFill>
              <a:effectLst/>
              <a:latin typeface="+mn-lt"/>
              <a:ea typeface="+mn-ea"/>
              <a:cs typeface="+mn-cs"/>
            </a:rPr>
            <a:t>Data collection</a:t>
          </a:r>
          <a:r>
            <a:rPr lang="sr-Latn-CS" sz="1100" b="0" i="0" baseline="0">
              <a:solidFill>
                <a:schemeClr val="dk1"/>
              </a:solidFill>
              <a:effectLst/>
              <a:latin typeface="+mn-lt"/>
              <a:ea typeface="+mn-ea"/>
              <a:cs typeface="+mn-cs"/>
            </a:rPr>
            <a:t>: General government data is collected </a:t>
          </a:r>
          <a:r>
            <a:rPr lang="en-GB" sz="1100">
              <a:solidFill>
                <a:schemeClr val="dk1"/>
              </a:solidFill>
              <a:effectLst/>
              <a:latin typeface="+mn-lt"/>
              <a:ea typeface="+mn-ea"/>
              <a:cs typeface="+mn-cs"/>
            </a:rPr>
            <a:t>based on central government budget execution data </a:t>
          </a:r>
          <a:r>
            <a:rPr lang="sr-Latn-ME" sz="1100">
              <a:solidFill>
                <a:schemeClr val="dk1"/>
              </a:solidFill>
              <a:effectLst/>
              <a:latin typeface="+mn-lt"/>
              <a:ea typeface="+mn-ea"/>
              <a:cs typeface="+mn-cs"/>
            </a:rPr>
            <a:t>generated</a:t>
          </a:r>
          <a:r>
            <a:rPr lang="sr-Latn-ME" sz="1100" baseline="0">
              <a:solidFill>
                <a:schemeClr val="dk1"/>
              </a:solidFill>
              <a:effectLst/>
              <a:latin typeface="+mn-lt"/>
              <a:ea typeface="+mn-ea"/>
              <a:cs typeface="+mn-cs"/>
            </a:rPr>
            <a:t> for the State treasury Information system, as well as </a:t>
          </a:r>
          <a:r>
            <a:rPr lang="en-GB" sz="1100">
              <a:solidFill>
                <a:schemeClr val="dk1"/>
              </a:solidFill>
              <a:effectLst/>
              <a:latin typeface="+mn-lt"/>
              <a:ea typeface="+mn-ea"/>
              <a:cs typeface="+mn-cs"/>
            </a:rPr>
            <a:t>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endParaRPr lang="sr-Latn-ME"/>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2023.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2023.</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2"/>
  <sheetViews>
    <sheetView tabSelected="1" zoomScaleNormal="100" workbookViewId="0">
      <selection activeCell="M8" sqref="M8"/>
    </sheetView>
  </sheetViews>
  <sheetFormatPr defaultRowHeight="12.75"/>
  <cols>
    <col min="4" max="4" width="25.28515625" customWidth="1"/>
    <col min="7" max="7" width="24.28515625" customWidth="1"/>
    <col min="10" max="10" width="26.42578125" customWidth="1"/>
  </cols>
  <sheetData>
    <row r="2" spans="2:11">
      <c r="D2" s="67" t="s">
        <v>169</v>
      </c>
    </row>
    <row r="3" spans="2:11">
      <c r="D3" s="67" t="s">
        <v>181</v>
      </c>
    </row>
    <row r="4" spans="2:11">
      <c r="D4" s="67" t="s">
        <v>170</v>
      </c>
    </row>
    <row r="5" spans="2:11" ht="13.5" thickBot="1"/>
    <row r="6" spans="2:11">
      <c r="B6" s="45"/>
      <c r="C6" s="46"/>
      <c r="D6" s="46"/>
      <c r="E6" s="46"/>
      <c r="F6" s="46"/>
      <c r="G6" s="46"/>
      <c r="H6" s="46"/>
      <c r="I6" s="46"/>
      <c r="J6" s="46"/>
      <c r="K6" s="47"/>
    </row>
    <row r="7" spans="2:11">
      <c r="B7" s="48"/>
      <c r="C7" s="110" t="s">
        <v>163</v>
      </c>
      <c r="D7" s="110"/>
      <c r="E7" s="49"/>
      <c r="F7" s="110" t="s">
        <v>164</v>
      </c>
      <c r="G7" s="110"/>
      <c r="H7" s="49"/>
      <c r="I7" s="110" t="s">
        <v>165</v>
      </c>
      <c r="J7" s="110"/>
      <c r="K7" s="50"/>
    </row>
    <row r="8" spans="2:11">
      <c r="B8" s="48"/>
      <c r="C8" s="51"/>
      <c r="D8" s="49"/>
      <c r="E8" s="49"/>
      <c r="F8" s="49"/>
      <c r="G8" s="49"/>
      <c r="H8" s="49"/>
      <c r="I8" s="49"/>
      <c r="J8" s="49"/>
      <c r="K8" s="50"/>
    </row>
    <row r="9" spans="2:11" ht="15">
      <c r="B9" s="48"/>
      <c r="C9" s="52" t="s">
        <v>166</v>
      </c>
      <c r="D9" s="53"/>
      <c r="E9" s="53"/>
      <c r="F9" s="52" t="str">
        <f>+C9</f>
        <v>Prihodi/Revenues</v>
      </c>
      <c r="G9" s="54"/>
      <c r="H9" s="55"/>
      <c r="I9" s="52" t="str">
        <f>+F9</f>
        <v>Prihodi/Revenues</v>
      </c>
      <c r="J9" s="54"/>
      <c r="K9" s="50"/>
    </row>
    <row r="10" spans="2:11">
      <c r="B10" s="48"/>
      <c r="C10" s="56">
        <f>+'Centralna država-ek klas'!C6</f>
        <v>1903823433.4100001</v>
      </c>
      <c r="D10" s="57">
        <f>+'Centralna država-ek klas'!D6</f>
        <v>30.833146008000519</v>
      </c>
      <c r="E10" s="49"/>
      <c r="F10" s="58">
        <f>+'Lokalna država-ek klas '!C6</f>
        <v>259737037.70000005</v>
      </c>
      <c r="G10" s="57">
        <f>+'Lokalna država-ek klas '!D6</f>
        <v>4.2065403054448876</v>
      </c>
      <c r="H10" s="55"/>
      <c r="I10" s="58">
        <f>+'Opšta država-ek klas'!C6</f>
        <v>2163560471.1100006</v>
      </c>
      <c r="J10" s="57">
        <f>+'Opšta država-ek klas'!D6</f>
        <v>35.039686313445415</v>
      </c>
      <c r="K10" s="50"/>
    </row>
    <row r="11" spans="2:11">
      <c r="B11" s="48"/>
      <c r="C11" s="59" t="s">
        <v>161</v>
      </c>
      <c r="D11" s="59" t="s">
        <v>162</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167</v>
      </c>
      <c r="D13" s="55"/>
      <c r="E13" s="49"/>
      <c r="F13" s="52" t="str">
        <f>+C13</f>
        <v>Rashodi/Expenditures</v>
      </c>
      <c r="G13" s="54"/>
      <c r="H13" s="55"/>
      <c r="I13" s="52" t="str">
        <f>+F13</f>
        <v>Rashodi/Expenditures</v>
      </c>
      <c r="J13" s="54"/>
      <c r="K13" s="50"/>
    </row>
    <row r="14" spans="2:11">
      <c r="B14" s="48"/>
      <c r="C14" s="56">
        <f>+'Centralna država-ek klas'!C39</f>
        <v>1727277171.3399997</v>
      </c>
      <c r="D14" s="57">
        <f>+'Centralna država-ek klas'!D39</f>
        <v>27.97391201600103</v>
      </c>
      <c r="E14" s="49"/>
      <c r="F14" s="58">
        <f>+'Lokalna država-ek klas '!C37</f>
        <v>223803675.01100001</v>
      </c>
      <c r="G14" s="57">
        <f>+'Lokalna država-ek klas '!D37</f>
        <v>3.624585803307097</v>
      </c>
      <c r="H14" s="55"/>
      <c r="I14" s="58">
        <f>+'Opšta država-ek klas'!C27</f>
        <v>1951080846.3510001</v>
      </c>
      <c r="J14" s="57">
        <f>+'Opšta država-ek klas'!D27</f>
        <v>31.598497819308136</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168</v>
      </c>
      <c r="D17" s="49"/>
      <c r="E17" s="49"/>
      <c r="F17" s="52" t="str">
        <f>+C17</f>
        <v>Budžetski bilans/ Budget balance</v>
      </c>
      <c r="G17" s="54"/>
      <c r="H17" s="55"/>
      <c r="I17" s="52" t="str">
        <f>+F17</f>
        <v>Budžetski bilans/ Budget balance</v>
      </c>
      <c r="J17" s="54"/>
      <c r="K17" s="50"/>
    </row>
    <row r="18" spans="2:11">
      <c r="B18" s="48"/>
      <c r="C18" s="56">
        <f>+'Centralna država-ek klas'!C62</f>
        <v>176546262.07000041</v>
      </c>
      <c r="D18" s="57">
        <f>+'Centralna država-ek klas'!D62</f>
        <v>2.8592339919994885</v>
      </c>
      <c r="E18" s="49"/>
      <c r="F18" s="58">
        <f>+'Lokalna država-ek klas '!C55</f>
        <v>35933362.68900004</v>
      </c>
      <c r="G18" s="57">
        <f>+'Lokalna država-ek klas '!D55</f>
        <v>0.58195450213779099</v>
      </c>
      <c r="H18" s="55"/>
      <c r="I18" s="58">
        <f>+'Opšta država-ek klas'!C45</f>
        <v>212479624.75900054</v>
      </c>
      <c r="J18" s="57">
        <f>+'Opšta država-ek klas'!D45</f>
        <v>3.4411884941372808</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2"/>
    </row>
    <row r="24" spans="2:11">
      <c r="D24" s="92"/>
    </row>
    <row r="25" spans="2:11">
      <c r="D25" s="92"/>
    </row>
    <row r="41" spans="19:19" ht="15">
      <c r="S41" s="68"/>
    </row>
    <row r="42" spans="19:19" ht="15">
      <c r="S42" s="68"/>
    </row>
  </sheetData>
  <sheetProtection algorithmName="SHA-512" hashValue="Q73BLJsM0KJtBTOpX6YckpucetJdctrnu3wpcbvEKn0GkdTtWlXgthMxPB2arYcUCr1pk5B8/MdzcUE/cOjAqw==" saltValue="a79aL7cqjqko20Cb+FOk1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44" fitToHeight="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A82"/>
  <sheetViews>
    <sheetView zoomScale="85" zoomScaleNormal="85" zoomScaleSheetLayoutView="90" workbookViewId="0">
      <pane ySplit="5" topLeftCell="A30" activePane="bottomLeft" state="frozen"/>
      <selection activeCell="G14" sqref="G14"/>
      <selection pane="bottomLeft" activeCell="I2" sqref="I2:J2"/>
    </sheetView>
  </sheetViews>
  <sheetFormatPr defaultColWidth="9.140625" defaultRowHeight="13.5"/>
  <cols>
    <col min="1" max="1" width="13.28515625" style="4" customWidth="1"/>
    <col min="2" max="2" width="65.7109375" style="4" bestFit="1" customWidth="1"/>
    <col min="3" max="3" width="12.28515625" style="6" customWidth="1"/>
    <col min="4" max="4" width="9.7109375" style="4" customWidth="1"/>
    <col min="5" max="5" width="10.5703125" style="6" customWidth="1"/>
    <col min="6" max="6" width="10.140625" style="7" customWidth="1"/>
    <col min="7" max="7" width="11.140625" style="6" customWidth="1"/>
    <col min="8" max="8" width="11.5703125" style="100" customWidth="1"/>
    <col min="9" max="9" width="11.140625" style="6" customWidth="1"/>
    <col min="10" max="10" width="10.28515625" style="7" customWidth="1"/>
    <col min="11" max="11" width="10.7109375" style="6" customWidth="1"/>
    <col min="12" max="12" width="12" style="100" customWidth="1"/>
    <col min="13" max="13" width="59.5703125" style="4" bestFit="1" customWidth="1"/>
    <col min="14" max="14" width="9.140625" style="1"/>
    <col min="15" max="16" width="13.85546875" style="1" bestFit="1" customWidth="1"/>
    <col min="17" max="16384" width="9.140625" style="1"/>
  </cols>
  <sheetData>
    <row r="1" spans="1:13" ht="18.75" customHeight="1" thickBot="1">
      <c r="B1" s="5"/>
      <c r="M1" s="5"/>
    </row>
    <row r="2" spans="1:13" ht="15.75" customHeight="1" thickBot="1">
      <c r="A2" s="8" t="s">
        <v>58</v>
      </c>
      <c r="B2" s="8"/>
      <c r="C2" s="111">
        <v>6174600000</v>
      </c>
      <c r="D2" s="112"/>
      <c r="E2" s="111">
        <v>6174600000</v>
      </c>
      <c r="F2" s="112"/>
      <c r="G2" s="9"/>
      <c r="H2" s="101"/>
      <c r="I2" s="111">
        <v>5924018000</v>
      </c>
      <c r="J2" s="112"/>
      <c r="K2" s="85"/>
      <c r="L2" s="101"/>
      <c r="M2" s="8" t="s">
        <v>78</v>
      </c>
    </row>
    <row r="3" spans="1:13" ht="15" customHeight="1" thickBot="1">
      <c r="A3" s="8"/>
      <c r="B3" s="8"/>
      <c r="C3" s="11"/>
      <c r="D3" s="8"/>
      <c r="E3" s="11"/>
      <c r="F3" s="10"/>
      <c r="G3" s="11"/>
      <c r="H3" s="101"/>
      <c r="I3" s="11"/>
      <c r="J3" s="10"/>
      <c r="K3" s="11"/>
      <c r="L3" s="101"/>
      <c r="M3" s="8"/>
    </row>
    <row r="4" spans="1:13" ht="15" customHeight="1">
      <c r="A4" s="117" t="s">
        <v>70</v>
      </c>
      <c r="B4" s="115" t="s">
        <v>71</v>
      </c>
      <c r="C4" s="121" t="s">
        <v>189</v>
      </c>
      <c r="D4" s="122"/>
      <c r="E4" s="123" t="s">
        <v>190</v>
      </c>
      <c r="F4" s="124"/>
      <c r="G4" s="119" t="s">
        <v>171</v>
      </c>
      <c r="H4" s="120"/>
      <c r="I4" s="119" t="s">
        <v>191</v>
      </c>
      <c r="J4" s="120"/>
      <c r="K4" s="119" t="s">
        <v>171</v>
      </c>
      <c r="L4" s="120"/>
      <c r="M4" s="113" t="s">
        <v>148</v>
      </c>
    </row>
    <row r="5" spans="1:13" ht="27" customHeight="1">
      <c r="A5" s="118"/>
      <c r="B5" s="116"/>
      <c r="C5" s="12" t="s">
        <v>61</v>
      </c>
      <c r="D5" s="13" t="s">
        <v>56</v>
      </c>
      <c r="E5" s="12" t="s">
        <v>61</v>
      </c>
      <c r="F5" s="13" t="s">
        <v>56</v>
      </c>
      <c r="G5" s="12" t="s">
        <v>64</v>
      </c>
      <c r="H5" s="102" t="s">
        <v>62</v>
      </c>
      <c r="I5" s="12" t="s">
        <v>61</v>
      </c>
      <c r="J5" s="14" t="s">
        <v>56</v>
      </c>
      <c r="K5" s="12" t="s">
        <v>61</v>
      </c>
      <c r="L5" s="104" t="s">
        <v>62</v>
      </c>
      <c r="M5" s="114"/>
    </row>
    <row r="6" spans="1:13" ht="15" customHeight="1">
      <c r="A6" s="15"/>
      <c r="B6" s="16" t="s">
        <v>51</v>
      </c>
      <c r="C6" s="17">
        <f>+C7+C15+C20+C25+C32+C37+C38</f>
        <v>1903823433.4100001</v>
      </c>
      <c r="D6" s="39">
        <f>+C6/$C$2*100</f>
        <v>30.833146008000519</v>
      </c>
      <c r="E6" s="17">
        <f>+E7+E15+E20+E25+E32+E37+E38</f>
        <v>1574339865.983732</v>
      </c>
      <c r="F6" s="39">
        <f>+E6/$E$2*100</f>
        <v>25.49703407481832</v>
      </c>
      <c r="G6" s="17">
        <f>+C6-E6</f>
        <v>329483567.4262681</v>
      </c>
      <c r="H6" s="97">
        <f>+C6/E6*100-100</f>
        <v>20.928363344238193</v>
      </c>
      <c r="I6" s="17">
        <f>+I7+I15+I20+I25+I32+I37+I38</f>
        <v>1447540190.47</v>
      </c>
      <c r="J6" s="39">
        <f>+I6/$I$2*100</f>
        <v>24.435107902609342</v>
      </c>
      <c r="K6" s="17">
        <f>+C6-I6</f>
        <v>456283242.94000006</v>
      </c>
      <c r="L6" s="97">
        <f>+C6/I6*100-100</f>
        <v>31.52128320470672</v>
      </c>
      <c r="M6" s="82" t="s">
        <v>149</v>
      </c>
    </row>
    <row r="7" spans="1:13" ht="15" customHeight="1">
      <c r="A7" s="18">
        <v>711</v>
      </c>
      <c r="B7" s="19" t="s">
        <v>1</v>
      </c>
      <c r="C7" s="20">
        <f>+SUM(C8:C14)</f>
        <v>1265692081.1600001</v>
      </c>
      <c r="D7" s="40">
        <f t="shared" ref="D7:D72" si="0">+C7/$C$2*100</f>
        <v>20.498365580928322</v>
      </c>
      <c r="E7" s="20">
        <f>+SUM(E8:E14)</f>
        <v>1102121400.7631664</v>
      </c>
      <c r="F7" s="40">
        <f t="shared" ref="F7:F38" si="1">+E7/$E$2*100</f>
        <v>17.849276078825614</v>
      </c>
      <c r="G7" s="20">
        <f t="shared" ref="G7:G62" si="2">+C7-E7</f>
        <v>163570680.39683366</v>
      </c>
      <c r="H7" s="93">
        <f t="shared" ref="H7:H62" si="3">+C7/E7*100-100</f>
        <v>14.841439453364089</v>
      </c>
      <c r="I7" s="20">
        <f>+SUM(I8:I14)</f>
        <v>1040390593.95</v>
      </c>
      <c r="J7" s="40">
        <f t="shared" ref="J7:J72" si="4">+I7/$I$2*100</f>
        <v>17.562245657423727</v>
      </c>
      <c r="K7" s="20">
        <f t="shared" ref="K7:K38" si="5">+C7-I7</f>
        <v>225301487.21000004</v>
      </c>
      <c r="L7" s="93">
        <f t="shared" ref="L7:L38" si="6">+C7/I7*100-100</f>
        <v>21.655471370094673</v>
      </c>
      <c r="M7" s="73" t="s">
        <v>79</v>
      </c>
    </row>
    <row r="8" spans="1:13" ht="15" customHeight="1">
      <c r="A8" s="21">
        <v>7111</v>
      </c>
      <c r="B8" s="22" t="s">
        <v>2</v>
      </c>
      <c r="C8" s="23">
        <v>43323096.549999997</v>
      </c>
      <c r="D8" s="41">
        <f t="shared" si="0"/>
        <v>0.70163405807663648</v>
      </c>
      <c r="E8" s="23">
        <v>41773956.421713114</v>
      </c>
      <c r="F8" s="41">
        <f t="shared" si="1"/>
        <v>0.67654514335686711</v>
      </c>
      <c r="G8" s="23">
        <f t="shared" si="2"/>
        <v>1549140.1282868832</v>
      </c>
      <c r="H8" s="98">
        <f t="shared" si="3"/>
        <v>3.7083873805203496</v>
      </c>
      <c r="I8" s="23">
        <v>65159196.240000002</v>
      </c>
      <c r="J8" s="41">
        <f t="shared" si="4"/>
        <v>1.0999155681160995</v>
      </c>
      <c r="K8" s="23">
        <f t="shared" si="5"/>
        <v>-21836099.690000005</v>
      </c>
      <c r="L8" s="98">
        <f t="shared" si="6"/>
        <v>-33.511923028595064</v>
      </c>
      <c r="M8" s="74" t="s">
        <v>80</v>
      </c>
    </row>
    <row r="9" spans="1:13" ht="15" customHeight="1">
      <c r="A9" s="21">
        <v>7112</v>
      </c>
      <c r="B9" s="22" t="s">
        <v>3</v>
      </c>
      <c r="C9" s="23">
        <v>140991927.87</v>
      </c>
      <c r="D9" s="41">
        <f t="shared" si="0"/>
        <v>2.2834180006802063</v>
      </c>
      <c r="E9" s="23">
        <v>110680189.89506361</v>
      </c>
      <c r="F9" s="41">
        <f t="shared" si="1"/>
        <v>1.7925078530603378</v>
      </c>
      <c r="G9" s="23">
        <f t="shared" si="2"/>
        <v>30311737.974936396</v>
      </c>
      <c r="H9" s="98">
        <f t="shared" si="3"/>
        <v>27.386778070831923</v>
      </c>
      <c r="I9" s="23">
        <v>82039204.149999991</v>
      </c>
      <c r="J9" s="41">
        <f t="shared" si="4"/>
        <v>1.3848574421954827</v>
      </c>
      <c r="K9" s="23">
        <f t="shared" si="5"/>
        <v>58952723.720000014</v>
      </c>
      <c r="L9" s="98">
        <f t="shared" si="6"/>
        <v>71.85920966786955</v>
      </c>
      <c r="M9" s="74" t="s">
        <v>81</v>
      </c>
    </row>
    <row r="10" spans="1:13" ht="15" customHeight="1">
      <c r="A10" s="21">
        <v>7113</v>
      </c>
      <c r="B10" s="22" t="s">
        <v>4</v>
      </c>
      <c r="C10" s="23">
        <v>0</v>
      </c>
      <c r="D10" s="41">
        <f t="shared" si="0"/>
        <v>0</v>
      </c>
      <c r="E10" s="23">
        <v>0</v>
      </c>
      <c r="F10" s="41">
        <f t="shared" si="1"/>
        <v>0</v>
      </c>
      <c r="G10" s="23">
        <f t="shared" si="2"/>
        <v>0</v>
      </c>
      <c r="H10" s="98" t="e">
        <f t="shared" si="3"/>
        <v>#DIV/0!</v>
      </c>
      <c r="I10" s="23">
        <v>1481541.77</v>
      </c>
      <c r="J10" s="41">
        <f t="shared" si="4"/>
        <v>2.5009069351241E-2</v>
      </c>
      <c r="K10" s="23">
        <f t="shared" si="5"/>
        <v>-1481541.77</v>
      </c>
      <c r="L10" s="98">
        <f t="shared" si="6"/>
        <v>-100</v>
      </c>
      <c r="M10" s="74" t="s">
        <v>82</v>
      </c>
    </row>
    <row r="11" spans="1:13" ht="15" customHeight="1">
      <c r="A11" s="21">
        <v>7114</v>
      </c>
      <c r="B11" s="22" t="s">
        <v>5</v>
      </c>
      <c r="C11" s="23">
        <v>789993007.68000007</v>
      </c>
      <c r="D11" s="41">
        <f t="shared" si="0"/>
        <v>12.794237807793218</v>
      </c>
      <c r="E11" s="23">
        <v>710253214.13500929</v>
      </c>
      <c r="F11" s="41">
        <f t="shared" si="1"/>
        <v>11.50282146430553</v>
      </c>
      <c r="G11" s="23">
        <f t="shared" si="2"/>
        <v>79739793.544990778</v>
      </c>
      <c r="H11" s="98">
        <f t="shared" si="3"/>
        <v>11.226952861044467</v>
      </c>
      <c r="I11" s="23">
        <v>665183108.78000009</v>
      </c>
      <c r="J11" s="41">
        <f t="shared" si="4"/>
        <v>11.228580142396599</v>
      </c>
      <c r="K11" s="23">
        <f t="shared" si="5"/>
        <v>124809898.89999998</v>
      </c>
      <c r="L11" s="98">
        <f t="shared" si="6"/>
        <v>18.763239362603713</v>
      </c>
      <c r="M11" s="74" t="s">
        <v>83</v>
      </c>
    </row>
    <row r="12" spans="1:13" ht="15" customHeight="1">
      <c r="A12" s="21">
        <v>7115</v>
      </c>
      <c r="B12" s="22" t="s">
        <v>6</v>
      </c>
      <c r="C12" s="23">
        <v>242217273.80999997</v>
      </c>
      <c r="D12" s="41">
        <f t="shared" si="0"/>
        <v>3.9228010528617232</v>
      </c>
      <c r="E12" s="23">
        <v>201417409.55121014</v>
      </c>
      <c r="F12" s="41">
        <f t="shared" si="1"/>
        <v>3.2620317032878265</v>
      </c>
      <c r="G12" s="23">
        <f t="shared" si="2"/>
        <v>40799864.258789837</v>
      </c>
      <c r="H12" s="98">
        <f t="shared" si="3"/>
        <v>20.256374237807151</v>
      </c>
      <c r="I12" s="23">
        <v>188397173.27000001</v>
      </c>
      <c r="J12" s="41">
        <f t="shared" si="4"/>
        <v>3.1802262125131966</v>
      </c>
      <c r="K12" s="23">
        <f t="shared" si="5"/>
        <v>53820100.539999962</v>
      </c>
      <c r="L12" s="98">
        <f t="shared" si="6"/>
        <v>28.567360967177621</v>
      </c>
      <c r="M12" s="74" t="s">
        <v>84</v>
      </c>
    </row>
    <row r="13" spans="1:13" ht="15" customHeight="1">
      <c r="A13" s="21">
        <v>7116</v>
      </c>
      <c r="B13" s="22" t="s">
        <v>7</v>
      </c>
      <c r="C13" s="23">
        <v>39032159.130000003</v>
      </c>
      <c r="D13" s="41">
        <f t="shared" si="0"/>
        <v>0.6321406913808183</v>
      </c>
      <c r="E13" s="23">
        <v>29030656.038225587</v>
      </c>
      <c r="F13" s="41">
        <f t="shared" si="1"/>
        <v>0.47016253746356995</v>
      </c>
      <c r="G13" s="23">
        <f t="shared" si="2"/>
        <v>10001503.091774415</v>
      </c>
      <c r="H13" s="98">
        <f t="shared" si="3"/>
        <v>34.451522826783929</v>
      </c>
      <c r="I13" s="23">
        <v>29021383.700000003</v>
      </c>
      <c r="J13" s="41">
        <f t="shared" si="4"/>
        <v>0.48989357729838101</v>
      </c>
      <c r="K13" s="23">
        <f t="shared" si="5"/>
        <v>10010775.43</v>
      </c>
      <c r="L13" s="98">
        <f t="shared" si="6"/>
        <v>34.494480116742324</v>
      </c>
      <c r="M13" s="74" t="s">
        <v>85</v>
      </c>
    </row>
    <row r="14" spans="1:13" ht="15" customHeight="1">
      <c r="A14" s="21">
        <v>7118</v>
      </c>
      <c r="B14" s="22" t="s">
        <v>60</v>
      </c>
      <c r="C14" s="23">
        <v>10134616.120000001</v>
      </c>
      <c r="D14" s="41">
        <f t="shared" si="0"/>
        <v>0.16413397013571732</v>
      </c>
      <c r="E14" s="23">
        <v>8965974.7219446823</v>
      </c>
      <c r="F14" s="41">
        <f t="shared" si="1"/>
        <v>0.14520737735148323</v>
      </c>
      <c r="G14" s="23">
        <f t="shared" si="2"/>
        <v>1168641.3980553187</v>
      </c>
      <c r="H14" s="98">
        <f t="shared" si="3"/>
        <v>13.034181271948157</v>
      </c>
      <c r="I14" s="23">
        <v>9108986.040000001</v>
      </c>
      <c r="J14" s="41">
        <f t="shared" si="4"/>
        <v>0.15376364555273128</v>
      </c>
      <c r="K14" s="23">
        <f t="shared" si="5"/>
        <v>1025630.0800000001</v>
      </c>
      <c r="L14" s="98">
        <f t="shared" si="6"/>
        <v>11.259541682204627</v>
      </c>
      <c r="M14" s="74" t="s">
        <v>86</v>
      </c>
    </row>
    <row r="15" spans="1:13" ht="15" customHeight="1">
      <c r="A15" s="18">
        <v>712</v>
      </c>
      <c r="B15" s="19" t="s">
        <v>8</v>
      </c>
      <c r="C15" s="20">
        <f>+SUM(C16:C19)</f>
        <v>387750993.43000007</v>
      </c>
      <c r="D15" s="40">
        <f t="shared" si="0"/>
        <v>6.2797751017069938</v>
      </c>
      <c r="E15" s="20">
        <f>+SUM(E16:E19)</f>
        <v>317710526.65792584</v>
      </c>
      <c r="F15" s="40">
        <f t="shared" si="1"/>
        <v>5.1454430515001111</v>
      </c>
      <c r="G15" s="20">
        <f t="shared" si="2"/>
        <v>70040466.772074223</v>
      </c>
      <c r="H15" s="93">
        <f t="shared" si="3"/>
        <v>22.045371775637051</v>
      </c>
      <c r="I15" s="20">
        <f>+SUM(I16:I19)</f>
        <v>307348887.46000004</v>
      </c>
      <c r="J15" s="40">
        <f t="shared" si="4"/>
        <v>5.1881828762167848</v>
      </c>
      <c r="K15" s="20">
        <f t="shared" si="5"/>
        <v>80402105.970000029</v>
      </c>
      <c r="L15" s="93">
        <f t="shared" si="6"/>
        <v>26.159881896583713</v>
      </c>
      <c r="M15" s="73" t="s">
        <v>87</v>
      </c>
    </row>
    <row r="16" spans="1:13" ht="15" customHeight="1">
      <c r="A16" s="21">
        <v>7121</v>
      </c>
      <c r="B16" s="22" t="s">
        <v>9</v>
      </c>
      <c r="C16" s="23">
        <v>354614891.85000002</v>
      </c>
      <c r="D16" s="41">
        <f t="shared" si="0"/>
        <v>5.7431233092022156</v>
      </c>
      <c r="E16" s="23">
        <v>293467905.19577193</v>
      </c>
      <c r="F16" s="41">
        <f t="shared" si="1"/>
        <v>4.7528245586073901</v>
      </c>
      <c r="G16" s="23">
        <f t="shared" si="2"/>
        <v>61146986.654228091</v>
      </c>
      <c r="H16" s="98">
        <f t="shared" si="3"/>
        <v>20.836004745880828</v>
      </c>
      <c r="I16" s="23">
        <v>264400582.71999997</v>
      </c>
      <c r="J16" s="41">
        <f t="shared" si="4"/>
        <v>4.4631968154046788</v>
      </c>
      <c r="K16" s="23">
        <f t="shared" si="5"/>
        <v>90214309.130000055</v>
      </c>
      <c r="L16" s="98">
        <f t="shared" si="6"/>
        <v>34.120314033323041</v>
      </c>
      <c r="M16" s="74" t="s">
        <v>88</v>
      </c>
    </row>
    <row r="17" spans="1:13" ht="15" customHeight="1">
      <c r="A17" s="21">
        <v>7122</v>
      </c>
      <c r="B17" s="22" t="s">
        <v>10</v>
      </c>
      <c r="C17" s="23">
        <v>5008781.8699999992</v>
      </c>
      <c r="D17" s="41">
        <f t="shared" si="0"/>
        <v>8.1119131117805193E-2</v>
      </c>
      <c r="E17" s="23">
        <v>900214.81824697473</v>
      </c>
      <c r="F17" s="41">
        <f t="shared" si="1"/>
        <v>1.4579322032957191E-2</v>
      </c>
      <c r="G17" s="23">
        <f t="shared" si="2"/>
        <v>4108567.0517530246</v>
      </c>
      <c r="H17" s="98">
        <f t="shared" si="3"/>
        <v>456.39851382959966</v>
      </c>
      <c r="I17" s="23">
        <v>21989352.299999997</v>
      </c>
      <c r="J17" s="41">
        <f t="shared" si="4"/>
        <v>0.37118982926790561</v>
      </c>
      <c r="K17" s="23">
        <f t="shared" si="5"/>
        <v>-16980570.43</v>
      </c>
      <c r="L17" s="98">
        <f t="shared" si="6"/>
        <v>-77.221785336533088</v>
      </c>
      <c r="M17" s="74" t="s">
        <v>89</v>
      </c>
    </row>
    <row r="18" spans="1:13" ht="15" customHeight="1">
      <c r="A18" s="21">
        <v>7123</v>
      </c>
      <c r="B18" s="22" t="s">
        <v>11</v>
      </c>
      <c r="C18" s="23">
        <v>16215994.219999999</v>
      </c>
      <c r="D18" s="41">
        <f t="shared" si="0"/>
        <v>0.26262420594046576</v>
      </c>
      <c r="E18" s="23">
        <v>13729184.877162835</v>
      </c>
      <c r="F18" s="41">
        <f t="shared" si="1"/>
        <v>0.22234938096658627</v>
      </c>
      <c r="G18" s="23">
        <f t="shared" si="2"/>
        <v>2486809.3428371642</v>
      </c>
      <c r="H18" s="98">
        <f t="shared" si="3"/>
        <v>18.11330654432173</v>
      </c>
      <c r="I18" s="23">
        <v>12020287.16</v>
      </c>
      <c r="J18" s="41">
        <f t="shared" si="4"/>
        <v>0.20290767448714708</v>
      </c>
      <c r="K18" s="23">
        <f t="shared" si="5"/>
        <v>4195707.0599999987</v>
      </c>
      <c r="L18" s="98">
        <f t="shared" si="6"/>
        <v>34.905214860108202</v>
      </c>
      <c r="M18" s="74" t="s">
        <v>90</v>
      </c>
    </row>
    <row r="19" spans="1:13" ht="15" customHeight="1">
      <c r="A19" s="21">
        <v>7124</v>
      </c>
      <c r="B19" s="22" t="s">
        <v>12</v>
      </c>
      <c r="C19" s="23">
        <v>11911325.489999998</v>
      </c>
      <c r="D19" s="41">
        <f t="shared" si="0"/>
        <v>0.19290845544650662</v>
      </c>
      <c r="E19" s="23">
        <v>9613221.7667441219</v>
      </c>
      <c r="F19" s="41">
        <f t="shared" si="1"/>
        <v>0.15568978989317722</v>
      </c>
      <c r="G19" s="23">
        <f t="shared" si="2"/>
        <v>2298103.7232558765</v>
      </c>
      <c r="H19" s="98">
        <f t="shared" si="3"/>
        <v>23.9056559706748</v>
      </c>
      <c r="I19" s="23">
        <v>8938665.2800000012</v>
      </c>
      <c r="J19" s="41">
        <f t="shared" si="4"/>
        <v>0.15088855705705151</v>
      </c>
      <c r="K19" s="23">
        <f t="shared" si="5"/>
        <v>2972660.2099999972</v>
      </c>
      <c r="L19" s="98">
        <f t="shared" si="6"/>
        <v>33.256197842548573</v>
      </c>
      <c r="M19" s="74" t="s">
        <v>91</v>
      </c>
    </row>
    <row r="20" spans="1:13" ht="15" customHeight="1">
      <c r="A20" s="18">
        <v>713</v>
      </c>
      <c r="B20" s="19" t="s">
        <v>13</v>
      </c>
      <c r="C20" s="20">
        <f>SUM(C21:C24)</f>
        <v>11526189.85</v>
      </c>
      <c r="D20" s="40">
        <f t="shared" si="0"/>
        <v>0.18667103699025037</v>
      </c>
      <c r="E20" s="20">
        <f>+SUM(E21:E24)</f>
        <v>10617329.805509126</v>
      </c>
      <c r="F20" s="40">
        <f t="shared" si="1"/>
        <v>0.17195170222377362</v>
      </c>
      <c r="G20" s="20">
        <f t="shared" si="2"/>
        <v>908860.04449087381</v>
      </c>
      <c r="H20" s="93">
        <f t="shared" si="3"/>
        <v>8.560156471915235</v>
      </c>
      <c r="I20" s="20">
        <f>+SUM(I21:I24)</f>
        <v>10431596.810000001</v>
      </c>
      <c r="J20" s="40">
        <f t="shared" si="4"/>
        <v>0.17608989051012336</v>
      </c>
      <c r="K20" s="20">
        <f t="shared" si="5"/>
        <v>1094593.0399999991</v>
      </c>
      <c r="L20" s="93">
        <f t="shared" si="6"/>
        <v>10.493053555815095</v>
      </c>
      <c r="M20" s="73" t="s">
        <v>92</v>
      </c>
    </row>
    <row r="21" spans="1:13" ht="15" customHeight="1">
      <c r="A21" s="21">
        <v>7131</v>
      </c>
      <c r="B21" s="22" t="s">
        <v>14</v>
      </c>
      <c r="C21" s="23">
        <v>7202796.5899999989</v>
      </c>
      <c r="D21" s="41">
        <f t="shared" si="0"/>
        <v>0.11665203559744759</v>
      </c>
      <c r="E21" s="23">
        <v>6504968.2215231005</v>
      </c>
      <c r="F21" s="41">
        <f t="shared" si="1"/>
        <v>0.10535043924340202</v>
      </c>
      <c r="G21" s="23">
        <f t="shared" si="2"/>
        <v>697828.36847689841</v>
      </c>
      <c r="H21" s="98">
        <f t="shared" si="3"/>
        <v>10.727621484267686</v>
      </c>
      <c r="I21" s="23">
        <v>6609061.8000000007</v>
      </c>
      <c r="J21" s="41">
        <f t="shared" si="4"/>
        <v>0.11156383724694964</v>
      </c>
      <c r="K21" s="23">
        <f t="shared" si="5"/>
        <v>593734.78999999817</v>
      </c>
      <c r="L21" s="98">
        <f t="shared" si="6"/>
        <v>8.9836471191720051</v>
      </c>
      <c r="M21" s="74" t="s">
        <v>93</v>
      </c>
    </row>
    <row r="22" spans="1:13" ht="15" customHeight="1">
      <c r="A22" s="21">
        <v>7132</v>
      </c>
      <c r="B22" s="22" t="s">
        <v>15</v>
      </c>
      <c r="C22" s="23">
        <v>843773.10999999987</v>
      </c>
      <c r="D22" s="41">
        <f t="shared" si="0"/>
        <v>1.3665227059242701E-2</v>
      </c>
      <c r="E22" s="23">
        <v>629388.7654187365</v>
      </c>
      <c r="F22" s="41">
        <f t="shared" si="1"/>
        <v>1.0193190901738355E-2</v>
      </c>
      <c r="G22" s="23">
        <f t="shared" si="2"/>
        <v>214384.34458126337</v>
      </c>
      <c r="H22" s="98">
        <f t="shared" si="3"/>
        <v>34.062308760568982</v>
      </c>
      <c r="I22" s="23">
        <v>709324</v>
      </c>
      <c r="J22" s="41">
        <f t="shared" si="4"/>
        <v>1.1973697581607618E-2</v>
      </c>
      <c r="K22" s="23">
        <f t="shared" si="5"/>
        <v>134449.10999999987</v>
      </c>
      <c r="L22" s="98">
        <f t="shared" si="6"/>
        <v>18.954541225166494</v>
      </c>
      <c r="M22" s="74" t="s">
        <v>94</v>
      </c>
    </row>
    <row r="23" spans="1:13" ht="15" customHeight="1">
      <c r="A23" s="21">
        <v>7133</v>
      </c>
      <c r="B23" s="22" t="s">
        <v>16</v>
      </c>
      <c r="C23" s="23">
        <v>1887126.4700000002</v>
      </c>
      <c r="D23" s="41">
        <f t="shared" si="0"/>
        <v>3.0562732322741558E-2</v>
      </c>
      <c r="E23" s="23">
        <v>2133573.0597511041</v>
      </c>
      <c r="F23" s="41">
        <f t="shared" si="1"/>
        <v>3.4554028758965828E-2</v>
      </c>
      <c r="G23" s="23">
        <f t="shared" si="2"/>
        <v>-246446.58975110389</v>
      </c>
      <c r="H23" s="98">
        <f t="shared" si="3"/>
        <v>-11.550885901224007</v>
      </c>
      <c r="I23" s="23">
        <v>1474773.28</v>
      </c>
      <c r="J23" s="41">
        <f t="shared" si="4"/>
        <v>2.4894814296647982E-2</v>
      </c>
      <c r="K23" s="23">
        <f t="shared" si="5"/>
        <v>412353.19000000018</v>
      </c>
      <c r="L23" s="98">
        <f t="shared" si="6"/>
        <v>27.960446232115089</v>
      </c>
      <c r="M23" s="74" t="s">
        <v>95</v>
      </c>
    </row>
    <row r="24" spans="1:13" ht="15" customHeight="1">
      <c r="A24" s="21">
        <v>7136</v>
      </c>
      <c r="B24" s="22" t="s">
        <v>18</v>
      </c>
      <c r="C24" s="23">
        <v>1592493.68</v>
      </c>
      <c r="D24" s="41">
        <f t="shared" si="0"/>
        <v>2.5791042010818513E-2</v>
      </c>
      <c r="E24" s="23">
        <v>1349399.7588161845</v>
      </c>
      <c r="F24" s="41">
        <f t="shared" si="1"/>
        <v>2.1854043319667421E-2</v>
      </c>
      <c r="G24" s="23">
        <f t="shared" si="2"/>
        <v>243093.92118381546</v>
      </c>
      <c r="H24" s="98">
        <f t="shared" si="3"/>
        <v>18.014966995183059</v>
      </c>
      <c r="I24" s="23">
        <v>1638437.73</v>
      </c>
      <c r="J24" s="41">
        <f t="shared" si="4"/>
        <v>2.7657541384918143E-2</v>
      </c>
      <c r="K24" s="23">
        <f t="shared" si="5"/>
        <v>-45944.050000000047</v>
      </c>
      <c r="L24" s="98">
        <f t="shared" si="6"/>
        <v>-2.8041376952421757</v>
      </c>
      <c r="M24" s="74" t="s">
        <v>96</v>
      </c>
    </row>
    <row r="25" spans="1:13" ht="15" customHeight="1">
      <c r="A25" s="18">
        <v>714</v>
      </c>
      <c r="B25" s="19" t="s">
        <v>19</v>
      </c>
      <c r="C25" s="20">
        <f>+SUM(C26:C31)</f>
        <v>42436587.469999999</v>
      </c>
      <c r="D25" s="40">
        <f t="shared" si="0"/>
        <v>0.68727670569753507</v>
      </c>
      <c r="E25" s="20">
        <f>+SUM(E26:E31)</f>
        <v>31348073.890528977</v>
      </c>
      <c r="F25" s="40">
        <f t="shared" si="1"/>
        <v>0.50769400269700016</v>
      </c>
      <c r="G25" s="20">
        <f t="shared" si="2"/>
        <v>11088513.579471022</v>
      </c>
      <c r="H25" s="93">
        <f t="shared" si="3"/>
        <v>35.372232495665799</v>
      </c>
      <c r="I25" s="20">
        <f>+SUM(I26:I31)</f>
        <v>43879769.799999997</v>
      </c>
      <c r="J25" s="40">
        <f t="shared" si="4"/>
        <v>0.74070959608833054</v>
      </c>
      <c r="K25" s="20">
        <f t="shared" si="5"/>
        <v>-1443182.3299999982</v>
      </c>
      <c r="L25" s="93">
        <f t="shared" si="6"/>
        <v>-3.2889469032720342</v>
      </c>
      <c r="M25" s="73" t="s">
        <v>97</v>
      </c>
    </row>
    <row r="26" spans="1:13" ht="15" customHeight="1">
      <c r="A26" s="21">
        <v>7141</v>
      </c>
      <c r="B26" s="22" t="s">
        <v>20</v>
      </c>
      <c r="C26" s="23">
        <v>1609277.9700000002</v>
      </c>
      <c r="D26" s="41">
        <f t="shared" si="0"/>
        <v>2.6062869983480712E-2</v>
      </c>
      <c r="E26" s="23">
        <v>965780.27939998021</v>
      </c>
      <c r="F26" s="41">
        <f t="shared" si="1"/>
        <v>1.5641179661840122E-2</v>
      </c>
      <c r="G26" s="23">
        <f t="shared" si="2"/>
        <v>643497.69060002</v>
      </c>
      <c r="H26" s="98">
        <f t="shared" si="3"/>
        <v>66.62982298621921</v>
      </c>
      <c r="I26" s="23">
        <v>1214920.1100000003</v>
      </c>
      <c r="J26" s="41">
        <f t="shared" si="4"/>
        <v>2.0508379785476687E-2</v>
      </c>
      <c r="K26" s="23">
        <f t="shared" si="5"/>
        <v>394357.85999999987</v>
      </c>
      <c r="L26" s="98">
        <f t="shared" si="6"/>
        <v>32.459571354037422</v>
      </c>
      <c r="M26" s="74" t="s">
        <v>98</v>
      </c>
    </row>
    <row r="27" spans="1:13" ht="15" customHeight="1">
      <c r="A27" s="21">
        <v>7142</v>
      </c>
      <c r="B27" s="22" t="s">
        <v>21</v>
      </c>
      <c r="C27" s="23">
        <v>4887119.58</v>
      </c>
      <c r="D27" s="41">
        <f t="shared" si="0"/>
        <v>7.9148763968516181E-2</v>
      </c>
      <c r="E27" s="23">
        <v>2321987.1471830262</v>
      </c>
      <c r="F27" s="41">
        <f t="shared" si="1"/>
        <v>3.7605466705260687E-2</v>
      </c>
      <c r="G27" s="23">
        <f t="shared" si="2"/>
        <v>2565132.4328169739</v>
      </c>
      <c r="H27" s="98">
        <f t="shared" si="3"/>
        <v>110.47143115882125</v>
      </c>
      <c r="I27" s="23">
        <v>2157866.19</v>
      </c>
      <c r="J27" s="41">
        <f t="shared" si="4"/>
        <v>3.6425719672019907E-2</v>
      </c>
      <c r="K27" s="23">
        <f t="shared" si="5"/>
        <v>2729253.39</v>
      </c>
      <c r="L27" s="98">
        <f t="shared" si="6"/>
        <v>126.4792693192899</v>
      </c>
      <c r="M27" s="74" t="s">
        <v>99</v>
      </c>
    </row>
    <row r="28" spans="1:13" ht="15" customHeight="1">
      <c r="A28" s="21">
        <v>7143</v>
      </c>
      <c r="B28" s="22" t="s">
        <v>22</v>
      </c>
      <c r="C28" s="23">
        <v>0</v>
      </c>
      <c r="D28" s="41">
        <f t="shared" si="0"/>
        <v>0</v>
      </c>
      <c r="E28" s="23">
        <v>0</v>
      </c>
      <c r="F28" s="41">
        <f t="shared" si="1"/>
        <v>0</v>
      </c>
      <c r="G28" s="23">
        <f t="shared" si="2"/>
        <v>0</v>
      </c>
      <c r="H28" s="98" t="e">
        <f t="shared" si="3"/>
        <v>#DIV/0!</v>
      </c>
      <c r="I28" s="23">
        <v>0</v>
      </c>
      <c r="J28" s="41">
        <f t="shared" si="4"/>
        <v>0</v>
      </c>
      <c r="K28" s="23">
        <f t="shared" si="5"/>
        <v>0</v>
      </c>
      <c r="L28" s="98" t="e">
        <f t="shared" si="6"/>
        <v>#DIV/0!</v>
      </c>
      <c r="M28" s="74" t="s">
        <v>100</v>
      </c>
    </row>
    <row r="29" spans="1:13" ht="15" customHeight="1">
      <c r="A29" s="21">
        <v>7144</v>
      </c>
      <c r="B29" s="22" t="s">
        <v>23</v>
      </c>
      <c r="C29" s="23">
        <v>7996456.6799999997</v>
      </c>
      <c r="D29" s="41">
        <f t="shared" si="0"/>
        <v>0.1295056632008551</v>
      </c>
      <c r="E29" s="23">
        <v>7625952.3570598559</v>
      </c>
      <c r="F29" s="41">
        <f t="shared" si="1"/>
        <v>0.12350520450004625</v>
      </c>
      <c r="G29" s="23">
        <f t="shared" si="2"/>
        <v>370504.32294014376</v>
      </c>
      <c r="H29" s="98">
        <f t="shared" si="3"/>
        <v>4.8584662687689502</v>
      </c>
      <c r="I29" s="23">
        <v>6991091.8900000006</v>
      </c>
      <c r="J29" s="41">
        <f t="shared" si="4"/>
        <v>0.11801267129843292</v>
      </c>
      <c r="K29" s="23">
        <f t="shared" si="5"/>
        <v>1005364.7899999991</v>
      </c>
      <c r="L29" s="98">
        <f t="shared" si="6"/>
        <v>14.380654779235044</v>
      </c>
      <c r="M29" s="74" t="s">
        <v>101</v>
      </c>
    </row>
    <row r="30" spans="1:13" ht="15" customHeight="1">
      <c r="A30" s="21">
        <v>7148</v>
      </c>
      <c r="B30" s="22" t="s">
        <v>24</v>
      </c>
      <c r="C30" s="78">
        <v>3104513.2</v>
      </c>
      <c r="D30" s="41">
        <f t="shared" si="0"/>
        <v>5.0278774333560074E-2</v>
      </c>
      <c r="E30" s="78">
        <v>2491229.5951630049</v>
      </c>
      <c r="F30" s="41">
        <f t="shared" si="1"/>
        <v>4.0346412644754401E-2</v>
      </c>
      <c r="G30" s="78">
        <f t="shared" si="2"/>
        <v>613283.60483699525</v>
      </c>
      <c r="H30" s="98">
        <f t="shared" si="3"/>
        <v>24.617707096437542</v>
      </c>
      <c r="I30" s="78">
        <v>2448287.6999999997</v>
      </c>
      <c r="J30" s="41">
        <f t="shared" si="4"/>
        <v>4.1328161055553848E-2</v>
      </c>
      <c r="K30" s="78">
        <f t="shared" si="5"/>
        <v>656225.50000000047</v>
      </c>
      <c r="L30" s="98">
        <f t="shared" si="6"/>
        <v>26.803447160233688</v>
      </c>
      <c r="M30" s="74" t="s">
        <v>102</v>
      </c>
    </row>
    <row r="31" spans="1:13" ht="15" customHeight="1">
      <c r="A31" s="21">
        <v>7149</v>
      </c>
      <c r="B31" s="22" t="s">
        <v>25</v>
      </c>
      <c r="C31" s="78">
        <v>24839220.040000003</v>
      </c>
      <c r="D31" s="41">
        <f t="shared" si="0"/>
        <v>0.40228063421112303</v>
      </c>
      <c r="E31" s="78">
        <v>17943124.511723109</v>
      </c>
      <c r="F31" s="41">
        <f t="shared" si="1"/>
        <v>0.29059573918509879</v>
      </c>
      <c r="G31" s="78">
        <f t="shared" si="2"/>
        <v>6896095.5282768942</v>
      </c>
      <c r="H31" s="98">
        <f t="shared" si="3"/>
        <v>38.433080725552259</v>
      </c>
      <c r="I31" s="78">
        <v>31067603.91</v>
      </c>
      <c r="J31" s="41">
        <f t="shared" si="4"/>
        <v>0.52443466427684726</v>
      </c>
      <c r="K31" s="78">
        <f t="shared" si="5"/>
        <v>-6228383.8699999973</v>
      </c>
      <c r="L31" s="98">
        <f t="shared" si="6"/>
        <v>-20.047841114631993</v>
      </c>
      <c r="M31" s="74" t="s">
        <v>103</v>
      </c>
    </row>
    <row r="32" spans="1:13" ht="15" customHeight="1">
      <c r="A32" s="18">
        <v>715</v>
      </c>
      <c r="B32" s="19" t="s">
        <v>26</v>
      </c>
      <c r="C32" s="20">
        <f>+SUM(C33:C36)</f>
        <v>143181484.22999996</v>
      </c>
      <c r="D32" s="40">
        <f t="shared" si="0"/>
        <v>2.3188787003206679</v>
      </c>
      <c r="E32" s="20">
        <f>+SUM(E33:E36)</f>
        <v>74991205.187115267</v>
      </c>
      <c r="F32" s="40">
        <f t="shared" si="1"/>
        <v>1.2145111454525843</v>
      </c>
      <c r="G32" s="20">
        <f t="shared" si="2"/>
        <v>68190279.042884693</v>
      </c>
      <c r="H32" s="93">
        <f t="shared" si="3"/>
        <v>90.931035009690589</v>
      </c>
      <c r="I32" s="20">
        <f>+SUM(I33:I36)</f>
        <v>21324434.530000001</v>
      </c>
      <c r="J32" s="40">
        <f t="shared" si="4"/>
        <v>0.35996572815950256</v>
      </c>
      <c r="K32" s="20">
        <f t="shared" si="5"/>
        <v>121857049.69999996</v>
      </c>
      <c r="L32" s="93">
        <f t="shared" si="6"/>
        <v>571.44328741081961</v>
      </c>
      <c r="M32" s="73" t="s">
        <v>104</v>
      </c>
    </row>
    <row r="33" spans="1:105" ht="15" customHeight="1">
      <c r="A33" s="21">
        <v>7151</v>
      </c>
      <c r="B33" s="22" t="s">
        <v>27</v>
      </c>
      <c r="C33" s="78">
        <v>72675139.439999983</v>
      </c>
      <c r="D33" s="41">
        <f t="shared" si="0"/>
        <v>1.1770015780779319</v>
      </c>
      <c r="E33" s="78">
        <v>4162051.3506190367</v>
      </c>
      <c r="F33" s="41">
        <f t="shared" si="1"/>
        <v>6.7406007686636168E-2</v>
      </c>
      <c r="G33" s="78">
        <f t="shared" si="2"/>
        <v>68513088.08938095</v>
      </c>
      <c r="H33" s="98">
        <f t="shared" si="3"/>
        <v>1646.1375009030285</v>
      </c>
      <c r="I33" s="78">
        <v>2416116.0300000003</v>
      </c>
      <c r="J33" s="41">
        <f t="shared" si="4"/>
        <v>4.0785089275555887E-2</v>
      </c>
      <c r="K33" s="78">
        <f t="shared" si="5"/>
        <v>70259023.409999982</v>
      </c>
      <c r="L33" s="98">
        <f t="shared" si="6"/>
        <v>2907.932505625567</v>
      </c>
      <c r="M33" s="74" t="s">
        <v>105</v>
      </c>
    </row>
    <row r="34" spans="1:105" ht="15" customHeight="1">
      <c r="A34" s="21">
        <v>7152</v>
      </c>
      <c r="B34" s="22" t="s">
        <v>28</v>
      </c>
      <c r="C34" s="78">
        <v>13326004.33</v>
      </c>
      <c r="D34" s="41">
        <f t="shared" si="0"/>
        <v>0.21581971836232305</v>
      </c>
      <c r="E34" s="78">
        <v>11044128.878048953</v>
      </c>
      <c r="F34" s="41">
        <f t="shared" si="1"/>
        <v>0.17886387584700147</v>
      </c>
      <c r="G34" s="78">
        <f t="shared" si="2"/>
        <v>2281875.4519510474</v>
      </c>
      <c r="H34" s="98">
        <f t="shared" si="3"/>
        <v>20.661434479331803</v>
      </c>
      <c r="I34" s="78">
        <v>11756873.75</v>
      </c>
      <c r="J34" s="41">
        <f t="shared" si="4"/>
        <v>0.19846114157654485</v>
      </c>
      <c r="K34" s="78">
        <f t="shared" si="5"/>
        <v>1569130.58</v>
      </c>
      <c r="L34" s="98">
        <f t="shared" si="6"/>
        <v>13.346495108871963</v>
      </c>
      <c r="M34" s="74" t="s">
        <v>106</v>
      </c>
    </row>
    <row r="35" spans="1:105">
      <c r="A35" s="21">
        <v>7153</v>
      </c>
      <c r="B35" s="22" t="s">
        <v>29</v>
      </c>
      <c r="C35" s="78">
        <v>1496489.46</v>
      </c>
      <c r="D35" s="41">
        <f t="shared" si="0"/>
        <v>2.4236217082887958E-2</v>
      </c>
      <c r="E35" s="78">
        <v>1704791.7820671829</v>
      </c>
      <c r="F35" s="41">
        <f t="shared" si="1"/>
        <v>2.7609752568055951E-2</v>
      </c>
      <c r="G35" s="78">
        <f t="shared" si="2"/>
        <v>-208302.32206718298</v>
      </c>
      <c r="H35" s="98">
        <f t="shared" si="3"/>
        <v>-12.218637153130885</v>
      </c>
      <c r="I35" s="78">
        <v>1397204.74</v>
      </c>
      <c r="J35" s="41">
        <f t="shared" si="4"/>
        <v>2.3585423609448857E-2</v>
      </c>
      <c r="K35" s="78">
        <f t="shared" si="5"/>
        <v>99284.719999999972</v>
      </c>
      <c r="L35" s="98">
        <f t="shared" si="6"/>
        <v>7.1059535626825721</v>
      </c>
      <c r="M35" s="74" t="s">
        <v>107</v>
      </c>
    </row>
    <row r="36" spans="1:105" s="3" customFormat="1" ht="15" customHeight="1">
      <c r="A36" s="21">
        <v>7155</v>
      </c>
      <c r="B36" s="22" t="s">
        <v>26</v>
      </c>
      <c r="C36" s="78">
        <v>55683851</v>
      </c>
      <c r="D36" s="41">
        <f t="shared" si="0"/>
        <v>0.90182118679752543</v>
      </c>
      <c r="E36" s="78">
        <v>58080233.176380098</v>
      </c>
      <c r="F36" s="41">
        <f t="shared" si="1"/>
        <v>0.94063150935089079</v>
      </c>
      <c r="G36" s="78">
        <f t="shared" si="2"/>
        <v>-2396382.1763800979</v>
      </c>
      <c r="H36" s="98">
        <f t="shared" si="3"/>
        <v>-4.1259858050202354</v>
      </c>
      <c r="I36" s="78">
        <v>5754240.0099999998</v>
      </c>
      <c r="J36" s="41">
        <f t="shared" si="4"/>
        <v>9.7134073697952975E-2</v>
      </c>
      <c r="K36" s="78">
        <f t="shared" si="5"/>
        <v>49929610.990000002</v>
      </c>
      <c r="L36" s="98">
        <f t="shared" si="6"/>
        <v>867.70122384936815</v>
      </c>
      <c r="M36" s="74" t="s">
        <v>104</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96" t="s">
        <v>187</v>
      </c>
      <c r="C37" s="20">
        <v>0</v>
      </c>
      <c r="D37" s="40">
        <f t="shared" si="0"/>
        <v>0</v>
      </c>
      <c r="E37" s="20">
        <v>5629073.2928197626</v>
      </c>
      <c r="F37" s="40">
        <f t="shared" si="1"/>
        <v>9.116498708936227E-2</v>
      </c>
      <c r="G37" s="20">
        <f t="shared" si="2"/>
        <v>-5629073.2928197626</v>
      </c>
      <c r="H37" s="93">
        <f t="shared" si="3"/>
        <v>-100</v>
      </c>
      <c r="I37" s="20">
        <v>0</v>
      </c>
      <c r="J37" s="40">
        <f t="shared" si="4"/>
        <v>0</v>
      </c>
      <c r="K37" s="20">
        <f t="shared" si="5"/>
        <v>0</v>
      </c>
      <c r="L37" s="93" t="e">
        <f t="shared" si="6"/>
        <v>#DIV/0!</v>
      </c>
      <c r="M37" s="73" t="s">
        <v>108</v>
      </c>
    </row>
    <row r="38" spans="1:105" ht="15" customHeight="1">
      <c r="A38" s="18">
        <v>74</v>
      </c>
      <c r="B38" s="19" t="s">
        <v>183</v>
      </c>
      <c r="C38" s="20">
        <v>53236097.270000011</v>
      </c>
      <c r="D38" s="40">
        <f t="shared" si="0"/>
        <v>0.862178882356752</v>
      </c>
      <c r="E38" s="20">
        <v>31922256.386666663</v>
      </c>
      <c r="F38" s="40">
        <f t="shared" si="1"/>
        <v>0.516993107029875</v>
      </c>
      <c r="G38" s="20">
        <f t="shared" si="2"/>
        <v>21313840.883333348</v>
      </c>
      <c r="H38" s="93">
        <f t="shared" si="3"/>
        <v>66.767964723933943</v>
      </c>
      <c r="I38" s="20">
        <v>24164907.920000002</v>
      </c>
      <c r="J38" s="40">
        <f t="shared" si="4"/>
        <v>0.40791415421087518</v>
      </c>
      <c r="K38" s="20">
        <f t="shared" si="5"/>
        <v>29071189.350000009</v>
      </c>
      <c r="L38" s="93">
        <f t="shared" si="6"/>
        <v>120.30333178277635</v>
      </c>
      <c r="M38" s="73" t="s">
        <v>109</v>
      </c>
    </row>
    <row r="39" spans="1:105" ht="15" customHeight="1">
      <c r="A39" s="15"/>
      <c r="B39" s="16" t="s">
        <v>72</v>
      </c>
      <c r="C39" s="17">
        <f>+C40+C50+C56+C57+C58+C59+C60+C61</f>
        <v>1727277171.3399997</v>
      </c>
      <c r="D39" s="39">
        <f t="shared" si="0"/>
        <v>27.97391201600103</v>
      </c>
      <c r="E39" s="17">
        <f>+E40+E50+E56+E57+E58+E59+E60+E61</f>
        <v>1841905190.7300003</v>
      </c>
      <c r="F39" s="39">
        <f t="shared" ref="F39:F78" si="7">+E39/$E$2*100</f>
        <v>29.830356472160148</v>
      </c>
      <c r="G39" s="17">
        <f t="shared" si="2"/>
        <v>-114628019.39000058</v>
      </c>
      <c r="H39" s="97">
        <f t="shared" si="3"/>
        <v>-6.2233398313281327</v>
      </c>
      <c r="I39" s="17">
        <f>+I40+I50+I56+I57+I58+I59+I60+I61</f>
        <v>1487792046.6700001</v>
      </c>
      <c r="J39" s="39">
        <f t="shared" si="4"/>
        <v>25.114576739469737</v>
      </c>
      <c r="K39" s="17">
        <f t="shared" ref="K39:K61" si="8">+C39-I39</f>
        <v>239485124.6699996</v>
      </c>
      <c r="L39" s="97">
        <f t="shared" ref="L39:L61" si="9">+C39/I39*100-100</f>
        <v>16.09667999005768</v>
      </c>
      <c r="M39" s="82" t="s">
        <v>110</v>
      </c>
    </row>
    <row r="40" spans="1:105" ht="15" customHeight="1">
      <c r="A40" s="18">
        <v>41</v>
      </c>
      <c r="B40" s="19" t="s">
        <v>69</v>
      </c>
      <c r="C40" s="20">
        <f>+SUM(C41:C49)</f>
        <v>733986215.53999972</v>
      </c>
      <c r="D40" s="40">
        <f t="shared" si="0"/>
        <v>11.887186466167844</v>
      </c>
      <c r="E40" s="20">
        <f>+SUM(E41:E49)</f>
        <v>755725520.44000006</v>
      </c>
      <c r="F40" s="40">
        <f t="shared" si="7"/>
        <v>12.23926279337933</v>
      </c>
      <c r="G40" s="20">
        <f t="shared" si="2"/>
        <v>-21739304.900000334</v>
      </c>
      <c r="H40" s="93">
        <f t="shared" si="3"/>
        <v>-2.8766138382283657</v>
      </c>
      <c r="I40" s="20">
        <f>+SUM(I41:I49)</f>
        <v>611484246.80000007</v>
      </c>
      <c r="J40" s="40">
        <f t="shared" si="4"/>
        <v>10.322120000310601</v>
      </c>
      <c r="K40" s="20">
        <f t="shared" si="8"/>
        <v>122501968.73999965</v>
      </c>
      <c r="L40" s="93">
        <f t="shared" si="9"/>
        <v>20.033544507658704</v>
      </c>
      <c r="M40" s="73" t="s">
        <v>111</v>
      </c>
    </row>
    <row r="41" spans="1:105" ht="15" customHeight="1">
      <c r="A41" s="21">
        <v>411</v>
      </c>
      <c r="B41" s="22" t="s">
        <v>30</v>
      </c>
      <c r="C41" s="23">
        <v>473497833.17999977</v>
      </c>
      <c r="D41" s="41">
        <f t="shared" si="0"/>
        <v>7.6684778476338504</v>
      </c>
      <c r="E41" s="23">
        <v>459514692.5</v>
      </c>
      <c r="F41" s="41">
        <f t="shared" si="7"/>
        <v>7.4420155556635255</v>
      </c>
      <c r="G41" s="23">
        <f t="shared" si="2"/>
        <v>13983140.679999769</v>
      </c>
      <c r="H41" s="98">
        <f t="shared" si="3"/>
        <v>3.0430236308493619</v>
      </c>
      <c r="I41" s="23">
        <v>398345192.08000004</v>
      </c>
      <c r="J41" s="41">
        <f t="shared" si="4"/>
        <v>6.7242400694933746</v>
      </c>
      <c r="K41" s="23">
        <f t="shared" si="8"/>
        <v>75152641.099999726</v>
      </c>
      <c r="L41" s="98">
        <f t="shared" si="9"/>
        <v>18.866210159982728</v>
      </c>
      <c r="M41" s="74" t="s">
        <v>112</v>
      </c>
    </row>
    <row r="42" spans="1:105" ht="15" customHeight="1">
      <c r="A42" s="21">
        <v>412</v>
      </c>
      <c r="B42" s="22" t="s">
        <v>31</v>
      </c>
      <c r="C42" s="23">
        <v>12270289.779999997</v>
      </c>
      <c r="D42" s="41">
        <f t="shared" si="0"/>
        <v>0.19872201891620506</v>
      </c>
      <c r="E42" s="23">
        <v>14054637.319999998</v>
      </c>
      <c r="F42" s="41">
        <f t="shared" si="7"/>
        <v>0.22762020730087776</v>
      </c>
      <c r="G42" s="23">
        <f t="shared" si="2"/>
        <v>-1784347.540000001</v>
      </c>
      <c r="H42" s="98">
        <f t="shared" si="3"/>
        <v>-12.695792138733054</v>
      </c>
      <c r="I42" s="23">
        <v>11529214.569999998</v>
      </c>
      <c r="J42" s="41">
        <f t="shared" si="4"/>
        <v>0.1946181556166777</v>
      </c>
      <c r="K42" s="23">
        <f t="shared" si="8"/>
        <v>741075.20999999903</v>
      </c>
      <c r="L42" s="98">
        <f t="shared" si="9"/>
        <v>6.4278030866763487</v>
      </c>
      <c r="M42" s="74" t="s">
        <v>113</v>
      </c>
    </row>
    <row r="43" spans="1:105" ht="15" customHeight="1">
      <c r="A43" s="21">
        <v>413</v>
      </c>
      <c r="B43" s="22" t="s">
        <v>73</v>
      </c>
      <c r="C43" s="23">
        <v>28132946.519999996</v>
      </c>
      <c r="D43" s="41">
        <f t="shared" si="0"/>
        <v>0.45562378971917206</v>
      </c>
      <c r="E43" s="23">
        <v>41250504.189999998</v>
      </c>
      <c r="F43" s="41">
        <f t="shared" si="7"/>
        <v>0.66806763498850119</v>
      </c>
      <c r="G43" s="23">
        <f t="shared" si="2"/>
        <v>-13117557.670000002</v>
      </c>
      <c r="H43" s="98">
        <f t="shared" si="3"/>
        <v>-31.799751124448022</v>
      </c>
      <c r="I43" s="23">
        <v>23438016.699999999</v>
      </c>
      <c r="J43" s="41">
        <f t="shared" si="4"/>
        <v>0.395643914316263</v>
      </c>
      <c r="K43" s="23">
        <f t="shared" si="8"/>
        <v>4694929.8199999966</v>
      </c>
      <c r="L43" s="98">
        <f t="shared" si="9"/>
        <v>20.031258958869145</v>
      </c>
      <c r="M43" s="74" t="s">
        <v>114</v>
      </c>
    </row>
    <row r="44" spans="1:105" ht="15" customHeight="1">
      <c r="A44" s="21">
        <v>414</v>
      </c>
      <c r="B44" s="22" t="s">
        <v>74</v>
      </c>
      <c r="C44" s="23">
        <v>43454268.719999999</v>
      </c>
      <c r="D44" s="41">
        <f t="shared" si="0"/>
        <v>0.7037584413565251</v>
      </c>
      <c r="E44" s="23">
        <v>48384052.989999972</v>
      </c>
      <c r="F44" s="41">
        <f t="shared" si="7"/>
        <v>0.78359817623813655</v>
      </c>
      <c r="G44" s="23">
        <f t="shared" si="2"/>
        <v>-4929784.2699999735</v>
      </c>
      <c r="H44" s="98">
        <f t="shared" si="3"/>
        <v>-10.188861753724638</v>
      </c>
      <c r="I44" s="23">
        <v>35865222.560000002</v>
      </c>
      <c r="J44" s="41">
        <f t="shared" si="4"/>
        <v>0.60542055341492895</v>
      </c>
      <c r="K44" s="23">
        <f t="shared" si="8"/>
        <v>7589046.1599999964</v>
      </c>
      <c r="L44" s="98">
        <f t="shared" si="9"/>
        <v>21.159902597297588</v>
      </c>
      <c r="M44" s="74" t="s">
        <v>115</v>
      </c>
    </row>
    <row r="45" spans="1:105" ht="15.75" customHeight="1">
      <c r="A45" s="21">
        <v>415</v>
      </c>
      <c r="B45" s="22" t="s">
        <v>32</v>
      </c>
      <c r="C45" s="23">
        <v>16351956.210000001</v>
      </c>
      <c r="D45" s="41">
        <f t="shared" si="0"/>
        <v>0.26482616218054611</v>
      </c>
      <c r="E45" s="23">
        <v>25609677.420000002</v>
      </c>
      <c r="F45" s="41">
        <f t="shared" si="7"/>
        <v>0.41475848508405405</v>
      </c>
      <c r="G45" s="23">
        <f t="shared" si="2"/>
        <v>-9257721.2100000009</v>
      </c>
      <c r="H45" s="98">
        <f t="shared" si="3"/>
        <v>-36.149308162585989</v>
      </c>
      <c r="I45" s="23">
        <v>14592537.069999998</v>
      </c>
      <c r="J45" s="41">
        <f t="shared" si="4"/>
        <v>0.2463283715545766</v>
      </c>
      <c r="K45" s="23">
        <f t="shared" si="8"/>
        <v>1759419.1400000025</v>
      </c>
      <c r="L45" s="98">
        <f t="shared" si="9"/>
        <v>12.056979067862699</v>
      </c>
      <c r="M45" s="74" t="s">
        <v>116</v>
      </c>
    </row>
    <row r="46" spans="1:105" ht="15" customHeight="1">
      <c r="A46" s="21">
        <v>416</v>
      </c>
      <c r="B46" s="22" t="s">
        <v>33</v>
      </c>
      <c r="C46" s="23">
        <v>79440248.75</v>
      </c>
      <c r="D46" s="41">
        <f t="shared" si="0"/>
        <v>1.2865651013830854</v>
      </c>
      <c r="E46" s="23">
        <v>62557275.210000008</v>
      </c>
      <c r="F46" s="41">
        <f t="shared" si="7"/>
        <v>1.0131389111845304</v>
      </c>
      <c r="G46" s="23">
        <f t="shared" si="2"/>
        <v>16882973.539999992</v>
      </c>
      <c r="H46" s="98">
        <f t="shared" si="3"/>
        <v>26.988025746526105</v>
      </c>
      <c r="I46" s="23">
        <v>57754743.109999999</v>
      </c>
      <c r="J46" s="41">
        <f t="shared" si="4"/>
        <v>0.97492517932929978</v>
      </c>
      <c r="K46" s="23">
        <f t="shared" si="8"/>
        <v>21685505.640000001</v>
      </c>
      <c r="L46" s="98">
        <f t="shared" si="9"/>
        <v>37.547575267883474</v>
      </c>
      <c r="M46" s="74" t="s">
        <v>117</v>
      </c>
    </row>
    <row r="47" spans="1:105" ht="15" customHeight="1">
      <c r="A47" s="21">
        <v>417</v>
      </c>
      <c r="B47" s="22" t="s">
        <v>34</v>
      </c>
      <c r="C47" s="23">
        <v>7233534.6100000013</v>
      </c>
      <c r="D47" s="41">
        <f t="shared" si="0"/>
        <v>0.11714984954490981</v>
      </c>
      <c r="E47" s="23">
        <v>8804130.3299999982</v>
      </c>
      <c r="F47" s="41">
        <f t="shared" si="7"/>
        <v>0.14258624574871243</v>
      </c>
      <c r="G47" s="23">
        <f t="shared" si="2"/>
        <v>-1570595.7199999969</v>
      </c>
      <c r="H47" s="98">
        <f t="shared" si="3"/>
        <v>-17.839305656893856</v>
      </c>
      <c r="I47" s="23">
        <v>7314443.7800000012</v>
      </c>
      <c r="J47" s="41">
        <f t="shared" si="4"/>
        <v>0.12347099181670282</v>
      </c>
      <c r="K47" s="23">
        <f t="shared" si="8"/>
        <v>-80909.169999999925</v>
      </c>
      <c r="L47" s="98">
        <f t="shared" si="9"/>
        <v>-1.1061561539543305</v>
      </c>
      <c r="M47" s="74" t="s">
        <v>118</v>
      </c>
    </row>
    <row r="48" spans="1:105" ht="15" customHeight="1">
      <c r="A48" s="21">
        <v>418</v>
      </c>
      <c r="B48" s="22" t="s">
        <v>35</v>
      </c>
      <c r="C48" s="23">
        <v>40012368.609999999</v>
      </c>
      <c r="D48" s="41">
        <f t="shared" si="0"/>
        <v>0.64801555744501671</v>
      </c>
      <c r="E48" s="23">
        <v>46497287.020000003</v>
      </c>
      <c r="F48" s="41">
        <f t="shared" si="7"/>
        <v>0.75304128235027379</v>
      </c>
      <c r="G48" s="23">
        <f t="shared" si="2"/>
        <v>-6484918.4100000039</v>
      </c>
      <c r="H48" s="98">
        <f t="shared" si="3"/>
        <v>-13.946874808439105</v>
      </c>
      <c r="I48" s="23">
        <v>35075886.310000002</v>
      </c>
      <c r="J48" s="41">
        <f t="shared" si="4"/>
        <v>0.59209621425863324</v>
      </c>
      <c r="K48" s="23">
        <f t="shared" si="8"/>
        <v>4936482.299999997</v>
      </c>
      <c r="L48" s="98">
        <f t="shared" si="9"/>
        <v>14.073720778917647</v>
      </c>
      <c r="M48" s="74" t="s">
        <v>119</v>
      </c>
    </row>
    <row r="49" spans="1:15" ht="15" customHeight="1">
      <c r="A49" s="21">
        <v>419</v>
      </c>
      <c r="B49" s="22" t="s">
        <v>36</v>
      </c>
      <c r="C49" s="23">
        <v>33592769.160000004</v>
      </c>
      <c r="D49" s="41">
        <f t="shared" si="0"/>
        <v>0.5440476979885337</v>
      </c>
      <c r="E49" s="23">
        <v>49053263.460000008</v>
      </c>
      <c r="F49" s="41">
        <f t="shared" si="7"/>
        <v>0.7944362948207172</v>
      </c>
      <c r="G49" s="23">
        <f t="shared" si="2"/>
        <v>-15460494.300000004</v>
      </c>
      <c r="H49" s="98">
        <f t="shared" si="3"/>
        <v>-31.517769072810225</v>
      </c>
      <c r="I49" s="23">
        <v>27568990.620000001</v>
      </c>
      <c r="J49" s="41">
        <f t="shared" si="4"/>
        <v>0.46537655051014359</v>
      </c>
      <c r="K49" s="23">
        <f t="shared" si="8"/>
        <v>6023778.5400000028</v>
      </c>
      <c r="L49" s="98">
        <f t="shared" si="9"/>
        <v>21.849833470616929</v>
      </c>
      <c r="M49" s="74" t="s">
        <v>120</v>
      </c>
    </row>
    <row r="50" spans="1:15" ht="15" customHeight="1">
      <c r="A50" s="18">
        <v>42</v>
      </c>
      <c r="B50" s="19" t="s">
        <v>37</v>
      </c>
      <c r="C50" s="20">
        <f>+SUM(C51:C55)</f>
        <v>598782328.59000003</v>
      </c>
      <c r="D50" s="40">
        <f t="shared" si="0"/>
        <v>9.6975079938781459</v>
      </c>
      <c r="E50" s="20">
        <f>+SUM(E51:E55)</f>
        <v>586588374.19000006</v>
      </c>
      <c r="F50" s="40">
        <f t="shared" si="7"/>
        <v>9.5000222555307232</v>
      </c>
      <c r="G50" s="20">
        <f t="shared" si="2"/>
        <v>12193954.399999976</v>
      </c>
      <c r="H50" s="93">
        <f t="shared" si="3"/>
        <v>2.0787923758015552</v>
      </c>
      <c r="I50" s="20">
        <f>+SUM(I51:I55)</f>
        <v>462179008.00999987</v>
      </c>
      <c r="J50" s="40">
        <f t="shared" si="4"/>
        <v>7.8017826416124976</v>
      </c>
      <c r="K50" s="20">
        <f t="shared" si="8"/>
        <v>136603320.58000016</v>
      </c>
      <c r="L50" s="93">
        <f t="shared" si="9"/>
        <v>29.556366302349375</v>
      </c>
      <c r="M50" s="73" t="s">
        <v>121</v>
      </c>
    </row>
    <row r="51" spans="1:15" ht="15" customHeight="1">
      <c r="A51" s="21">
        <v>421</v>
      </c>
      <c r="B51" s="22" t="s">
        <v>38</v>
      </c>
      <c r="C51" s="23">
        <v>154754788.06999999</v>
      </c>
      <c r="D51" s="41">
        <f t="shared" si="0"/>
        <v>2.5063127663330418</v>
      </c>
      <c r="E51" s="23">
        <v>142613108.70000002</v>
      </c>
      <c r="F51" s="41">
        <f t="shared" si="7"/>
        <v>2.3096736420172967</v>
      </c>
      <c r="G51" s="23">
        <f t="shared" si="2"/>
        <v>12141679.369999975</v>
      </c>
      <c r="H51" s="98">
        <f t="shared" si="3"/>
        <v>8.5137190267278555</v>
      </c>
      <c r="I51" s="23">
        <v>93575202.489999995</v>
      </c>
      <c r="J51" s="41">
        <f t="shared" si="4"/>
        <v>1.5795901107997983</v>
      </c>
      <c r="K51" s="23">
        <f t="shared" si="8"/>
        <v>61179585.579999998</v>
      </c>
      <c r="L51" s="98">
        <f t="shared" si="9"/>
        <v>65.380126307007458</v>
      </c>
      <c r="M51" s="74" t="s">
        <v>122</v>
      </c>
    </row>
    <row r="52" spans="1:15" ht="15" customHeight="1">
      <c r="A52" s="21">
        <v>422</v>
      </c>
      <c r="B52" s="22" t="s">
        <v>39</v>
      </c>
      <c r="C52" s="23">
        <v>16452951.379999999</v>
      </c>
      <c r="D52" s="41">
        <f t="shared" si="0"/>
        <v>0.2664618174456645</v>
      </c>
      <c r="E52" s="23">
        <v>20032991.969999999</v>
      </c>
      <c r="F52" s="41">
        <f t="shared" si="7"/>
        <v>0.32444193907297636</v>
      </c>
      <c r="G52" s="23">
        <f t="shared" si="2"/>
        <v>-3580040.59</v>
      </c>
      <c r="H52" s="98">
        <f t="shared" si="3"/>
        <v>-17.870723431433589</v>
      </c>
      <c r="I52" s="23">
        <v>18566241.739999998</v>
      </c>
      <c r="J52" s="41">
        <f t="shared" si="4"/>
        <v>0.31340623441724852</v>
      </c>
      <c r="K52" s="23">
        <f t="shared" si="8"/>
        <v>-2113290.3599999994</v>
      </c>
      <c r="L52" s="98">
        <f t="shared" si="9"/>
        <v>-11.382434795336238</v>
      </c>
      <c r="M52" s="74" t="s">
        <v>123</v>
      </c>
    </row>
    <row r="53" spans="1:15">
      <c r="A53" s="21">
        <v>423</v>
      </c>
      <c r="B53" s="22" t="s">
        <v>40</v>
      </c>
      <c r="C53" s="23">
        <v>404744548.06999993</v>
      </c>
      <c r="D53" s="41">
        <f t="shared" si="0"/>
        <v>6.554992194959997</v>
      </c>
      <c r="E53" s="23">
        <v>397347273.5200001</v>
      </c>
      <c r="F53" s="41">
        <f t="shared" si="7"/>
        <v>6.4351905146892125</v>
      </c>
      <c r="G53" s="23">
        <f t="shared" si="2"/>
        <v>7397274.5499998331</v>
      </c>
      <c r="H53" s="98">
        <f t="shared" si="3"/>
        <v>1.8616648566552811</v>
      </c>
      <c r="I53" s="23">
        <v>330805649.11999995</v>
      </c>
      <c r="J53" s="41">
        <f t="shared" si="4"/>
        <v>5.5841432136094102</v>
      </c>
      <c r="K53" s="23">
        <f t="shared" si="8"/>
        <v>73938898.949999988</v>
      </c>
      <c r="L53" s="98">
        <f t="shared" si="9"/>
        <v>22.351159705612702</v>
      </c>
      <c r="M53" s="74" t="s">
        <v>124</v>
      </c>
    </row>
    <row r="54" spans="1:15" ht="15" customHeight="1">
      <c r="A54" s="21">
        <v>424</v>
      </c>
      <c r="B54" s="22" t="s">
        <v>41</v>
      </c>
      <c r="C54" s="23">
        <v>13718075.59</v>
      </c>
      <c r="D54" s="41">
        <f t="shared" si="0"/>
        <v>0.22216946182748681</v>
      </c>
      <c r="E54" s="23">
        <v>15795000</v>
      </c>
      <c r="F54" s="41">
        <f t="shared" si="7"/>
        <v>0.25580604411621805</v>
      </c>
      <c r="G54" s="23">
        <f t="shared" si="2"/>
        <v>-2076924.4100000001</v>
      </c>
      <c r="H54" s="98">
        <f t="shared" si="3"/>
        <v>-13.149252358341244</v>
      </c>
      <c r="I54" s="23">
        <v>10556724.07</v>
      </c>
      <c r="J54" s="41">
        <f t="shared" si="4"/>
        <v>0.1782020930726409</v>
      </c>
      <c r="K54" s="23">
        <f t="shared" si="8"/>
        <v>3161351.5199999996</v>
      </c>
      <c r="L54" s="98">
        <f t="shared" si="9"/>
        <v>29.94633087913985</v>
      </c>
      <c r="M54" s="74" t="s">
        <v>125</v>
      </c>
    </row>
    <row r="55" spans="1:15" ht="15" customHeight="1">
      <c r="A55" s="21">
        <v>425</v>
      </c>
      <c r="B55" s="22" t="s">
        <v>42</v>
      </c>
      <c r="C55" s="23">
        <v>9111965.4800000004</v>
      </c>
      <c r="D55" s="41">
        <f t="shared" si="0"/>
        <v>0.14757175331195543</v>
      </c>
      <c r="E55" s="23">
        <v>10800000</v>
      </c>
      <c r="F55" s="41">
        <f t="shared" si="7"/>
        <v>0.1749101156350209</v>
      </c>
      <c r="G55" s="23">
        <f t="shared" si="2"/>
        <v>-1688034.5199999996</v>
      </c>
      <c r="H55" s="98">
        <f t="shared" si="3"/>
        <v>-15.629949259259263</v>
      </c>
      <c r="I55" s="23">
        <v>8675190.5899999999</v>
      </c>
      <c r="J55" s="41">
        <f t="shared" si="4"/>
        <v>0.14644098971340061</v>
      </c>
      <c r="K55" s="23">
        <f t="shared" si="8"/>
        <v>436774.8900000006</v>
      </c>
      <c r="L55" s="98">
        <f t="shared" si="9"/>
        <v>5.0347584352034431</v>
      </c>
      <c r="M55" s="74" t="s">
        <v>126</v>
      </c>
      <c r="O55" s="80"/>
    </row>
    <row r="56" spans="1:15" ht="15" customHeight="1">
      <c r="A56" s="18">
        <v>43</v>
      </c>
      <c r="B56" s="79" t="s">
        <v>43</v>
      </c>
      <c r="C56" s="20">
        <v>255127512.71000004</v>
      </c>
      <c r="D56" s="40">
        <f t="shared" si="0"/>
        <v>4.1318872916464233</v>
      </c>
      <c r="E56" s="20">
        <v>259825093.40000004</v>
      </c>
      <c r="F56" s="40">
        <f t="shared" si="7"/>
        <v>4.2079664010624178</v>
      </c>
      <c r="G56" s="20">
        <f t="shared" si="2"/>
        <v>-4697580.6899999976</v>
      </c>
      <c r="H56" s="93">
        <f t="shared" si="3"/>
        <v>-1.807978062676213</v>
      </c>
      <c r="I56" s="20">
        <v>212647277.32999998</v>
      </c>
      <c r="J56" s="40">
        <f t="shared" si="4"/>
        <v>3.5895785146162615</v>
      </c>
      <c r="K56" s="20">
        <f t="shared" si="8"/>
        <v>42480235.380000055</v>
      </c>
      <c r="L56" s="93">
        <f t="shared" si="9"/>
        <v>19.976853648625109</v>
      </c>
      <c r="M56" s="73" t="s">
        <v>127</v>
      </c>
    </row>
    <row r="57" spans="1:15" ht="15" customHeight="1">
      <c r="A57" s="18">
        <v>44</v>
      </c>
      <c r="B57" s="19" t="s">
        <v>65</v>
      </c>
      <c r="C57" s="20">
        <v>113754159.47999999</v>
      </c>
      <c r="D57" s="40">
        <f t="shared" si="0"/>
        <v>1.8422919619084634</v>
      </c>
      <c r="E57" s="20">
        <v>187511065.06999999</v>
      </c>
      <c r="F57" s="40">
        <f t="shared" si="7"/>
        <v>3.0368131550221875</v>
      </c>
      <c r="G57" s="20">
        <f t="shared" si="2"/>
        <v>-73756905.590000004</v>
      </c>
      <c r="H57" s="93">
        <f t="shared" si="3"/>
        <v>-39.334695028512435</v>
      </c>
      <c r="I57" s="20">
        <v>152231108.45999998</v>
      </c>
      <c r="J57" s="40">
        <f t="shared" si="4"/>
        <v>2.569727311091897</v>
      </c>
      <c r="K57" s="20">
        <f t="shared" si="8"/>
        <v>-38476948.979999989</v>
      </c>
      <c r="L57" s="93">
        <f t="shared" si="9"/>
        <v>-25.275352304296035</v>
      </c>
      <c r="M57" s="73" t="s">
        <v>128</v>
      </c>
    </row>
    <row r="58" spans="1:15" ht="15" customHeight="1">
      <c r="A58" s="18">
        <v>45</v>
      </c>
      <c r="B58" s="19" t="s">
        <v>44</v>
      </c>
      <c r="C58" s="20">
        <v>0</v>
      </c>
      <c r="D58" s="40">
        <f t="shared" si="0"/>
        <v>0</v>
      </c>
      <c r="E58" s="20">
        <v>3496807</v>
      </c>
      <c r="F58" s="40">
        <f t="shared" si="7"/>
        <v>5.663212191882875E-2</v>
      </c>
      <c r="G58" s="20">
        <f t="shared" si="2"/>
        <v>-3496807</v>
      </c>
      <c r="H58" s="93">
        <f t="shared" si="3"/>
        <v>-100</v>
      </c>
      <c r="I58" s="20">
        <v>0</v>
      </c>
      <c r="J58" s="40">
        <f t="shared" si="4"/>
        <v>0</v>
      </c>
      <c r="K58" s="20">
        <f t="shared" si="8"/>
        <v>0</v>
      </c>
      <c r="L58" s="93" t="e">
        <f t="shared" si="9"/>
        <v>#DIV/0!</v>
      </c>
      <c r="M58" s="73" t="s">
        <v>129</v>
      </c>
      <c r="N58" s="91"/>
    </row>
    <row r="59" spans="1:15" ht="15" customHeight="1">
      <c r="A59" s="18">
        <v>462</v>
      </c>
      <c r="B59" s="19" t="s">
        <v>45</v>
      </c>
      <c r="C59" s="20">
        <v>2813572.16</v>
      </c>
      <c r="D59" s="40">
        <f t="shared" si="0"/>
        <v>4.5566873319729216E-2</v>
      </c>
      <c r="E59" s="20">
        <v>0.96000000000000008</v>
      </c>
      <c r="F59" s="40">
        <f t="shared" si="7"/>
        <v>1.554756583422408E-8</v>
      </c>
      <c r="G59" s="20">
        <f t="shared" si="2"/>
        <v>2813571.2</v>
      </c>
      <c r="H59" s="108">
        <f t="shared" si="3"/>
        <v>293080333.33333337</v>
      </c>
      <c r="I59" s="20">
        <v>500000</v>
      </c>
      <c r="J59" s="40">
        <f t="shared" si="4"/>
        <v>8.4402174335054345E-3</v>
      </c>
      <c r="K59" s="20">
        <f t="shared" si="8"/>
        <v>2313572.16</v>
      </c>
      <c r="L59" s="93">
        <f t="shared" si="9"/>
        <v>462.71443199999999</v>
      </c>
      <c r="M59" s="73" t="s">
        <v>130</v>
      </c>
    </row>
    <row r="60" spans="1:15" ht="15" customHeight="1">
      <c r="A60" s="18">
        <v>463</v>
      </c>
      <c r="B60" s="19" t="s">
        <v>46</v>
      </c>
      <c r="C60" s="20">
        <v>10650767.319999998</v>
      </c>
      <c r="D60" s="40">
        <f t="shared" si="0"/>
        <v>0.17249323551323162</v>
      </c>
      <c r="E60" s="20">
        <v>20305054.580000043</v>
      </c>
      <c r="F60" s="40">
        <f t="shared" si="7"/>
        <v>0.32884809671881648</v>
      </c>
      <c r="G60" s="20">
        <f t="shared" si="2"/>
        <v>-9654287.2600000445</v>
      </c>
      <c r="H60" s="93">
        <f t="shared" si="3"/>
        <v>-47.546226590837485</v>
      </c>
      <c r="I60" s="20">
        <v>31115184.149999995</v>
      </c>
      <c r="J60" s="40">
        <f t="shared" si="4"/>
        <v>0.52523783941912394</v>
      </c>
      <c r="K60" s="20">
        <f t="shared" si="8"/>
        <v>-20464416.829999998</v>
      </c>
      <c r="L60" s="93">
        <f t="shared" si="9"/>
        <v>-65.769872134920334</v>
      </c>
      <c r="M60" s="73" t="s">
        <v>131</v>
      </c>
    </row>
    <row r="61" spans="1:15" ht="15" customHeight="1">
      <c r="A61" s="18">
        <v>47</v>
      </c>
      <c r="B61" s="19" t="s">
        <v>47</v>
      </c>
      <c r="C61" s="20">
        <v>12162615.539999999</v>
      </c>
      <c r="D61" s="40">
        <f t="shared" si="0"/>
        <v>0.19697819356719459</v>
      </c>
      <c r="E61" s="20">
        <v>28453275.09</v>
      </c>
      <c r="F61" s="40">
        <f t="shared" si="7"/>
        <v>0.46081163298027406</v>
      </c>
      <c r="G61" s="20">
        <f t="shared" si="2"/>
        <v>-16290659.550000001</v>
      </c>
      <c r="H61" s="93">
        <f t="shared" si="3"/>
        <v>-57.254075316361067</v>
      </c>
      <c r="I61" s="20">
        <v>17635221.919999998</v>
      </c>
      <c r="J61" s="40">
        <f t="shared" si="4"/>
        <v>0.29769021498584236</v>
      </c>
      <c r="K61" s="20">
        <f t="shared" si="8"/>
        <v>-5472606.379999999</v>
      </c>
      <c r="L61" s="93">
        <f t="shared" si="9"/>
        <v>-31.03225127999977</v>
      </c>
      <c r="M61" s="73" t="s">
        <v>132</v>
      </c>
    </row>
    <row r="62" spans="1:15" s="2" customFormat="1" ht="15" customHeight="1">
      <c r="A62" s="15"/>
      <c r="B62" s="16" t="s">
        <v>77</v>
      </c>
      <c r="C62" s="17">
        <f>+C6-C39</f>
        <v>176546262.07000041</v>
      </c>
      <c r="D62" s="39">
        <f t="shared" si="0"/>
        <v>2.8592339919994885</v>
      </c>
      <c r="E62" s="17">
        <f>+E6-E39</f>
        <v>-267565324.74626827</v>
      </c>
      <c r="F62" s="39">
        <f t="shared" si="7"/>
        <v>-4.3333223973418242</v>
      </c>
      <c r="G62" s="17">
        <f t="shared" si="2"/>
        <v>444111586.81626868</v>
      </c>
      <c r="H62" s="97">
        <f t="shared" si="3"/>
        <v>-165.98248941166759</v>
      </c>
      <c r="I62" s="17">
        <f>+I6-I39</f>
        <v>-40251856.200000048</v>
      </c>
      <c r="J62" s="39">
        <f t="shared" si="4"/>
        <v>-0.6794688368603885</v>
      </c>
      <c r="K62" s="17">
        <f t="shared" ref="K62" si="10">+C62-I62</f>
        <v>216798118.27000046</v>
      </c>
      <c r="L62" s="97">
        <f t="shared" ref="L62" si="11">+C62/I62*100-100</f>
        <v>-538.60402658896567</v>
      </c>
      <c r="M62" s="82" t="s">
        <v>134</v>
      </c>
    </row>
    <row r="63" spans="1:15" ht="15" customHeight="1">
      <c r="A63" s="94"/>
      <c r="B63" s="95" t="s">
        <v>182</v>
      </c>
      <c r="C63" s="20">
        <v>0</v>
      </c>
      <c r="D63" s="40">
        <f t="shared" si="0"/>
        <v>0</v>
      </c>
      <c r="E63" s="20">
        <v>0</v>
      </c>
      <c r="F63" s="40">
        <f t="shared" si="7"/>
        <v>0</v>
      </c>
      <c r="G63" s="20">
        <f t="shared" ref="G63:G64" si="12">+C63-E63</f>
        <v>0</v>
      </c>
      <c r="H63" s="93" t="e">
        <f t="shared" ref="H63:H64" si="13">+C63/E63*100-100</f>
        <v>#DIV/0!</v>
      </c>
      <c r="I63" s="20">
        <v>0</v>
      </c>
      <c r="J63" s="40">
        <f t="shared" si="4"/>
        <v>0</v>
      </c>
      <c r="K63" s="20">
        <f t="shared" ref="K63:K64" si="14">+C63-I63</f>
        <v>0</v>
      </c>
      <c r="L63" s="93" t="e">
        <f t="shared" ref="L63:L64" si="15">+C63/I63*100-100</f>
        <v>#DIV/0!</v>
      </c>
      <c r="M63" s="73" t="s">
        <v>133</v>
      </c>
    </row>
    <row r="64" spans="1:15" s="2" customFormat="1" ht="15" customHeight="1">
      <c r="A64" s="15"/>
      <c r="B64" s="16" t="s">
        <v>59</v>
      </c>
      <c r="C64" s="17">
        <f>+C62-C63</f>
        <v>176546262.07000041</v>
      </c>
      <c r="D64" s="39">
        <f t="shared" si="0"/>
        <v>2.8592339919994885</v>
      </c>
      <c r="E64" s="17">
        <f>+E62-E63</f>
        <v>-267565324.74626827</v>
      </c>
      <c r="F64" s="39">
        <f t="shared" si="7"/>
        <v>-4.3333223973418242</v>
      </c>
      <c r="G64" s="17">
        <f t="shared" si="12"/>
        <v>444111586.81626868</v>
      </c>
      <c r="H64" s="97">
        <f t="shared" si="13"/>
        <v>-165.98248941166759</v>
      </c>
      <c r="I64" s="17">
        <f>+I62-I63</f>
        <v>-40251856.200000048</v>
      </c>
      <c r="J64" s="39">
        <f t="shared" si="4"/>
        <v>-0.6794688368603885</v>
      </c>
      <c r="K64" s="17">
        <f t="shared" si="14"/>
        <v>216798118.27000046</v>
      </c>
      <c r="L64" s="97">
        <f t="shared" si="15"/>
        <v>-538.60402658896567</v>
      </c>
      <c r="M64" s="82" t="s">
        <v>137</v>
      </c>
    </row>
    <row r="65" spans="1:13" s="2" customFormat="1" ht="15" customHeight="1">
      <c r="A65" s="15"/>
      <c r="B65" s="16" t="s">
        <v>186</v>
      </c>
      <c r="C65" s="17">
        <f>+C64+C46</f>
        <v>255986510.82000041</v>
      </c>
      <c r="D65" s="39">
        <f t="shared" si="0"/>
        <v>4.1457990933825739</v>
      </c>
      <c r="E65" s="17">
        <f>+E64+E46</f>
        <v>-205008049.53626826</v>
      </c>
      <c r="F65" s="39">
        <f t="shared" si="7"/>
        <v>-3.3201834861572936</v>
      </c>
      <c r="G65" s="17">
        <f t="shared" ref="G65" si="16">+C65-E65</f>
        <v>460994560.35626864</v>
      </c>
      <c r="H65" s="97">
        <f t="shared" ref="H65" si="17">+C65/E65*100-100</f>
        <v>-224.86656567829715</v>
      </c>
      <c r="I65" s="17">
        <f>+I64+I46</f>
        <v>17502886.909999952</v>
      </c>
      <c r="J65" s="39">
        <f t="shared" si="4"/>
        <v>0.29545634246891134</v>
      </c>
      <c r="K65" s="17">
        <f t="shared" ref="K65" si="18">+C65-I65</f>
        <v>238483623.91000044</v>
      </c>
      <c r="L65" s="97">
        <f t="shared" ref="L65" si="19">+C65/I65*100-100</f>
        <v>1362.5387922363095</v>
      </c>
      <c r="M65" s="82" t="s">
        <v>136</v>
      </c>
    </row>
    <row r="66" spans="1:13" s="2" customFormat="1" ht="15" customHeight="1">
      <c r="A66" s="15"/>
      <c r="B66" s="16" t="s">
        <v>76</v>
      </c>
      <c r="C66" s="17">
        <f>+C6-(C39-C57)</f>
        <v>290300421.55000043</v>
      </c>
      <c r="D66" s="39">
        <f t="shared" si="0"/>
        <v>4.7015259539079519</v>
      </c>
      <c r="E66" s="17">
        <f>+E6-(E39-E57)</f>
        <v>-80054259.676268339</v>
      </c>
      <c r="F66" s="39">
        <f>+E66/$E$2*100</f>
        <v>-1.2965092423196374</v>
      </c>
      <c r="G66" s="17">
        <f>+C66-E66</f>
        <v>370354681.22626877</v>
      </c>
      <c r="H66" s="97">
        <f t="shared" ref="H66" si="20">+C66/E66*100-100</f>
        <v>-462.62957489576092</v>
      </c>
      <c r="I66" s="17">
        <f>+I6-(I39-I57)</f>
        <v>111979252.25999999</v>
      </c>
      <c r="J66" s="39">
        <f t="shared" si="4"/>
        <v>1.8902584742315094</v>
      </c>
      <c r="K66" s="17">
        <f>+C66-I66</f>
        <v>178321169.29000044</v>
      </c>
      <c r="L66" s="97">
        <f t="shared" ref="L66" si="21">+C66/I66*100-100</f>
        <v>159.24482945819636</v>
      </c>
      <c r="M66" s="82" t="s">
        <v>135</v>
      </c>
    </row>
    <row r="67" spans="1:13" s="2" customFormat="1" ht="15" customHeight="1">
      <c r="A67" s="15"/>
      <c r="B67" s="16" t="s">
        <v>0</v>
      </c>
      <c r="C67" s="17">
        <f>+C68+C69</f>
        <v>214413193.60999998</v>
      </c>
      <c r="D67" s="39">
        <f t="shared" si="0"/>
        <v>3.472503378518446</v>
      </c>
      <c r="E67" s="17">
        <f>+E68+E69</f>
        <v>231389182.88</v>
      </c>
      <c r="F67" s="39">
        <f t="shared" si="7"/>
        <v>3.7474359939105368</v>
      </c>
      <c r="G67" s="17">
        <f t="shared" ref="G67" si="22">+C67-E67</f>
        <v>-16975989.270000011</v>
      </c>
      <c r="H67" s="97">
        <f t="shared" ref="H67" si="23">+C67/E67*100-100</f>
        <v>-7.336552667980115</v>
      </c>
      <c r="I67" s="17">
        <f>+I68+I69</f>
        <v>216900723.28999999</v>
      </c>
      <c r="J67" s="39">
        <f t="shared" si="4"/>
        <v>3.6613785321043926</v>
      </c>
      <c r="K67" s="17">
        <f t="shared" ref="K67" si="24">+C67-I67</f>
        <v>-2487529.6800000072</v>
      </c>
      <c r="L67" s="97">
        <f t="shared" ref="L67" si="25">+C67/I67*100-100</f>
        <v>-1.1468517219622782</v>
      </c>
      <c r="M67" s="82" t="s">
        <v>138</v>
      </c>
    </row>
    <row r="68" spans="1:13">
      <c r="A68" s="21">
        <v>4611</v>
      </c>
      <c r="B68" s="22" t="s">
        <v>179</v>
      </c>
      <c r="C68" s="23">
        <v>62031433.689999998</v>
      </c>
      <c r="D68" s="41">
        <f t="shared" si="0"/>
        <v>1.0046227073818546</v>
      </c>
      <c r="E68" s="23">
        <v>63310944.850000009</v>
      </c>
      <c r="F68" s="41">
        <f t="shared" si="7"/>
        <v>1.0253448782107344</v>
      </c>
      <c r="G68" s="23">
        <f t="shared" ref="G68:G77" si="26">+C68-E68</f>
        <v>-1279511.1600000113</v>
      </c>
      <c r="H68" s="98">
        <f t="shared" ref="H68:H78" si="27">+C68/E68*100-100</f>
        <v>-2.0209952055391085</v>
      </c>
      <c r="I68" s="23">
        <v>27517322.629999995</v>
      </c>
      <c r="J68" s="41">
        <f t="shared" si="4"/>
        <v>0.46450437237023923</v>
      </c>
      <c r="K68" s="23">
        <f t="shared" ref="K68:K71" si="28">+C68-I68</f>
        <v>34514111.060000002</v>
      </c>
      <c r="L68" s="98">
        <f t="shared" ref="L68:L71" si="29">+C68/I68*100-100</f>
        <v>125.42685029382895</v>
      </c>
      <c r="M68" s="74" t="s">
        <v>139</v>
      </c>
    </row>
    <row r="69" spans="1:13" ht="15" customHeight="1">
      <c r="A69" s="21">
        <v>4612</v>
      </c>
      <c r="B69" s="22" t="s">
        <v>180</v>
      </c>
      <c r="C69" s="23">
        <v>152381759.91999999</v>
      </c>
      <c r="D69" s="41">
        <f t="shared" si="0"/>
        <v>2.4678806711365917</v>
      </c>
      <c r="E69" s="23">
        <v>168078238.03</v>
      </c>
      <c r="F69" s="41">
        <f t="shared" si="7"/>
        <v>2.7220911156998024</v>
      </c>
      <c r="G69" s="23">
        <f t="shared" si="26"/>
        <v>-15696478.110000014</v>
      </c>
      <c r="H69" s="98">
        <f t="shared" si="27"/>
        <v>-9.3387926325110442</v>
      </c>
      <c r="I69" s="23">
        <v>189383400.66</v>
      </c>
      <c r="J69" s="41">
        <f t="shared" si="4"/>
        <v>3.1968741597341532</v>
      </c>
      <c r="K69" s="23">
        <f t="shared" si="28"/>
        <v>-37001640.74000001</v>
      </c>
      <c r="L69" s="98">
        <f t="shared" si="29"/>
        <v>-19.537953490669992</v>
      </c>
      <c r="M69" s="74" t="s">
        <v>140</v>
      </c>
    </row>
    <row r="70" spans="1:13" s="2" customFormat="1" ht="15" customHeight="1">
      <c r="A70" s="83">
        <v>4418</v>
      </c>
      <c r="B70" s="16" t="s">
        <v>63</v>
      </c>
      <c r="C70" s="17">
        <v>720866.76</v>
      </c>
      <c r="D70" s="39">
        <f t="shared" si="0"/>
        <v>1.1674711884170635E-2</v>
      </c>
      <c r="E70" s="17">
        <v>749000</v>
      </c>
      <c r="F70" s="39">
        <f t="shared" si="7"/>
        <v>1.2130340426910245E-2</v>
      </c>
      <c r="G70" s="17">
        <f t="shared" si="26"/>
        <v>-28133.239999999991</v>
      </c>
      <c r="H70" s="97">
        <f t="shared" si="27"/>
        <v>-3.7561068090787728</v>
      </c>
      <c r="I70" s="17">
        <v>14999998.93</v>
      </c>
      <c r="J70" s="39">
        <f t="shared" si="4"/>
        <v>0.25320650494309777</v>
      </c>
      <c r="K70" s="17">
        <f t="shared" si="28"/>
        <v>-14279132.17</v>
      </c>
      <c r="L70" s="97">
        <f t="shared" si="29"/>
        <v>-95.194221257187777</v>
      </c>
      <c r="M70" s="82" t="s">
        <v>141</v>
      </c>
    </row>
    <row r="71" spans="1:13" s="2" customFormat="1" ht="15" customHeight="1">
      <c r="A71" s="83">
        <v>45</v>
      </c>
      <c r="B71" s="16" t="s">
        <v>44</v>
      </c>
      <c r="C71" s="17">
        <v>8374138.3399999999</v>
      </c>
      <c r="D71" s="39">
        <f t="shared" si="0"/>
        <v>0.1356223616104687</v>
      </c>
      <c r="E71" s="17">
        <v>0</v>
      </c>
      <c r="F71" s="39">
        <f t="shared" si="7"/>
        <v>0</v>
      </c>
      <c r="G71" s="17">
        <f t="shared" si="26"/>
        <v>8374138.3399999999</v>
      </c>
      <c r="H71" s="97" t="e">
        <f t="shared" si="27"/>
        <v>#DIV/0!</v>
      </c>
      <c r="I71" s="17">
        <v>21298048.790000003</v>
      </c>
      <c r="J71" s="39">
        <f t="shared" si="4"/>
        <v>0.35952032539401468</v>
      </c>
      <c r="K71" s="17">
        <f t="shared" si="28"/>
        <v>-12923910.450000003</v>
      </c>
      <c r="L71" s="97">
        <f t="shared" si="29"/>
        <v>-60.681194683280658</v>
      </c>
      <c r="M71" s="82" t="s">
        <v>108</v>
      </c>
    </row>
    <row r="72" spans="1:13" s="2" customFormat="1" ht="15" customHeight="1">
      <c r="A72" s="15"/>
      <c r="B72" s="16" t="s">
        <v>54</v>
      </c>
      <c r="C72" s="17">
        <f>+C64-C67-C70-C71</f>
        <v>-46961936.639999568</v>
      </c>
      <c r="D72" s="39">
        <f t="shared" si="0"/>
        <v>-0.76056646001359707</v>
      </c>
      <c r="E72" s="17">
        <f>+E64-E67-E70-E71</f>
        <v>-499703507.62626827</v>
      </c>
      <c r="F72" s="39">
        <f t="shared" si="7"/>
        <v>-8.0928887316792704</v>
      </c>
      <c r="G72" s="17">
        <f t="shared" si="26"/>
        <v>452741570.9862687</v>
      </c>
      <c r="H72" s="97">
        <f t="shared" si="27"/>
        <v>-90.602039824959022</v>
      </c>
      <c r="I72" s="17">
        <f>+I64-I67-I70-I71</f>
        <v>-293450627.21000004</v>
      </c>
      <c r="J72" s="39">
        <f t="shared" si="4"/>
        <v>-4.9535741993018929</v>
      </c>
      <c r="K72" s="17">
        <f t="shared" ref="K72:K78" si="30">+C72-I72</f>
        <v>246488690.57000047</v>
      </c>
      <c r="L72" s="97">
        <f t="shared" ref="L72:L78" si="31">+C72/I72*100-100</f>
        <v>-83.996648060870385</v>
      </c>
      <c r="M72" s="82" t="s">
        <v>142</v>
      </c>
    </row>
    <row r="73" spans="1:13" s="2" customFormat="1" ht="15" customHeight="1">
      <c r="A73" s="15"/>
      <c r="B73" s="16" t="s">
        <v>48</v>
      </c>
      <c r="C73" s="17">
        <f>SUM(C74:C78)+C63</f>
        <v>46961936.639999568</v>
      </c>
      <c r="D73" s="39">
        <f t="shared" ref="D73:D78" si="32">+C73/$C$2*100</f>
        <v>0.76056646001359707</v>
      </c>
      <c r="E73" s="17">
        <f>SUM(E74:E78)+E63</f>
        <v>499703507.62626827</v>
      </c>
      <c r="F73" s="39">
        <f t="shared" si="7"/>
        <v>8.0928887316792704</v>
      </c>
      <c r="G73" s="17">
        <f t="shared" si="26"/>
        <v>-452741570.9862687</v>
      </c>
      <c r="H73" s="97">
        <f t="shared" si="27"/>
        <v>-90.602039824959022</v>
      </c>
      <c r="I73" s="17">
        <f>SUM(I74:I78)+I63</f>
        <v>293450627.21000004</v>
      </c>
      <c r="J73" s="39">
        <f t="shared" ref="J73:J78" si="33">+I73/$I$2*100</f>
        <v>4.9535741993018929</v>
      </c>
      <c r="K73" s="17">
        <f t="shared" si="30"/>
        <v>-246488690.57000047</v>
      </c>
      <c r="L73" s="97">
        <f t="shared" si="31"/>
        <v>-83.996648060870385</v>
      </c>
      <c r="M73" s="82" t="s">
        <v>143</v>
      </c>
    </row>
    <row r="74" spans="1:13">
      <c r="A74" s="21">
        <v>7511</v>
      </c>
      <c r="B74" s="22" t="s">
        <v>55</v>
      </c>
      <c r="C74" s="23">
        <v>0</v>
      </c>
      <c r="D74" s="41">
        <f t="shared" si="32"/>
        <v>0</v>
      </c>
      <c r="E74" s="23">
        <v>100000000</v>
      </c>
      <c r="F74" s="41">
        <f t="shared" si="7"/>
        <v>1.6195381077316748</v>
      </c>
      <c r="G74" s="23">
        <f t="shared" si="26"/>
        <v>-100000000</v>
      </c>
      <c r="H74" s="98">
        <f t="shared" si="27"/>
        <v>-100</v>
      </c>
      <c r="I74" s="23">
        <v>0</v>
      </c>
      <c r="J74" s="41">
        <f t="shared" si="33"/>
        <v>0</v>
      </c>
      <c r="K74" s="23">
        <f t="shared" si="30"/>
        <v>0</v>
      </c>
      <c r="L74" s="98" t="e">
        <f t="shared" si="31"/>
        <v>#DIV/0!</v>
      </c>
      <c r="M74" s="74" t="s">
        <v>144</v>
      </c>
    </row>
    <row r="75" spans="1:13" ht="15" customHeight="1">
      <c r="A75" s="21">
        <v>7512</v>
      </c>
      <c r="B75" s="22" t="s">
        <v>49</v>
      </c>
      <c r="C75" s="23">
        <v>119254061.79999998</v>
      </c>
      <c r="D75" s="41">
        <f t="shared" si="32"/>
        <v>1.9313649758688818</v>
      </c>
      <c r="E75" s="23">
        <v>499181830.68901968</v>
      </c>
      <c r="F75" s="41">
        <f t="shared" si="7"/>
        <v>8.084439974881283</v>
      </c>
      <c r="G75" s="23">
        <f t="shared" si="26"/>
        <v>-379927768.88901973</v>
      </c>
      <c r="H75" s="98">
        <f t="shared" si="27"/>
        <v>-76.110095666864751</v>
      </c>
      <c r="I75" s="23">
        <v>100874491.62000002</v>
      </c>
      <c r="J75" s="41">
        <f t="shared" si="33"/>
        <v>1.7028052855342442</v>
      </c>
      <c r="K75" s="23">
        <f t="shared" si="30"/>
        <v>18379570.179999962</v>
      </c>
      <c r="L75" s="98">
        <f t="shared" si="31"/>
        <v>18.220235745263395</v>
      </c>
      <c r="M75" s="74" t="s">
        <v>145</v>
      </c>
    </row>
    <row r="76" spans="1:13" ht="15" customHeight="1">
      <c r="A76" s="18">
        <v>72</v>
      </c>
      <c r="B76" s="19" t="s">
        <v>172</v>
      </c>
      <c r="C76" s="20">
        <v>2417189.5500000003</v>
      </c>
      <c r="D76" s="40">
        <f t="shared" si="32"/>
        <v>3.9147305898357791E-2</v>
      </c>
      <c r="E76" s="20">
        <v>4500000</v>
      </c>
      <c r="F76" s="40">
        <f t="shared" si="7"/>
        <v>7.287921484792538E-2</v>
      </c>
      <c r="G76" s="20">
        <f t="shared" si="26"/>
        <v>-2082810.4499999997</v>
      </c>
      <c r="H76" s="93">
        <f t="shared" si="27"/>
        <v>-46.284676666666655</v>
      </c>
      <c r="I76" s="20">
        <v>3428504.2</v>
      </c>
      <c r="J76" s="40">
        <f t="shared" si="33"/>
        <v>5.7874641839373207E-2</v>
      </c>
      <c r="K76" s="20">
        <f t="shared" si="30"/>
        <v>-1011314.6499999999</v>
      </c>
      <c r="L76" s="93">
        <f t="shared" si="31"/>
        <v>-29.497255683688522</v>
      </c>
      <c r="M76" s="73" t="s">
        <v>146</v>
      </c>
    </row>
    <row r="77" spans="1:13" ht="15" customHeight="1">
      <c r="A77" s="28">
        <v>73</v>
      </c>
      <c r="B77" s="29" t="s">
        <v>187</v>
      </c>
      <c r="C77" s="30">
        <v>10046127.609999999</v>
      </c>
      <c r="D77" s="40">
        <f t="shared" si="32"/>
        <v>0.16270086499530334</v>
      </c>
      <c r="E77" s="30">
        <v>0</v>
      </c>
      <c r="F77" s="40">
        <f t="shared" si="7"/>
        <v>0</v>
      </c>
      <c r="G77" s="20">
        <f t="shared" si="26"/>
        <v>10046127.609999999</v>
      </c>
      <c r="H77" s="93" t="e">
        <f t="shared" si="27"/>
        <v>#DIV/0!</v>
      </c>
      <c r="I77" s="30">
        <v>11957902.730000002</v>
      </c>
      <c r="J77" s="40">
        <f>+I77/$I$2*100</f>
        <v>0.20185459817981649</v>
      </c>
      <c r="K77" s="20">
        <f t="shared" si="30"/>
        <v>-1911775.1200000029</v>
      </c>
      <c r="L77" s="93">
        <f t="shared" si="31"/>
        <v>-15.987545334381579</v>
      </c>
      <c r="M77" s="73" t="s">
        <v>108</v>
      </c>
    </row>
    <row r="78" spans="1:13" ht="15" customHeight="1" thickBot="1">
      <c r="A78" s="24"/>
      <c r="B78" s="25" t="s">
        <v>50</v>
      </c>
      <c r="C78" s="26">
        <f>+-C72-(SUM(C74:C77)+C63)</f>
        <v>-84755442.32000041</v>
      </c>
      <c r="D78" s="42">
        <f t="shared" si="32"/>
        <v>-1.3726466867489457</v>
      </c>
      <c r="E78" s="26">
        <f>+-E72-(SUM(E74:E77)+E63)</f>
        <v>-103978323.06275141</v>
      </c>
      <c r="F78" s="42">
        <f t="shared" si="7"/>
        <v>-1.6839685657816121</v>
      </c>
      <c r="G78" s="26">
        <f>+C78-E78</f>
        <v>19222880.742751002</v>
      </c>
      <c r="H78" s="99">
        <f t="shared" si="27"/>
        <v>-18.487392541568397</v>
      </c>
      <c r="I78" s="26">
        <f>+-I72-(SUM(I74:I77)+I63)</f>
        <v>177189728.66000003</v>
      </c>
      <c r="J78" s="42">
        <f t="shared" si="33"/>
        <v>2.9910396737484595</v>
      </c>
      <c r="K78" s="26">
        <f t="shared" si="30"/>
        <v>-261945170.98000044</v>
      </c>
      <c r="L78" s="99">
        <f t="shared" si="31"/>
        <v>-147.83315768976266</v>
      </c>
      <c r="M78" s="77" t="s">
        <v>147</v>
      </c>
    </row>
    <row r="79" spans="1:13" ht="13.5" customHeight="1"/>
    <row r="82" spans="9:9">
      <c r="I82" s="7"/>
    </row>
  </sheetData>
  <sheetProtection algorithmName="SHA-512" hashValue="O0Keogy4Vn6m+SpNdMvf/Y6i189WO0pPJVeZJoiC0GnrrtYt1xs/I0wByFGZveCd1bZ7i4HjldOpOXnrpejElA==" saltValue="JBC4M81tQBaMyWKb1Jr9lw=="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9"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0"/>
  <sheetViews>
    <sheetView zoomScale="90" zoomScaleNormal="90" zoomScaleSheetLayoutView="90" workbookViewId="0">
      <pane ySplit="5" topLeftCell="A38" activePane="bottomLeft" state="frozen"/>
      <selection activeCell="G14" sqref="G14"/>
      <selection pane="bottomLeft" activeCell="A2" sqref="A2:M73"/>
    </sheetView>
  </sheetViews>
  <sheetFormatPr defaultColWidth="9.140625" defaultRowHeight="13.5"/>
  <cols>
    <col min="1" max="1" width="13.140625" style="4" customWidth="1"/>
    <col min="2" max="2" width="63.7109375" style="4" customWidth="1"/>
    <col min="3" max="3" width="9.140625" style="6" customWidth="1"/>
    <col min="4" max="4" width="9.140625" style="4" customWidth="1"/>
    <col min="5" max="5" width="9.140625" style="6" customWidth="1"/>
    <col min="6" max="6" width="10" style="7" customWidth="1"/>
    <col min="7" max="7" width="11.42578125" style="6" customWidth="1"/>
    <col min="8" max="8" width="10.42578125" style="100" customWidth="1"/>
    <col min="9" max="9" width="9.140625" style="6"/>
    <col min="10" max="10" width="10.42578125" style="7" customWidth="1"/>
    <col min="11" max="11" width="11.140625" style="6" customWidth="1"/>
    <col min="12" max="12" width="11.7109375" style="100"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58</v>
      </c>
      <c r="B2" s="8"/>
      <c r="C2" s="111">
        <f>+'Centralna država-ek klas'!C2:D2</f>
        <v>6174600000</v>
      </c>
      <c r="D2" s="112"/>
      <c r="E2" s="111">
        <f>+'Centralna država-ek klas'!E2:F2</f>
        <v>6174600000</v>
      </c>
      <c r="F2" s="112"/>
      <c r="G2" s="9"/>
      <c r="H2" s="101"/>
      <c r="I2" s="111">
        <f>+'Centralna država-ek klas'!I2:J2</f>
        <v>5924018000</v>
      </c>
      <c r="J2" s="112"/>
      <c r="K2" s="9"/>
      <c r="L2" s="101"/>
      <c r="M2" s="8" t="s">
        <v>78</v>
      </c>
    </row>
    <row r="3" spans="1:16384" ht="15" customHeight="1" thickBot="1">
      <c r="A3" s="8"/>
      <c r="B3" s="8"/>
      <c r="C3" s="11"/>
      <c r="D3" s="8"/>
      <c r="E3" s="11"/>
      <c r="F3" s="10"/>
      <c r="G3" s="11"/>
      <c r="H3" s="101"/>
      <c r="I3" s="11"/>
      <c r="J3" s="10"/>
      <c r="K3" s="11"/>
      <c r="L3" s="101"/>
      <c r="M3" s="8"/>
    </row>
    <row r="4" spans="1:16384" ht="15" customHeight="1">
      <c r="A4" s="117" t="s">
        <v>70</v>
      </c>
      <c r="B4" s="115" t="s">
        <v>71</v>
      </c>
      <c r="C4" s="121" t="s">
        <v>189</v>
      </c>
      <c r="D4" s="122"/>
      <c r="E4" s="119" t="s">
        <v>190</v>
      </c>
      <c r="F4" s="120"/>
      <c r="G4" s="119" t="s">
        <v>171</v>
      </c>
      <c r="H4" s="120"/>
      <c r="I4" s="119" t="s">
        <v>192</v>
      </c>
      <c r="J4" s="120"/>
      <c r="K4" s="119" t="s">
        <v>171</v>
      </c>
      <c r="L4" s="120"/>
      <c r="M4" s="113" t="s">
        <v>148</v>
      </c>
    </row>
    <row r="5" spans="1:16384" ht="23.25" customHeight="1">
      <c r="A5" s="118"/>
      <c r="B5" s="116"/>
      <c r="C5" s="12" t="s">
        <v>61</v>
      </c>
      <c r="D5" s="13" t="s">
        <v>56</v>
      </c>
      <c r="E5" s="12" t="s">
        <v>61</v>
      </c>
      <c r="F5" s="13" t="s">
        <v>56</v>
      </c>
      <c r="G5" s="12" t="s">
        <v>64</v>
      </c>
      <c r="H5" s="102" t="s">
        <v>62</v>
      </c>
      <c r="I5" s="12" t="s">
        <v>61</v>
      </c>
      <c r="J5" s="14" t="s">
        <v>56</v>
      </c>
      <c r="K5" s="12" t="s">
        <v>61</v>
      </c>
      <c r="L5" s="104" t="s">
        <v>62</v>
      </c>
      <c r="M5" s="114"/>
    </row>
    <row r="6" spans="1:16384" s="34" customFormat="1" ht="15" customHeight="1">
      <c r="A6" s="31"/>
      <c r="B6" s="32" t="s">
        <v>51</v>
      </c>
      <c r="C6" s="33">
        <f>+C7+C12+C19+C30+C35+C36</f>
        <v>259737037.70000005</v>
      </c>
      <c r="D6" s="43">
        <f>+C6/$C$2*100</f>
        <v>4.2065403054448876</v>
      </c>
      <c r="E6" s="33">
        <f>+E7+E12+E19+E30+E35+E36</f>
        <v>249840479.715</v>
      </c>
      <c r="F6" s="43">
        <f t="shared" ref="F6:F62" si="0">+E6/$E$2*100</f>
        <v>4.0462617775240499</v>
      </c>
      <c r="G6" s="33">
        <f>+C6-E6</f>
        <v>9896557.9850000441</v>
      </c>
      <c r="H6" s="103">
        <f>+C6/E6*100-100</f>
        <v>3.9611507295732622</v>
      </c>
      <c r="I6" s="33">
        <f>+I7+I12+I19+I30+I35+I36</f>
        <v>189307856.28999996</v>
      </c>
      <c r="J6" s="43">
        <f>+I6/$I$2*100</f>
        <v>3.1955989379167984</v>
      </c>
      <c r="K6" s="33">
        <f>+C6-I6</f>
        <v>70429181.410000086</v>
      </c>
      <c r="L6" s="103">
        <f>+C6/I6*100-100</f>
        <v>37.203517482185163</v>
      </c>
      <c r="M6" s="72" t="s">
        <v>149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149564114.19000003</v>
      </c>
      <c r="D7" s="40">
        <f t="shared" ref="D7:D66" si="1">+C7/$C$2*100</f>
        <v>2.4222478247983679</v>
      </c>
      <c r="E7" s="20">
        <f>+SUM(E8:E11)</f>
        <v>139169651.25</v>
      </c>
      <c r="F7" s="40">
        <f t="shared" si="0"/>
        <v>2.2539055363910214</v>
      </c>
      <c r="G7" s="20">
        <f t="shared" ref="G7:G65" si="2">+C7-E7</f>
        <v>10394462.940000027</v>
      </c>
      <c r="H7" s="93">
        <f t="shared" ref="H7:H65" si="3">+C7/E7*100-100</f>
        <v>7.468914987311237</v>
      </c>
      <c r="I7" s="69">
        <f>+SUM(I8:I11)</f>
        <v>111674139.02999999</v>
      </c>
      <c r="J7" s="40">
        <f t="shared" ref="J7:J66" si="4">+I7/$I$2*100</f>
        <v>1.8851080302254311</v>
      </c>
      <c r="K7" s="20">
        <f>+C7-I7</f>
        <v>37889975.160000041</v>
      </c>
      <c r="L7" s="93">
        <f t="shared" ref="L7:L65" si="5">+C7/I7*100-100</f>
        <v>33.929050619160193</v>
      </c>
      <c r="M7" s="73" t="s">
        <v>79</v>
      </c>
    </row>
    <row r="8" spans="1:16384" ht="15" customHeight="1">
      <c r="A8" s="21">
        <v>7111</v>
      </c>
      <c r="B8" s="22" t="s">
        <v>2</v>
      </c>
      <c r="C8" s="23">
        <v>55118971.920000009</v>
      </c>
      <c r="D8" s="41">
        <f t="shared" si="1"/>
        <v>0.8926727548343214</v>
      </c>
      <c r="E8" s="23">
        <v>50781682.5</v>
      </c>
      <c r="F8" s="41">
        <f t="shared" si="0"/>
        <v>0.82242869983480715</v>
      </c>
      <c r="G8" s="23">
        <f t="shared" si="2"/>
        <v>4337289.4200000092</v>
      </c>
      <c r="H8" s="98">
        <f t="shared" si="3"/>
        <v>8.5410510374484261</v>
      </c>
      <c r="I8" s="23">
        <v>29404518.069999997</v>
      </c>
      <c r="J8" s="41">
        <f t="shared" si="4"/>
        <v>0.49636105207647907</v>
      </c>
      <c r="K8" s="23">
        <f t="shared" ref="K8:K65" si="6">+C8-I8</f>
        <v>25714453.850000013</v>
      </c>
      <c r="L8" s="98">
        <f t="shared" si="5"/>
        <v>87.450689682396899</v>
      </c>
      <c r="M8" s="74" t="s">
        <v>80</v>
      </c>
    </row>
    <row r="9" spans="1:16384" ht="15" customHeight="1">
      <c r="A9" s="21">
        <v>71131</v>
      </c>
      <c r="B9" s="22" t="s">
        <v>66</v>
      </c>
      <c r="C9" s="23">
        <v>62267636.810000002</v>
      </c>
      <c r="D9" s="41">
        <f t="shared" si="1"/>
        <v>1.0084481069219058</v>
      </c>
      <c r="E9" s="23">
        <v>61435500</v>
      </c>
      <c r="F9" s="41">
        <f t="shared" si="0"/>
        <v>0.99497133417549322</v>
      </c>
      <c r="G9" s="23">
        <f t="shared" ref="G9" si="7">+C9-E9</f>
        <v>832136.81000000238</v>
      </c>
      <c r="H9" s="98">
        <f t="shared" ref="H9" si="8">+C9/E9*100-100</f>
        <v>1.3544885448966824</v>
      </c>
      <c r="I9" s="23">
        <v>54882429.019999988</v>
      </c>
      <c r="J9" s="41">
        <f t="shared" ref="J9" si="9">+I9/$I$2*100</f>
        <v>0.92643926841545698</v>
      </c>
      <c r="K9" s="23">
        <f t="shared" ref="K9" si="10">+C9-I9</f>
        <v>7385207.790000014</v>
      </c>
      <c r="L9" s="98">
        <f t="shared" ref="L9" si="11">+C9/I9*100-100</f>
        <v>13.456415690545938</v>
      </c>
      <c r="M9" s="74" t="s">
        <v>150</v>
      </c>
    </row>
    <row r="10" spans="1:16384" ht="15" customHeight="1">
      <c r="A10" s="21">
        <v>71132</v>
      </c>
      <c r="B10" s="22" t="s">
        <v>4</v>
      </c>
      <c r="C10" s="23">
        <v>17286736.049999997</v>
      </c>
      <c r="D10" s="41">
        <f t="shared" si="1"/>
        <v>0.27996527791273923</v>
      </c>
      <c r="E10" s="23">
        <v>14509968.75</v>
      </c>
      <c r="F10" s="41">
        <f t="shared" si="0"/>
        <v>0.23499447332620735</v>
      </c>
      <c r="G10" s="23">
        <f t="shared" si="2"/>
        <v>2776767.299999997</v>
      </c>
      <c r="H10" s="98">
        <f t="shared" si="3"/>
        <v>19.136962648523934</v>
      </c>
      <c r="I10" s="23">
        <v>15709833.200000003</v>
      </c>
      <c r="J10" s="41">
        <f t="shared" si="4"/>
        <v>0.26518881610420503</v>
      </c>
      <c r="K10" s="23">
        <f t="shared" si="6"/>
        <v>1576902.849999994</v>
      </c>
      <c r="L10" s="98">
        <f t="shared" si="5"/>
        <v>10.03768041280027</v>
      </c>
      <c r="M10" s="74" t="s">
        <v>82</v>
      </c>
    </row>
    <row r="11" spans="1:16384" ht="15" customHeight="1">
      <c r="A11" s="21"/>
      <c r="B11" s="22" t="s">
        <v>159</v>
      </c>
      <c r="C11" s="23">
        <v>14890769.41</v>
      </c>
      <c r="D11" s="41">
        <f t="shared" si="1"/>
        <v>0.24116168512940112</v>
      </c>
      <c r="E11" s="23">
        <v>12442500</v>
      </c>
      <c r="F11" s="41">
        <f t="shared" si="0"/>
        <v>0.20151102905451365</v>
      </c>
      <c r="G11" s="23">
        <f t="shared" si="2"/>
        <v>2448269.41</v>
      </c>
      <c r="H11" s="98">
        <f t="shared" si="3"/>
        <v>19.676667952581866</v>
      </c>
      <c r="I11" s="23">
        <v>11677358.739999998</v>
      </c>
      <c r="J11" s="41">
        <f t="shared" si="4"/>
        <v>0.19711889362929008</v>
      </c>
      <c r="K11" s="23">
        <f t="shared" si="6"/>
        <v>3213410.6700000018</v>
      </c>
      <c r="L11" s="98">
        <f t="shared" si="5"/>
        <v>27.518300512535276</v>
      </c>
      <c r="M11" s="74" t="s">
        <v>160</v>
      </c>
      <c r="P11" s="87"/>
    </row>
    <row r="12" spans="1:16384" ht="15" customHeight="1">
      <c r="A12" s="18">
        <v>713</v>
      </c>
      <c r="B12" s="19" t="s">
        <v>13</v>
      </c>
      <c r="C12" s="69">
        <f>SUM(C13:C18)</f>
        <v>3501915.0600000005</v>
      </c>
      <c r="D12" s="40">
        <f t="shared" si="1"/>
        <v>5.6714848897094564E-2</v>
      </c>
      <c r="E12" s="20">
        <f>SUM(E13:E18)</f>
        <v>3711000</v>
      </c>
      <c r="F12" s="40">
        <f t="shared" si="0"/>
        <v>6.010105917792246E-2</v>
      </c>
      <c r="G12" s="20">
        <f t="shared" si="2"/>
        <v>-209084.93999999948</v>
      </c>
      <c r="H12" s="93">
        <f t="shared" si="3"/>
        <v>-5.6341940177849494</v>
      </c>
      <c r="I12" s="69">
        <f>I13+I17+I18</f>
        <v>3230012.62</v>
      </c>
      <c r="J12" s="40">
        <f t="shared" si="4"/>
        <v>5.4524017651533134E-2</v>
      </c>
      <c r="K12" s="20">
        <f t="shared" si="6"/>
        <v>271902.44000000041</v>
      </c>
      <c r="L12" s="93">
        <f t="shared" si="5"/>
        <v>8.417999308002706</v>
      </c>
      <c r="M12" s="73" t="s">
        <v>92</v>
      </c>
    </row>
    <row r="13" spans="1:16384">
      <c r="A13" s="21">
        <v>7131</v>
      </c>
      <c r="B13" s="22" t="s">
        <v>14</v>
      </c>
      <c r="C13" s="23">
        <v>885299.2300000001</v>
      </c>
      <c r="D13" s="41">
        <f t="shared" si="1"/>
        <v>1.4337758397305091E-2</v>
      </c>
      <c r="E13" s="23">
        <v>839625</v>
      </c>
      <c r="F13" s="41">
        <f t="shared" si="0"/>
        <v>1.3598046837042074E-2</v>
      </c>
      <c r="G13" s="23">
        <f t="shared" si="2"/>
        <v>45674.230000000098</v>
      </c>
      <c r="H13" s="98">
        <f t="shared" si="3"/>
        <v>5.439836831919024</v>
      </c>
      <c r="I13" s="23">
        <v>760694.89</v>
      </c>
      <c r="J13" s="41">
        <f t="shared" si="4"/>
        <v>1.2840860544312998E-2</v>
      </c>
      <c r="K13" s="23">
        <f t="shared" si="6"/>
        <v>124604.34000000008</v>
      </c>
      <c r="L13" s="98">
        <f t="shared" si="5"/>
        <v>16.380330884042095</v>
      </c>
      <c r="M13" s="74" t="s">
        <v>93</v>
      </c>
      <c r="P13" s="86"/>
    </row>
    <row r="14" spans="1:16384" hidden="1">
      <c r="A14" s="21">
        <v>7132</v>
      </c>
      <c r="B14" s="22" t="s">
        <v>15</v>
      </c>
      <c r="C14" s="23"/>
      <c r="D14" s="41">
        <f t="shared" si="1"/>
        <v>0</v>
      </c>
      <c r="E14" s="23">
        <v>0</v>
      </c>
      <c r="F14" s="41">
        <f t="shared" si="0"/>
        <v>0</v>
      </c>
      <c r="G14" s="23">
        <f t="shared" si="2"/>
        <v>0</v>
      </c>
      <c r="H14" s="98" t="e">
        <f t="shared" si="3"/>
        <v>#DIV/0!</v>
      </c>
      <c r="I14" s="23"/>
      <c r="J14" s="41">
        <f t="shared" si="4"/>
        <v>0</v>
      </c>
      <c r="K14" s="23">
        <f t="shared" si="6"/>
        <v>0</v>
      </c>
      <c r="L14" s="98" t="e">
        <f t="shared" si="5"/>
        <v>#DIV/0!</v>
      </c>
      <c r="M14" s="74" t="s">
        <v>94</v>
      </c>
    </row>
    <row r="15" spans="1:16384" ht="14.25" hidden="1" customHeight="1">
      <c r="A15" s="21">
        <v>7133</v>
      </c>
      <c r="B15" s="22" t="s">
        <v>16</v>
      </c>
      <c r="C15" s="23"/>
      <c r="D15" s="41">
        <f t="shared" si="1"/>
        <v>0</v>
      </c>
      <c r="E15" s="23">
        <v>0</v>
      </c>
      <c r="F15" s="41">
        <f t="shared" si="0"/>
        <v>0</v>
      </c>
      <c r="G15" s="23">
        <f t="shared" si="2"/>
        <v>0</v>
      </c>
      <c r="H15" s="98" t="e">
        <f t="shared" si="3"/>
        <v>#DIV/0!</v>
      </c>
      <c r="I15" s="23"/>
      <c r="J15" s="41">
        <f t="shared" si="4"/>
        <v>0</v>
      </c>
      <c r="K15" s="23">
        <f t="shared" si="6"/>
        <v>0</v>
      </c>
      <c r="L15" s="98" t="e">
        <f t="shared" si="5"/>
        <v>#DIV/0!</v>
      </c>
      <c r="M15" s="74" t="s">
        <v>156</v>
      </c>
    </row>
    <row r="16" spans="1:16384" hidden="1">
      <c r="A16" s="21">
        <v>7134</v>
      </c>
      <c r="B16" s="22" t="s">
        <v>151</v>
      </c>
      <c r="C16" s="23"/>
      <c r="D16" s="41">
        <f t="shared" si="1"/>
        <v>0</v>
      </c>
      <c r="E16" s="23">
        <v>0</v>
      </c>
      <c r="F16" s="41">
        <f t="shared" ref="F16:F17" si="12">+E16/$E$2*100</f>
        <v>0</v>
      </c>
      <c r="G16" s="23">
        <f t="shared" ref="G16:G17" si="13">+C16-E16</f>
        <v>0</v>
      </c>
      <c r="H16" s="98" t="e">
        <f t="shared" ref="H16:H17" si="14">+C16/E16*100-100</f>
        <v>#DIV/0!</v>
      </c>
      <c r="I16" s="23"/>
      <c r="J16" s="41">
        <f t="shared" ref="J16:J17" si="15">+I16/$I$2*100</f>
        <v>0</v>
      </c>
      <c r="K16" s="23">
        <f t="shared" ref="K16:K17" si="16">+C16-I16</f>
        <v>0</v>
      </c>
      <c r="L16" s="98" t="e">
        <f t="shared" ref="L16:L17" si="17">+C16/I16*100-100</f>
        <v>#DIV/0!</v>
      </c>
      <c r="M16" s="74" t="s">
        <v>155</v>
      </c>
    </row>
    <row r="17" spans="1:16" ht="15" customHeight="1">
      <c r="A17" s="21">
        <v>7135</v>
      </c>
      <c r="B17" s="22" t="s">
        <v>17</v>
      </c>
      <c r="C17" s="23">
        <v>1891950.05</v>
      </c>
      <c r="D17" s="41">
        <f t="shared" si="1"/>
        <v>3.0640852038998478E-2</v>
      </c>
      <c r="E17" s="23">
        <v>2161875</v>
      </c>
      <c r="F17" s="41">
        <f t="shared" si="12"/>
        <v>3.5012389466524144E-2</v>
      </c>
      <c r="G17" s="23">
        <f t="shared" si="13"/>
        <v>-269924.94999999995</v>
      </c>
      <c r="H17" s="98">
        <f t="shared" si="14"/>
        <v>-12.485687192830298</v>
      </c>
      <c r="I17" s="23">
        <v>1786140.48</v>
      </c>
      <c r="J17" s="41">
        <f t="shared" si="15"/>
        <v>3.0150828035971529E-2</v>
      </c>
      <c r="K17" s="23">
        <f t="shared" si="16"/>
        <v>105809.57000000007</v>
      </c>
      <c r="L17" s="98">
        <f t="shared" si="17"/>
        <v>5.9239220646295507</v>
      </c>
      <c r="M17" s="74" t="s">
        <v>154</v>
      </c>
    </row>
    <row r="18" spans="1:16" ht="15" customHeight="1">
      <c r="A18" s="21">
        <v>7136</v>
      </c>
      <c r="B18" s="22" t="s">
        <v>18</v>
      </c>
      <c r="C18" s="23">
        <v>724665.78</v>
      </c>
      <c r="D18" s="41">
        <f t="shared" si="1"/>
        <v>1.1736238460790983E-2</v>
      </c>
      <c r="E18" s="23">
        <v>709500</v>
      </c>
      <c r="F18" s="41">
        <f t="shared" si="0"/>
        <v>1.1490622874356234E-2</v>
      </c>
      <c r="G18" s="23">
        <f t="shared" si="2"/>
        <v>15165.780000000028</v>
      </c>
      <c r="H18" s="98">
        <f t="shared" si="3"/>
        <v>2.1375306553911315</v>
      </c>
      <c r="I18" s="23">
        <v>683177.24999999988</v>
      </c>
      <c r="J18" s="41">
        <f t="shared" si="4"/>
        <v>1.15323290712486E-2</v>
      </c>
      <c r="K18" s="23">
        <f t="shared" si="6"/>
        <v>41488.530000000144</v>
      </c>
      <c r="L18" s="98">
        <f t="shared" si="5"/>
        <v>6.0728793296322721</v>
      </c>
      <c r="M18" s="74" t="s">
        <v>96</v>
      </c>
    </row>
    <row r="19" spans="1:16" ht="15" customHeight="1">
      <c r="A19" s="18">
        <v>714</v>
      </c>
      <c r="B19" s="19" t="s">
        <v>19</v>
      </c>
      <c r="C19" s="20">
        <f>+SUM(C20:C29)</f>
        <v>56909031.960000001</v>
      </c>
      <c r="D19" s="40">
        <f t="shared" si="1"/>
        <v>0.92166345933339811</v>
      </c>
      <c r="E19" s="20">
        <f>+SUM(E20:E29)</f>
        <v>48673800</v>
      </c>
      <c r="F19" s="40">
        <f t="shared" si="0"/>
        <v>0.78829073948109996</v>
      </c>
      <c r="G19" s="20">
        <f t="shared" si="2"/>
        <v>8235231.9600000009</v>
      </c>
      <c r="H19" s="93">
        <f t="shared" si="3"/>
        <v>16.919229564981578</v>
      </c>
      <c r="I19" s="69">
        <f>+SUM(I20:I29)</f>
        <v>41785717.149999999</v>
      </c>
      <c r="J19" s="40">
        <f t="shared" si="4"/>
        <v>0.70536107672191406</v>
      </c>
      <c r="K19" s="20">
        <f t="shared" si="6"/>
        <v>15123314.810000002</v>
      </c>
      <c r="L19" s="93">
        <f t="shared" si="5"/>
        <v>36.192545782357143</v>
      </c>
      <c r="M19" s="73" t="s">
        <v>97</v>
      </c>
      <c r="P19" s="86"/>
    </row>
    <row r="20" spans="1:16" ht="15" customHeight="1">
      <c r="A20" s="21">
        <v>7141</v>
      </c>
      <c r="B20" s="22" t="s">
        <v>20</v>
      </c>
      <c r="C20" s="23">
        <v>3751084.5799999996</v>
      </c>
      <c r="D20" s="41">
        <f t="shared" si="1"/>
        <v>6.0750244226346638E-2</v>
      </c>
      <c r="E20" s="23">
        <v>4605300</v>
      </c>
      <c r="F20" s="41">
        <f t="shared" si="0"/>
        <v>7.4584588475366836E-2</v>
      </c>
      <c r="G20" s="23">
        <f t="shared" si="2"/>
        <v>-854215.42000000039</v>
      </c>
      <c r="H20" s="98">
        <f t="shared" si="3"/>
        <v>-18.548529303194144</v>
      </c>
      <c r="I20" s="23">
        <v>2647630.209999999</v>
      </c>
      <c r="J20" s="41">
        <f t="shared" si="4"/>
        <v>4.4693149311835295E-2</v>
      </c>
      <c r="K20" s="23">
        <f t="shared" si="6"/>
        <v>1103454.3700000006</v>
      </c>
      <c r="L20" s="98">
        <f t="shared" si="5"/>
        <v>41.677057688505556</v>
      </c>
      <c r="M20" s="74" t="s">
        <v>98</v>
      </c>
      <c r="P20" s="80"/>
    </row>
    <row r="21" spans="1:16" ht="15" customHeight="1">
      <c r="A21" s="21">
        <v>7142</v>
      </c>
      <c r="B21" s="22" t="s">
        <v>21</v>
      </c>
      <c r="C21" s="23">
        <v>10725242.540000001</v>
      </c>
      <c r="D21" s="41">
        <f t="shared" si="1"/>
        <v>0.17369939008194865</v>
      </c>
      <c r="E21" s="23">
        <v>5579625</v>
      </c>
      <c r="F21" s="41">
        <f t="shared" si="0"/>
        <v>9.036415314352346E-2</v>
      </c>
      <c r="G21" s="23">
        <f t="shared" si="2"/>
        <v>5145617.540000001</v>
      </c>
      <c r="H21" s="98">
        <f t="shared" si="3"/>
        <v>92.221565786231167</v>
      </c>
      <c r="I21" s="23">
        <v>3835220.4000000004</v>
      </c>
      <c r="J21" s="41">
        <f t="shared" si="4"/>
        <v>6.4740188162831377E-2</v>
      </c>
      <c r="K21" s="23">
        <f t="shared" si="6"/>
        <v>6890022.1400000006</v>
      </c>
      <c r="L21" s="98">
        <f t="shared" si="5"/>
        <v>179.6512695854455</v>
      </c>
      <c r="M21" s="74" t="s">
        <v>99</v>
      </c>
    </row>
    <row r="22" spans="1:16" hidden="1">
      <c r="A22" s="21">
        <v>7143</v>
      </c>
      <c r="B22" s="22" t="s">
        <v>22</v>
      </c>
      <c r="C22" s="23"/>
      <c r="D22" s="41">
        <f t="shared" si="1"/>
        <v>0</v>
      </c>
      <c r="E22" s="23"/>
      <c r="F22" s="41">
        <f t="shared" si="0"/>
        <v>0</v>
      </c>
      <c r="G22" s="23">
        <f t="shared" si="2"/>
        <v>0</v>
      </c>
      <c r="H22" s="98" t="e">
        <f t="shared" si="3"/>
        <v>#DIV/0!</v>
      </c>
      <c r="I22" s="23"/>
      <c r="J22" s="41">
        <f t="shared" si="4"/>
        <v>0</v>
      </c>
      <c r="K22" s="23">
        <f t="shared" si="6"/>
        <v>0</v>
      </c>
      <c r="L22" s="98" t="e">
        <f t="shared" si="5"/>
        <v>#DIV/0!</v>
      </c>
      <c r="M22" s="74" t="s">
        <v>100</v>
      </c>
    </row>
    <row r="23" spans="1:16" hidden="1">
      <c r="A23" s="21">
        <v>7144</v>
      </c>
      <c r="B23" s="22" t="s">
        <v>23</v>
      </c>
      <c r="C23" s="23"/>
      <c r="D23" s="41">
        <f>+C23/$C$2*100</f>
        <v>0</v>
      </c>
      <c r="E23" s="23"/>
      <c r="F23" s="41">
        <f>+E23/$E$2*100</f>
        <v>0</v>
      </c>
      <c r="G23" s="23">
        <f>+C23-E23</f>
        <v>0</v>
      </c>
      <c r="H23" s="98" t="e">
        <f>+C23/E23*100-100</f>
        <v>#DIV/0!</v>
      </c>
      <c r="I23" s="23"/>
      <c r="J23" s="41">
        <f>+I23/$I$2*100</f>
        <v>0</v>
      </c>
      <c r="K23" s="23">
        <f>+C23-I23</f>
        <v>0</v>
      </c>
      <c r="L23" s="98" t="e">
        <f>+C23/I23*100-100</f>
        <v>#DIV/0!</v>
      </c>
      <c r="M23" s="74" t="s">
        <v>101</v>
      </c>
    </row>
    <row r="24" spans="1:16" ht="15.75" hidden="1" customHeight="1">
      <c r="A24" s="21"/>
      <c r="B24" s="22" t="s">
        <v>24</v>
      </c>
      <c r="C24" s="23"/>
      <c r="D24" s="41"/>
      <c r="E24" s="23"/>
      <c r="F24" s="41">
        <f>+E24/$E$2*100</f>
        <v>0</v>
      </c>
      <c r="G24" s="23"/>
      <c r="H24" s="98"/>
      <c r="I24" s="23"/>
      <c r="J24" s="41">
        <f>+I24/$I$2*100</f>
        <v>0</v>
      </c>
      <c r="K24" s="23">
        <f>+C24-I24</f>
        <v>0</v>
      </c>
      <c r="L24" s="98" t="e">
        <f>+C24/I24*100-100</f>
        <v>#DIV/0!</v>
      </c>
      <c r="M24" s="74"/>
    </row>
    <row r="25" spans="1:16" ht="17.25" hidden="1" customHeight="1">
      <c r="A25" s="21">
        <v>7145</v>
      </c>
      <c r="B25" s="22" t="s">
        <v>67</v>
      </c>
      <c r="C25" s="23"/>
      <c r="D25" s="41">
        <f t="shared" ref="D25:D29" si="18">+C25/$C$2*100</f>
        <v>0</v>
      </c>
      <c r="E25" s="23"/>
      <c r="F25" s="41">
        <f t="shared" ref="F25:F29" si="19">+E25/$E$2*100</f>
        <v>0</v>
      </c>
      <c r="G25" s="23">
        <f t="shared" ref="G25:G27" si="20">+C25-E25</f>
        <v>0</v>
      </c>
      <c r="H25" s="98" t="e">
        <f t="shared" ref="H25:H27" si="21">+C25/E25*100-100</f>
        <v>#DIV/0!</v>
      </c>
      <c r="I25" s="23"/>
      <c r="J25" s="41">
        <f t="shared" ref="J25:J27" si="22">+I25/$I$2*100</f>
        <v>0</v>
      </c>
      <c r="K25" s="23">
        <f t="shared" ref="K25:K27" si="23">+C25-I25</f>
        <v>0</v>
      </c>
      <c r="L25" s="98" t="e">
        <f t="shared" ref="L25:L27" si="24">+C25/I25*100-100</f>
        <v>#DIV/0!</v>
      </c>
      <c r="M25" s="74" t="s">
        <v>157</v>
      </c>
    </row>
    <row r="26" spans="1:16" ht="15" customHeight="1">
      <c r="A26" s="21">
        <v>7146</v>
      </c>
      <c r="B26" s="22" t="s">
        <v>184</v>
      </c>
      <c r="C26" s="23">
        <v>35747059.849999994</v>
      </c>
      <c r="D26" s="41">
        <f t="shared" si="18"/>
        <v>0.57893725666439921</v>
      </c>
      <c r="E26" s="23">
        <v>29583750</v>
      </c>
      <c r="F26" s="41">
        <f t="shared" si="19"/>
        <v>0.47912010494606933</v>
      </c>
      <c r="G26" s="23">
        <f t="shared" si="20"/>
        <v>6163309.849999994</v>
      </c>
      <c r="H26" s="98">
        <f t="shared" si="21"/>
        <v>20.833430008028046</v>
      </c>
      <c r="I26" s="23">
        <v>24801098.129999999</v>
      </c>
      <c r="J26" s="41">
        <f t="shared" si="22"/>
        <v>0.41865332161381008</v>
      </c>
      <c r="K26" s="23">
        <f t="shared" si="23"/>
        <v>10945961.719999995</v>
      </c>
      <c r="L26" s="98">
        <f t="shared" si="24"/>
        <v>44.134988146994601</v>
      </c>
      <c r="M26" s="74" t="s">
        <v>185</v>
      </c>
    </row>
    <row r="27" spans="1:16" ht="26.25" customHeight="1">
      <c r="A27" s="21">
        <v>7147</v>
      </c>
      <c r="B27" s="27" t="s">
        <v>68</v>
      </c>
      <c r="C27" s="23">
        <v>3486056.8200000003</v>
      </c>
      <c r="D27" s="41">
        <f t="shared" si="18"/>
        <v>5.6458018657079001E-2</v>
      </c>
      <c r="E27" s="23">
        <v>4689525</v>
      </c>
      <c r="F27" s="41">
        <f t="shared" si="19"/>
        <v>7.5948644446603833E-2</v>
      </c>
      <c r="G27" s="23">
        <f t="shared" si="20"/>
        <v>-1203468.1799999997</v>
      </c>
      <c r="H27" s="98">
        <f t="shared" si="21"/>
        <v>-25.662901466566439</v>
      </c>
      <c r="I27" s="23">
        <v>2996186.9000000004</v>
      </c>
      <c r="J27" s="41">
        <f t="shared" si="22"/>
        <v>5.0576937814841218E-2</v>
      </c>
      <c r="K27" s="23">
        <f t="shared" si="23"/>
        <v>489869.91999999993</v>
      </c>
      <c r="L27" s="98">
        <f t="shared" si="24"/>
        <v>16.349778446731733</v>
      </c>
      <c r="M27" s="75" t="s">
        <v>158</v>
      </c>
    </row>
    <row r="28" spans="1:16" ht="15" hidden="1" customHeight="1">
      <c r="A28" s="21">
        <v>7148</v>
      </c>
      <c r="B28" s="22" t="s">
        <v>24</v>
      </c>
      <c r="C28" s="84"/>
      <c r="D28" s="41">
        <f t="shared" si="18"/>
        <v>0</v>
      </c>
      <c r="E28" s="78"/>
      <c r="F28" s="41">
        <f t="shared" si="19"/>
        <v>0</v>
      </c>
      <c r="G28" s="78">
        <f t="shared" si="2"/>
        <v>0</v>
      </c>
      <c r="H28" s="98" t="e">
        <f t="shared" si="3"/>
        <v>#DIV/0!</v>
      </c>
      <c r="I28" s="78"/>
      <c r="J28" s="41">
        <f t="shared" si="4"/>
        <v>0</v>
      </c>
      <c r="K28" s="78">
        <f t="shared" si="6"/>
        <v>0</v>
      </c>
      <c r="L28" s="98" t="e">
        <f t="shared" si="5"/>
        <v>#DIV/0!</v>
      </c>
      <c r="M28" s="74" t="s">
        <v>102</v>
      </c>
    </row>
    <row r="29" spans="1:16" ht="15" customHeight="1">
      <c r="A29" s="21">
        <v>7149</v>
      </c>
      <c r="B29" s="22" t="s">
        <v>25</v>
      </c>
      <c r="C29" s="84">
        <v>3199588.1700000004</v>
      </c>
      <c r="D29" s="41">
        <f t="shared" si="18"/>
        <v>5.1818549703624525E-2</v>
      </c>
      <c r="E29" s="78">
        <v>4215600</v>
      </c>
      <c r="F29" s="41">
        <f t="shared" si="19"/>
        <v>6.8273248469536488E-2</v>
      </c>
      <c r="G29" s="78">
        <f t="shared" si="2"/>
        <v>-1016011.8299999996</v>
      </c>
      <c r="H29" s="98">
        <f t="shared" si="3"/>
        <v>-24.101238969541697</v>
      </c>
      <c r="I29" s="23">
        <v>7505581.5100000007</v>
      </c>
      <c r="J29" s="41">
        <f t="shared" si="4"/>
        <v>0.12669747981859611</v>
      </c>
      <c r="K29" s="78">
        <f t="shared" si="6"/>
        <v>-4305993.34</v>
      </c>
      <c r="L29" s="98">
        <f t="shared" si="5"/>
        <v>-57.370549294054626</v>
      </c>
      <c r="M29" s="74" t="s">
        <v>103</v>
      </c>
    </row>
    <row r="30" spans="1:16" ht="15" customHeight="1">
      <c r="A30" s="18">
        <v>715</v>
      </c>
      <c r="B30" s="19" t="s">
        <v>26</v>
      </c>
      <c r="C30" s="20">
        <f>+SUM(C31:C34)</f>
        <v>11751057.190000001</v>
      </c>
      <c r="D30" s="40">
        <f t="shared" si="1"/>
        <v>0.19031284925339295</v>
      </c>
      <c r="E30" s="20">
        <f>+SUM(E31:E34)</f>
        <v>10675961.25</v>
      </c>
      <c r="F30" s="40">
        <f t="shared" si="0"/>
        <v>0.17290126081041687</v>
      </c>
      <c r="G30" s="20">
        <f t="shared" si="2"/>
        <v>1075095.9400000013</v>
      </c>
      <c r="H30" s="93">
        <f t="shared" si="3"/>
        <v>10.070249552470045</v>
      </c>
      <c r="I30" s="20">
        <f>+SUM(I31:I34)</f>
        <v>17497499.41</v>
      </c>
      <c r="J30" s="40">
        <f t="shared" si="4"/>
        <v>0.29536539912606613</v>
      </c>
      <c r="K30" s="20">
        <f t="shared" si="6"/>
        <v>-5746442.2199999988</v>
      </c>
      <c r="L30" s="93">
        <f t="shared" si="5"/>
        <v>-32.841505436575972</v>
      </c>
      <c r="M30" s="73" t="s">
        <v>104</v>
      </c>
    </row>
    <row r="31" spans="1:16" ht="15" customHeight="1">
      <c r="A31" s="21">
        <v>7151</v>
      </c>
      <c r="B31" s="22" t="s">
        <v>27</v>
      </c>
      <c r="C31" s="84">
        <v>1228458.3900000001</v>
      </c>
      <c r="D31" s="41">
        <f t="shared" si="1"/>
        <v>1.9895351763677002E-2</v>
      </c>
      <c r="E31" s="78">
        <v>1108575</v>
      </c>
      <c r="F31" s="41">
        <f t="shared" si="0"/>
        <v>1.7953794577786415E-2</v>
      </c>
      <c r="G31" s="78">
        <f t="shared" si="2"/>
        <v>119883.39000000013</v>
      </c>
      <c r="H31" s="98">
        <f t="shared" si="3"/>
        <v>10.814188485217514</v>
      </c>
      <c r="I31" s="78">
        <v>1007349.7500000001</v>
      </c>
      <c r="J31" s="41">
        <f t="shared" si="4"/>
        <v>1.7004501843174685E-2</v>
      </c>
      <c r="K31" s="78">
        <f t="shared" si="6"/>
        <v>221108.64</v>
      </c>
      <c r="L31" s="98">
        <f t="shared" si="5"/>
        <v>21.949540365697203</v>
      </c>
      <c r="M31" s="74" t="s">
        <v>105</v>
      </c>
    </row>
    <row r="32" spans="1:16" ht="15" customHeight="1">
      <c r="A32" s="21">
        <v>7152</v>
      </c>
      <c r="B32" s="22" t="s">
        <v>28</v>
      </c>
      <c r="C32" s="84">
        <v>2445272.7800000003</v>
      </c>
      <c r="D32" s="41">
        <f t="shared" si="1"/>
        <v>3.9602124510089723E-2</v>
      </c>
      <c r="E32" s="78">
        <v>1877775</v>
      </c>
      <c r="F32" s="41">
        <f t="shared" si="0"/>
        <v>3.0411281702458458E-2</v>
      </c>
      <c r="G32" s="78">
        <f t="shared" si="2"/>
        <v>567497.78000000026</v>
      </c>
      <c r="H32" s="98">
        <f t="shared" si="3"/>
        <v>30.221819973106477</v>
      </c>
      <c r="I32" s="78">
        <v>1870879.01</v>
      </c>
      <c r="J32" s="41">
        <f t="shared" si="4"/>
        <v>3.1581251272362776E-2</v>
      </c>
      <c r="K32" s="78">
        <f t="shared" si="6"/>
        <v>574393.77000000025</v>
      </c>
      <c r="L32" s="98">
        <f t="shared" si="5"/>
        <v>30.701812727056051</v>
      </c>
      <c r="M32" s="74" t="s">
        <v>106</v>
      </c>
      <c r="P32" s="80"/>
    </row>
    <row r="33" spans="1:16384">
      <c r="A33" s="21">
        <v>7153</v>
      </c>
      <c r="B33" s="22" t="s">
        <v>29</v>
      </c>
      <c r="C33" s="84">
        <v>2878756.7499999995</v>
      </c>
      <c r="D33" s="41">
        <f t="shared" si="1"/>
        <v>4.6622562595147854E-2</v>
      </c>
      <c r="E33" s="78">
        <v>3122392.5</v>
      </c>
      <c r="F33" s="41">
        <f t="shared" si="0"/>
        <v>5.0568336410455744E-2</v>
      </c>
      <c r="G33" s="78">
        <f t="shared" si="2"/>
        <v>-243635.75000000047</v>
      </c>
      <c r="H33" s="98">
        <f t="shared" si="3"/>
        <v>-7.8028547019633407</v>
      </c>
      <c r="I33" s="78">
        <v>2302414.3100000005</v>
      </c>
      <c r="J33" s="41">
        <f t="shared" si="4"/>
        <v>3.8865754796828779E-2</v>
      </c>
      <c r="K33" s="78">
        <f t="shared" si="6"/>
        <v>576342.43999999901</v>
      </c>
      <c r="L33" s="98">
        <f t="shared" si="5"/>
        <v>25.032090770839545</v>
      </c>
      <c r="M33" s="74" t="s">
        <v>107</v>
      </c>
    </row>
    <row r="34" spans="1:16384" s="3" customFormat="1" ht="15" customHeight="1">
      <c r="A34" s="21">
        <v>7155</v>
      </c>
      <c r="B34" s="22" t="s">
        <v>26</v>
      </c>
      <c r="C34" s="84">
        <v>5198569.2700000014</v>
      </c>
      <c r="D34" s="41">
        <f t="shared" si="1"/>
        <v>8.4192810384478373E-2</v>
      </c>
      <c r="E34" s="78">
        <v>4567218.75</v>
      </c>
      <c r="F34" s="41">
        <f t="shared" si="0"/>
        <v>7.3967848119716254E-2</v>
      </c>
      <c r="G34" s="78">
        <f t="shared" si="2"/>
        <v>631350.52000000142</v>
      </c>
      <c r="H34" s="98">
        <f t="shared" si="3"/>
        <v>13.823522685441802</v>
      </c>
      <c r="I34" s="78">
        <v>12316856.34</v>
      </c>
      <c r="J34" s="41">
        <f t="shared" si="4"/>
        <v>0.20791389121369991</v>
      </c>
      <c r="K34" s="78">
        <f t="shared" si="6"/>
        <v>-7118287.0699999984</v>
      </c>
      <c r="L34" s="98">
        <f t="shared" si="5"/>
        <v>-57.793051031071769</v>
      </c>
      <c r="M34" s="74" t="s">
        <v>104</v>
      </c>
      <c r="N34" s="1"/>
      <c r="O34" s="1"/>
      <c r="P34" s="1"/>
      <c r="Q34" s="1"/>
      <c r="R34" s="1"/>
    </row>
    <row r="35" spans="1:16384" ht="15" customHeight="1">
      <c r="A35" s="18">
        <v>73</v>
      </c>
      <c r="B35" s="106" t="s">
        <v>188</v>
      </c>
      <c r="C35" s="20">
        <v>0</v>
      </c>
      <c r="D35" s="40">
        <f t="shared" si="1"/>
        <v>0</v>
      </c>
      <c r="E35" s="20">
        <v>235875</v>
      </c>
      <c r="F35" s="40">
        <f t="shared" si="0"/>
        <v>3.8200855116120886E-3</v>
      </c>
      <c r="G35" s="20">
        <f t="shared" si="2"/>
        <v>-235875</v>
      </c>
      <c r="H35" s="93">
        <f t="shared" si="3"/>
        <v>-100</v>
      </c>
      <c r="I35" s="20">
        <v>185812.2</v>
      </c>
      <c r="J35" s="40">
        <f t="shared" si="4"/>
        <v>3.1365907395959976E-3</v>
      </c>
      <c r="K35" s="20">
        <f t="shared" si="6"/>
        <v>-185812.2</v>
      </c>
      <c r="L35" s="93">
        <f t="shared" si="5"/>
        <v>-100</v>
      </c>
      <c r="M35" s="73" t="s">
        <v>108</v>
      </c>
    </row>
    <row r="36" spans="1:16384" ht="15" customHeight="1">
      <c r="A36" s="18">
        <v>74</v>
      </c>
      <c r="B36" s="19" t="s">
        <v>183</v>
      </c>
      <c r="C36" s="20">
        <v>38010919.299999997</v>
      </c>
      <c r="D36" s="40">
        <f t="shared" si="1"/>
        <v>0.61560132316263394</v>
      </c>
      <c r="E36" s="20">
        <v>47374192.214999996</v>
      </c>
      <c r="F36" s="40">
        <f t="shared" si="0"/>
        <v>0.76724309615197739</v>
      </c>
      <c r="G36" s="20">
        <f t="shared" si="2"/>
        <v>-9363272.9149999991</v>
      </c>
      <c r="H36" s="93">
        <f t="shared" si="3"/>
        <v>-19.764501466339141</v>
      </c>
      <c r="I36" s="20">
        <v>14934675.879999999</v>
      </c>
      <c r="J36" s="40">
        <f t="shared" si="4"/>
        <v>0.25210382345225824</v>
      </c>
      <c r="K36" s="20">
        <f t="shared" si="6"/>
        <v>23076243.419999998</v>
      </c>
      <c r="L36" s="93">
        <f t="shared" si="5"/>
        <v>154.51452448929879</v>
      </c>
      <c r="M36" s="73" t="s">
        <v>109</v>
      </c>
    </row>
    <row r="37" spans="1:16384" s="34" customFormat="1" ht="15" customHeight="1">
      <c r="A37" s="31"/>
      <c r="B37" s="32" t="s">
        <v>72</v>
      </c>
      <c r="C37" s="33">
        <f>+C38+C48+C49++C50+C51+C52+C53+C54</f>
        <v>223803675.01100001</v>
      </c>
      <c r="D37" s="43">
        <f t="shared" si="1"/>
        <v>3.624585803307097</v>
      </c>
      <c r="E37" s="33">
        <f>+E38+E48+E49++E50+E51+E52+E53+E54</f>
        <v>306637837.935</v>
      </c>
      <c r="F37" s="43">
        <f t="shared" si="0"/>
        <v>4.9661166380818189</v>
      </c>
      <c r="G37" s="33">
        <f t="shared" si="2"/>
        <v>-82834162.923999995</v>
      </c>
      <c r="H37" s="103">
        <f t="shared" si="3"/>
        <v>-27.013679551692789</v>
      </c>
      <c r="I37" s="33">
        <f>+I38+I48+I49++I50+I51+I52+I53+I54</f>
        <v>211769890.09999996</v>
      </c>
      <c r="J37" s="43">
        <f t="shared" si="4"/>
        <v>3.5747678366270996</v>
      </c>
      <c r="K37" s="33">
        <f t="shared" si="6"/>
        <v>12033784.911000043</v>
      </c>
      <c r="L37" s="103">
        <f t="shared" si="5"/>
        <v>5.6824815394282808</v>
      </c>
      <c r="M37" s="72" t="s">
        <v>110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69</v>
      </c>
      <c r="C38" s="69">
        <f>SUM(C39:C47)</f>
        <v>81664701.612999991</v>
      </c>
      <c r="D38" s="40">
        <f t="shared" si="1"/>
        <v>1.3225909631878985</v>
      </c>
      <c r="E38" s="69">
        <f>SUM(E39:E47)</f>
        <v>94112040.120000005</v>
      </c>
      <c r="F38" s="40">
        <f t="shared" si="0"/>
        <v>1.5241803537071228</v>
      </c>
      <c r="G38" s="20">
        <f t="shared" si="2"/>
        <v>-12447338.507000014</v>
      </c>
      <c r="H38" s="93">
        <f t="shared" si="3"/>
        <v>-13.22608509084354</v>
      </c>
      <c r="I38" s="69">
        <f>SUM(I39:I47)</f>
        <v>69018461.060000002</v>
      </c>
      <c r="J38" s="40">
        <f t="shared" si="4"/>
        <v>1.165061636544656</v>
      </c>
      <c r="K38" s="20">
        <f t="shared" si="6"/>
        <v>12646240.552999988</v>
      </c>
      <c r="L38" s="93">
        <f t="shared" si="5"/>
        <v>18.322982516237502</v>
      </c>
      <c r="M38" s="73" t="s">
        <v>111</v>
      </c>
    </row>
    <row r="39" spans="1:16384" ht="15" customHeight="1">
      <c r="A39" s="21">
        <v>411</v>
      </c>
      <c r="B39" s="22" t="s">
        <v>30</v>
      </c>
      <c r="C39" s="23">
        <v>50589615.399999991</v>
      </c>
      <c r="D39" s="41">
        <f t="shared" si="1"/>
        <v>0.81931809995789195</v>
      </c>
      <c r="E39" s="23">
        <v>51771815.775000006</v>
      </c>
      <c r="F39" s="41">
        <f t="shared" si="0"/>
        <v>0.8384642855407638</v>
      </c>
      <c r="G39" s="23">
        <f t="shared" si="2"/>
        <v>-1182200.3750000149</v>
      </c>
      <c r="H39" s="98">
        <f t="shared" si="3"/>
        <v>-2.2834825421960261</v>
      </c>
      <c r="I39" s="23">
        <v>39815049.899999991</v>
      </c>
      <c r="J39" s="41">
        <f t="shared" si="4"/>
        <v>0.67209535656373742</v>
      </c>
      <c r="K39" s="23">
        <f t="shared" si="6"/>
        <v>10774565.5</v>
      </c>
      <c r="L39" s="98">
        <f t="shared" si="5"/>
        <v>27.06153961143221</v>
      </c>
      <c r="M39" s="74" t="s">
        <v>112</v>
      </c>
    </row>
    <row r="40" spans="1:16384" ht="15" customHeight="1">
      <c r="A40" s="21">
        <v>412</v>
      </c>
      <c r="B40" s="22" t="s">
        <v>31</v>
      </c>
      <c r="C40" s="23">
        <v>2984367.5</v>
      </c>
      <c r="D40" s="41">
        <f t="shared" si="1"/>
        <v>4.8332968937259094E-2</v>
      </c>
      <c r="E40" s="23">
        <v>4182328.5</v>
      </c>
      <c r="F40" s="41">
        <f t="shared" si="0"/>
        <v>6.7734403848022554E-2</v>
      </c>
      <c r="G40" s="23">
        <f t="shared" si="2"/>
        <v>-1197961</v>
      </c>
      <c r="H40" s="98">
        <f t="shared" si="3"/>
        <v>-28.643398049674957</v>
      </c>
      <c r="I40" s="23">
        <v>2490386.9500000002</v>
      </c>
      <c r="J40" s="41">
        <f t="shared" si="4"/>
        <v>4.2038814703128854E-2</v>
      </c>
      <c r="K40" s="23">
        <f t="shared" si="6"/>
        <v>493980.54999999981</v>
      </c>
      <c r="L40" s="98">
        <f t="shared" si="5"/>
        <v>19.835493837614266</v>
      </c>
      <c r="M40" s="74" t="s">
        <v>113</v>
      </c>
    </row>
    <row r="41" spans="1:16384" ht="15" customHeight="1">
      <c r="A41" s="21">
        <v>413</v>
      </c>
      <c r="B41" s="22" t="s">
        <v>73</v>
      </c>
      <c r="C41" s="23">
        <v>6183414.0499999998</v>
      </c>
      <c r="D41" s="41">
        <f t="shared" si="1"/>
        <v>0.10014274689858452</v>
      </c>
      <c r="E41" s="23">
        <v>8385684</v>
      </c>
      <c r="F41" s="41">
        <f t="shared" si="0"/>
        <v>0.13580934797395783</v>
      </c>
      <c r="G41" s="23">
        <f t="shared" si="2"/>
        <v>-2202269.9500000002</v>
      </c>
      <c r="H41" s="98">
        <f t="shared" si="3"/>
        <v>-26.262257795547754</v>
      </c>
      <c r="I41" s="23">
        <v>6477125.9899999984</v>
      </c>
      <c r="J41" s="41">
        <f t="shared" si="4"/>
        <v>0.10933670339961826</v>
      </c>
      <c r="K41" s="23">
        <f t="shared" si="6"/>
        <v>-293711.93999999855</v>
      </c>
      <c r="L41" s="98">
        <f t="shared" si="5"/>
        <v>-4.5346028540043619</v>
      </c>
      <c r="M41" s="74" t="s">
        <v>114</v>
      </c>
    </row>
    <row r="42" spans="1:16384" ht="15" customHeight="1">
      <c r="A42" s="21">
        <v>414</v>
      </c>
      <c r="B42" s="22" t="s">
        <v>74</v>
      </c>
      <c r="C42" s="23">
        <v>6944864.3100000005</v>
      </c>
      <c r="D42" s="41">
        <f t="shared" si="1"/>
        <v>0.11247472403070645</v>
      </c>
      <c r="E42" s="23">
        <v>10175042.594999999</v>
      </c>
      <c r="F42" s="41">
        <f t="shared" si="0"/>
        <v>0.1647886923039549</v>
      </c>
      <c r="G42" s="23">
        <f t="shared" si="2"/>
        <v>-3230178.2849999983</v>
      </c>
      <c r="H42" s="98">
        <f t="shared" si="3"/>
        <v>-31.746091034422832</v>
      </c>
      <c r="I42" s="23">
        <v>5875725.2000000011</v>
      </c>
      <c r="J42" s="41">
        <f t="shared" si="4"/>
        <v>9.9184796535054437E-2</v>
      </c>
      <c r="K42" s="23">
        <f t="shared" si="6"/>
        <v>1069139.1099999994</v>
      </c>
      <c r="L42" s="98">
        <f t="shared" si="5"/>
        <v>18.195866443856133</v>
      </c>
      <c r="M42" s="74" t="s">
        <v>115</v>
      </c>
    </row>
    <row r="43" spans="1:16384" ht="15.75" customHeight="1">
      <c r="A43" s="21">
        <v>415</v>
      </c>
      <c r="B43" s="22" t="s">
        <v>32</v>
      </c>
      <c r="C43" s="23">
        <v>4483282.5</v>
      </c>
      <c r="D43" s="41">
        <f t="shared" si="1"/>
        <v>7.2608468564765327E-2</v>
      </c>
      <c r="E43" s="23">
        <v>5861337.75</v>
      </c>
      <c r="F43" s="41">
        <f t="shared" si="0"/>
        <v>9.4926598484112334E-2</v>
      </c>
      <c r="G43" s="23">
        <f t="shared" si="2"/>
        <v>-1378055.25</v>
      </c>
      <c r="H43" s="98">
        <f t="shared" si="3"/>
        <v>-23.51093400137195</v>
      </c>
      <c r="I43" s="23">
        <v>4824587</v>
      </c>
      <c r="J43" s="41">
        <f t="shared" si="4"/>
        <v>8.1441126613727363E-2</v>
      </c>
      <c r="K43" s="23">
        <f t="shared" si="6"/>
        <v>-341304.5</v>
      </c>
      <c r="L43" s="98">
        <f t="shared" si="5"/>
        <v>-7.0742739223067161</v>
      </c>
      <c r="M43" s="74" t="s">
        <v>116</v>
      </c>
    </row>
    <row r="44" spans="1:16384" ht="15" customHeight="1">
      <c r="A44" s="21">
        <v>416</v>
      </c>
      <c r="B44" s="22" t="s">
        <v>33</v>
      </c>
      <c r="C44" s="23">
        <v>1598512.6800000002</v>
      </c>
      <c r="D44" s="41">
        <f t="shared" si="1"/>
        <v>2.5888522009522887E-2</v>
      </c>
      <c r="E44" s="23">
        <v>2152972.5</v>
      </c>
      <c r="F44" s="41">
        <f t="shared" si="0"/>
        <v>3.4868210086483338E-2</v>
      </c>
      <c r="G44" s="23">
        <f t="shared" si="2"/>
        <v>-554459.81999999983</v>
      </c>
      <c r="H44" s="98">
        <f t="shared" si="3"/>
        <v>-25.753223508428462</v>
      </c>
      <c r="I44" s="23">
        <v>1485373.88</v>
      </c>
      <c r="J44" s="41">
        <f t="shared" si="4"/>
        <v>2.5073757034499218E-2</v>
      </c>
      <c r="K44" s="23">
        <f t="shared" si="6"/>
        <v>113138.80000000028</v>
      </c>
      <c r="L44" s="98">
        <f t="shared" si="5"/>
        <v>7.6168567068110917</v>
      </c>
      <c r="M44" s="74" t="s">
        <v>117</v>
      </c>
    </row>
    <row r="45" spans="1:16384" ht="15" customHeight="1">
      <c r="A45" s="21">
        <v>417</v>
      </c>
      <c r="B45" s="22" t="s">
        <v>34</v>
      </c>
      <c r="C45" s="23">
        <v>498916.77000000008</v>
      </c>
      <c r="D45" s="41">
        <f t="shared" si="1"/>
        <v>8.0801472160139942E-3</v>
      </c>
      <c r="E45" s="23">
        <v>736309.5</v>
      </c>
      <c r="F45" s="41">
        <f t="shared" si="0"/>
        <v>1.1924812943348557E-2</v>
      </c>
      <c r="G45" s="23">
        <f t="shared" si="2"/>
        <v>-237392.72999999992</v>
      </c>
      <c r="H45" s="98">
        <f t="shared" si="3"/>
        <v>-32.240889191297939</v>
      </c>
      <c r="I45" s="23">
        <v>470882.08999999997</v>
      </c>
      <c r="J45" s="41">
        <f t="shared" si="4"/>
        <v>7.9486944502869493E-3</v>
      </c>
      <c r="K45" s="23">
        <f t="shared" si="6"/>
        <v>28034.680000000109</v>
      </c>
      <c r="L45" s="98">
        <f t="shared" si="5"/>
        <v>5.9536517942315754</v>
      </c>
      <c r="M45" s="74" t="s">
        <v>118</v>
      </c>
    </row>
    <row r="46" spans="1:16384" ht="15" customHeight="1">
      <c r="A46" s="21">
        <v>418</v>
      </c>
      <c r="B46" s="22" t="s">
        <v>35</v>
      </c>
      <c r="C46" s="23">
        <v>1798099.3199999998</v>
      </c>
      <c r="D46" s="41">
        <f t="shared" si="1"/>
        <v>2.9120903702264108E-2</v>
      </c>
      <c r="E46" s="23">
        <v>3680382</v>
      </c>
      <c r="F46" s="41">
        <f t="shared" si="0"/>
        <v>5.9605189000097168E-2</v>
      </c>
      <c r="G46" s="23">
        <f t="shared" si="2"/>
        <v>-1882282.6800000002</v>
      </c>
      <c r="H46" s="98">
        <f t="shared" si="3"/>
        <v>-51.143676933535708</v>
      </c>
      <c r="I46" s="23">
        <v>2191612.3099999996</v>
      </c>
      <c r="J46" s="41">
        <f t="shared" si="4"/>
        <v>3.6995368852694228E-2</v>
      </c>
      <c r="K46" s="23">
        <f t="shared" si="6"/>
        <v>-393512.98999999976</v>
      </c>
      <c r="L46" s="98">
        <f t="shared" si="5"/>
        <v>-17.955410644686509</v>
      </c>
      <c r="M46" s="74" t="s">
        <v>119</v>
      </c>
    </row>
    <row r="47" spans="1:16384" ht="15" customHeight="1">
      <c r="A47" s="21">
        <v>419</v>
      </c>
      <c r="B47" s="22" t="s">
        <v>36</v>
      </c>
      <c r="C47" s="23">
        <v>6583629.0829999987</v>
      </c>
      <c r="D47" s="41">
        <f t="shared" si="1"/>
        <v>0.10662438187089039</v>
      </c>
      <c r="E47" s="23">
        <v>7166167.5</v>
      </c>
      <c r="F47" s="41">
        <f t="shared" si="0"/>
        <v>0.11605881352638227</v>
      </c>
      <c r="G47" s="23">
        <f t="shared" si="2"/>
        <v>-582538.4170000013</v>
      </c>
      <c r="H47" s="98">
        <f t="shared" si="3"/>
        <v>-8.1290092228517068</v>
      </c>
      <c r="I47" s="23">
        <v>5387717.7399999993</v>
      </c>
      <c r="J47" s="41">
        <f t="shared" si="4"/>
        <v>9.0947018391908996E-2</v>
      </c>
      <c r="K47" s="23">
        <f t="shared" si="6"/>
        <v>1195911.3429999994</v>
      </c>
      <c r="L47" s="98">
        <f t="shared" si="5"/>
        <v>22.196993248573563</v>
      </c>
      <c r="M47" s="74" t="s">
        <v>120</v>
      </c>
    </row>
    <row r="48" spans="1:16384" ht="15" customHeight="1">
      <c r="A48" s="18">
        <v>42</v>
      </c>
      <c r="B48" s="19" t="s">
        <v>37</v>
      </c>
      <c r="C48" s="20">
        <v>377420.18999999994</v>
      </c>
      <c r="D48" s="40">
        <f t="shared" si="1"/>
        <v>6.1124638033232918E-3</v>
      </c>
      <c r="E48" s="20">
        <v>557767.5</v>
      </c>
      <c r="F48" s="40">
        <f t="shared" si="0"/>
        <v>9.0332572150422698E-3</v>
      </c>
      <c r="G48" s="20">
        <f t="shared" si="2"/>
        <v>-180347.31000000006</v>
      </c>
      <c r="H48" s="93">
        <f t="shared" si="3"/>
        <v>-32.333778859471025</v>
      </c>
      <c r="I48" s="20">
        <v>301698.74</v>
      </c>
      <c r="J48" s="40">
        <f t="shared" si="4"/>
        <v>5.0928059300292469E-3</v>
      </c>
      <c r="K48" s="20">
        <f t="shared" si="6"/>
        <v>75721.449999999953</v>
      </c>
      <c r="L48" s="93">
        <f t="shared" si="5"/>
        <v>25.098364679945291</v>
      </c>
      <c r="M48" s="73" t="s">
        <v>121</v>
      </c>
    </row>
    <row r="49" spans="1:16384" ht="15" customHeight="1">
      <c r="A49" s="18">
        <v>43</v>
      </c>
      <c r="B49" s="19" t="s">
        <v>173</v>
      </c>
      <c r="C49" s="20">
        <v>61170029.618000001</v>
      </c>
      <c r="D49" s="40">
        <f t="shared" si="1"/>
        <v>0.9906719401742623</v>
      </c>
      <c r="E49" s="20">
        <v>65629477.574999996</v>
      </c>
      <c r="F49" s="40">
        <f t="shared" si="0"/>
        <v>1.0628943992323387</v>
      </c>
      <c r="G49" s="20">
        <f t="shared" si="2"/>
        <v>-4459447.9569999948</v>
      </c>
      <c r="H49" s="93">
        <f t="shared" si="3"/>
        <v>-6.7948856547026821</v>
      </c>
      <c r="I49" s="20">
        <v>49888460.280000001</v>
      </c>
      <c r="J49" s="40">
        <f t="shared" si="4"/>
        <v>0.8421389043719989</v>
      </c>
      <c r="K49" s="20">
        <f t="shared" si="6"/>
        <v>11281569.338</v>
      </c>
      <c r="L49" s="93">
        <f t="shared" si="5"/>
        <v>22.613584934636094</v>
      </c>
      <c r="M49" s="73" t="s">
        <v>127</v>
      </c>
    </row>
    <row r="50" spans="1:16384" ht="15" customHeight="1">
      <c r="A50" s="18">
        <v>44</v>
      </c>
      <c r="B50" s="19" t="s">
        <v>65</v>
      </c>
      <c r="C50" s="20">
        <v>51325830.119999997</v>
      </c>
      <c r="D50" s="40">
        <f t="shared" si="1"/>
        <v>0.83124137790302199</v>
      </c>
      <c r="E50" s="20">
        <v>126498012.61499999</v>
      </c>
      <c r="F50" s="40">
        <f t="shared" si="0"/>
        <v>2.0486835198231463</v>
      </c>
      <c r="G50" s="20">
        <f t="shared" si="2"/>
        <v>-75172182.495000005</v>
      </c>
      <c r="H50" s="93">
        <f t="shared" si="3"/>
        <v>-59.42558380248115</v>
      </c>
      <c r="I50" s="20">
        <v>67209792.75</v>
      </c>
      <c r="J50" s="40">
        <f t="shared" si="4"/>
        <v>1.1345305289416745</v>
      </c>
      <c r="K50" s="20">
        <f t="shared" si="6"/>
        <v>-15883962.630000003</v>
      </c>
      <c r="L50" s="93">
        <f t="shared" si="5"/>
        <v>-23.633405163267668</v>
      </c>
      <c r="M50" s="73" t="s">
        <v>128</v>
      </c>
    </row>
    <row r="51" spans="1:16384" ht="15" customHeight="1">
      <c r="A51" s="18">
        <v>45</v>
      </c>
      <c r="B51" s="19" t="s">
        <v>44</v>
      </c>
      <c r="C51" s="20">
        <v>749602.83</v>
      </c>
      <c r="D51" s="40">
        <f t="shared" si="1"/>
        <v>1.2140103488485083E-2</v>
      </c>
      <c r="E51" s="20">
        <v>1166250</v>
      </c>
      <c r="F51" s="40">
        <f t="shared" si="0"/>
        <v>1.8887863181420661E-2</v>
      </c>
      <c r="G51" s="20">
        <f t="shared" si="2"/>
        <v>-416647.17000000004</v>
      </c>
      <c r="H51" s="93">
        <f t="shared" si="3"/>
        <v>-35.725373633440512</v>
      </c>
      <c r="I51" s="20">
        <v>0</v>
      </c>
      <c r="J51" s="40">
        <f t="shared" si="4"/>
        <v>0</v>
      </c>
      <c r="K51" s="20">
        <f t="shared" si="6"/>
        <v>749602.83</v>
      </c>
      <c r="L51" s="93" t="e">
        <f t="shared" si="5"/>
        <v>#DIV/0!</v>
      </c>
      <c r="M51" s="73" t="s">
        <v>129</v>
      </c>
    </row>
    <row r="52" spans="1:16384" ht="15" customHeight="1">
      <c r="A52" s="18">
        <v>462</v>
      </c>
      <c r="B52" s="19" t="s">
        <v>45</v>
      </c>
      <c r="C52" s="20">
        <v>0</v>
      </c>
      <c r="D52" s="40">
        <f t="shared" si="1"/>
        <v>0</v>
      </c>
      <c r="E52" s="20">
        <v>4500</v>
      </c>
      <c r="F52" s="40">
        <f t="shared" si="0"/>
        <v>7.2879214847925371E-5</v>
      </c>
      <c r="G52" s="20">
        <f t="shared" si="2"/>
        <v>-4500</v>
      </c>
      <c r="H52" s="93">
        <f t="shared" si="3"/>
        <v>-100</v>
      </c>
      <c r="I52" s="20"/>
      <c r="J52" s="40">
        <f t="shared" si="4"/>
        <v>0</v>
      </c>
      <c r="K52" s="20">
        <f t="shared" si="6"/>
        <v>0</v>
      </c>
      <c r="L52" s="93" t="e">
        <f t="shared" si="5"/>
        <v>#DIV/0!</v>
      </c>
      <c r="M52" s="73" t="s">
        <v>130</v>
      </c>
    </row>
    <row r="53" spans="1:16384" ht="15" customHeight="1">
      <c r="A53" s="18">
        <v>463</v>
      </c>
      <c r="B53" s="19" t="s">
        <v>46</v>
      </c>
      <c r="C53" s="20">
        <v>26550071.789999995</v>
      </c>
      <c r="D53" s="40">
        <f>+C53/$C$2*100</f>
        <v>0.42998853026916717</v>
      </c>
      <c r="E53" s="20">
        <v>16226680.125</v>
      </c>
      <c r="F53" s="40">
        <f>+E53/$E$2*100</f>
        <v>0.26279726824409683</v>
      </c>
      <c r="G53" s="20">
        <f>+C53-E53</f>
        <v>10323391.664999995</v>
      </c>
      <c r="H53" s="93">
        <f>+C53/E53*100-100</f>
        <v>63.619863000164969</v>
      </c>
      <c r="I53" s="20">
        <v>23441820.129999999</v>
      </c>
      <c r="J53" s="40">
        <v>0</v>
      </c>
      <c r="K53" s="20">
        <f>+C53-I53</f>
        <v>3108251.6599999964</v>
      </c>
      <c r="L53" s="93">
        <f>+C53/I53*100-100</f>
        <v>13.259429697705798</v>
      </c>
      <c r="M53" s="73" t="s">
        <v>131</v>
      </c>
    </row>
    <row r="54" spans="1:16384" ht="15" customHeight="1">
      <c r="A54" s="18">
        <v>47</v>
      </c>
      <c r="B54" s="19" t="s">
        <v>47</v>
      </c>
      <c r="C54" s="20">
        <v>1966018.85</v>
      </c>
      <c r="D54" s="40">
        <f t="shared" si="1"/>
        <v>3.1840424480938039E-2</v>
      </c>
      <c r="E54" s="20">
        <v>2443110</v>
      </c>
      <c r="F54" s="40">
        <f t="shared" si="0"/>
        <v>3.9567097463803325E-2</v>
      </c>
      <c r="G54" s="20">
        <f t="shared" si="2"/>
        <v>-477091.14999999991</v>
      </c>
      <c r="H54" s="93">
        <f t="shared" si="3"/>
        <v>-19.528025754059371</v>
      </c>
      <c r="I54" s="20">
        <v>1909657.1400000001</v>
      </c>
      <c r="J54" s="40">
        <f t="shared" si="4"/>
        <v>3.2235842970092257E-2</v>
      </c>
      <c r="K54" s="20">
        <f t="shared" si="6"/>
        <v>56361.709999999963</v>
      </c>
      <c r="L54" s="93">
        <f t="shared" si="5"/>
        <v>2.9514046694266654</v>
      </c>
      <c r="M54" s="73" t="s">
        <v>132</v>
      </c>
    </row>
    <row r="55" spans="1:16384" s="34" customFormat="1" ht="15" customHeight="1">
      <c r="A55" s="31"/>
      <c r="B55" s="32" t="s">
        <v>77</v>
      </c>
      <c r="C55" s="33">
        <f>+C6-C37</f>
        <v>35933362.68900004</v>
      </c>
      <c r="D55" s="43">
        <f t="shared" si="1"/>
        <v>0.58195450213779099</v>
      </c>
      <c r="E55" s="33">
        <f>+E6-E37</f>
        <v>-56797358.219999999</v>
      </c>
      <c r="F55" s="43">
        <f t="shared" si="0"/>
        <v>-0.91985486055776899</v>
      </c>
      <c r="G55" s="33">
        <f t="shared" si="2"/>
        <v>92730720.909000039</v>
      </c>
      <c r="H55" s="103">
        <f t="shared" si="3"/>
        <v>-163.26590499124106</v>
      </c>
      <c r="I55" s="33">
        <f>+I6-I37</f>
        <v>-22462033.810000002</v>
      </c>
      <c r="J55" s="43">
        <f t="shared" si="4"/>
        <v>-0.37916889871030107</v>
      </c>
      <c r="K55" s="33">
        <f t="shared" si="6"/>
        <v>58395396.499000043</v>
      </c>
      <c r="L55" s="103">
        <f t="shared" si="5"/>
        <v>-259.97377171163663</v>
      </c>
      <c r="M55" s="72" t="s">
        <v>134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182</v>
      </c>
      <c r="C56" s="20">
        <v>0</v>
      </c>
      <c r="D56" s="40">
        <f>+C56/$C$2*100</f>
        <v>0</v>
      </c>
      <c r="E56" s="20">
        <v>0</v>
      </c>
      <c r="F56" s="40">
        <f>+E56/$E$2*100</f>
        <v>0</v>
      </c>
      <c r="G56" s="20">
        <f>+C56-E56</f>
        <v>0</v>
      </c>
      <c r="H56" s="93" t="e">
        <f>+C56/E56*100-100</f>
        <v>#DIV/0!</v>
      </c>
      <c r="I56" s="20">
        <v>0</v>
      </c>
      <c r="J56" s="40">
        <f t="shared" si="4"/>
        <v>0</v>
      </c>
      <c r="K56" s="20">
        <f>+C56-I56</f>
        <v>0</v>
      </c>
      <c r="L56" s="93" t="e">
        <f>+C56/I56*100-100</f>
        <v>#DIV/0!</v>
      </c>
      <c r="M56" s="73" t="s">
        <v>133</v>
      </c>
    </row>
    <row r="57" spans="1:16384" s="34" customFormat="1" ht="15" customHeight="1">
      <c r="A57" s="31"/>
      <c r="B57" s="32" t="s">
        <v>59</v>
      </c>
      <c r="C57" s="33">
        <f>+C55-C56</f>
        <v>35933362.68900004</v>
      </c>
      <c r="D57" s="43">
        <f t="shared" si="1"/>
        <v>0.58195450213779099</v>
      </c>
      <c r="E57" s="33">
        <f>+E55-E56</f>
        <v>-56797358.219999999</v>
      </c>
      <c r="F57" s="43">
        <f t="shared" si="0"/>
        <v>-0.91985486055776899</v>
      </c>
      <c r="G57" s="33">
        <f t="shared" si="2"/>
        <v>92730720.909000039</v>
      </c>
      <c r="H57" s="103">
        <f t="shared" si="3"/>
        <v>-163.26590499124106</v>
      </c>
      <c r="I57" s="33">
        <f>+I55-I56</f>
        <v>-22462033.810000002</v>
      </c>
      <c r="J57" s="43">
        <f t="shared" si="4"/>
        <v>-0.37916889871030107</v>
      </c>
      <c r="K57" s="33">
        <f t="shared" si="6"/>
        <v>58395396.499000043</v>
      </c>
      <c r="L57" s="103">
        <f t="shared" si="5"/>
        <v>-259.97377171163663</v>
      </c>
      <c r="M57" s="72" t="s">
        <v>137</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75</v>
      </c>
      <c r="C58" s="33">
        <f>+C57+C44</f>
        <v>37531875.36900004</v>
      </c>
      <c r="D58" s="43">
        <f t="shared" si="1"/>
        <v>0.60784302414731384</v>
      </c>
      <c r="E58" s="33">
        <f>+E57+E44</f>
        <v>-54644385.719999999</v>
      </c>
      <c r="F58" s="43">
        <f t="shared" si="0"/>
        <v>-0.88498665047128566</v>
      </c>
      <c r="G58" s="33">
        <f t="shared" si="2"/>
        <v>92176261.089000046</v>
      </c>
      <c r="H58" s="103">
        <f t="shared" si="3"/>
        <v>-168.68386362931199</v>
      </c>
      <c r="I58" s="33">
        <f>+I57+I44</f>
        <v>-20976659.930000003</v>
      </c>
      <c r="J58" s="43">
        <f t="shared" si="4"/>
        <v>-0.35409514167580186</v>
      </c>
      <c r="K58" s="33">
        <f t="shared" si="6"/>
        <v>58508535.29900004</v>
      </c>
      <c r="L58" s="103">
        <f t="shared" si="5"/>
        <v>-278.922075746308</v>
      </c>
      <c r="M58" s="72" t="s">
        <v>136</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76</v>
      </c>
      <c r="C59" s="33">
        <f>+C6-(C37-C50)</f>
        <v>87259192.809000045</v>
      </c>
      <c r="D59" s="43">
        <f t="shared" si="1"/>
        <v>1.4131958800408131</v>
      </c>
      <c r="E59" s="33">
        <f>+E6-(E37-E50)</f>
        <v>69700654.395000011</v>
      </c>
      <c r="F59" s="43">
        <f t="shared" si="0"/>
        <v>1.1288286592653776</v>
      </c>
      <c r="G59" s="33">
        <f t="shared" si="2"/>
        <v>17558538.414000034</v>
      </c>
      <c r="H59" s="103">
        <f t="shared" si="3"/>
        <v>25.191353748982309</v>
      </c>
      <c r="I59" s="33">
        <f>+I6-(I37-I50)</f>
        <v>44747758.939999998</v>
      </c>
      <c r="J59" s="43">
        <f t="shared" si="4"/>
        <v>0.75536163023137326</v>
      </c>
      <c r="K59" s="33">
        <f t="shared" si="6"/>
        <v>42511433.869000047</v>
      </c>
      <c r="L59" s="103">
        <f t="shared" si="5"/>
        <v>95.002375260851551</v>
      </c>
      <c r="M59" s="72" t="s">
        <v>135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9253824.9100000001</v>
      </c>
      <c r="D60" s="43">
        <f t="shared" si="1"/>
        <v>0.14986922084021639</v>
      </c>
      <c r="E60" s="33">
        <f>+E61+E62</f>
        <v>9251384.25</v>
      </c>
      <c r="F60" s="43">
        <f t="shared" si="0"/>
        <v>0.14982969342143621</v>
      </c>
      <c r="G60" s="33">
        <f t="shared" si="2"/>
        <v>2440.660000000149</v>
      </c>
      <c r="H60" s="103">
        <f t="shared" si="3"/>
        <v>2.6381565547879404E-2</v>
      </c>
      <c r="I60" s="33">
        <f>+I61+I62+I63</f>
        <v>8629751.8599999994</v>
      </c>
      <c r="J60" s="43">
        <f t="shared" si="4"/>
        <v>0.14567396419119591</v>
      </c>
      <c r="K60" s="33">
        <f t="shared" si="6"/>
        <v>624073.05000000075</v>
      </c>
      <c r="L60" s="103">
        <f t="shared" si="5"/>
        <v>7.2316453604263984</v>
      </c>
      <c r="M60" s="72" t="s">
        <v>138</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52</v>
      </c>
      <c r="C61" s="23">
        <v>7002340.4900000002</v>
      </c>
      <c r="D61" s="41">
        <f t="shared" si="1"/>
        <v>0.11340557266867489</v>
      </c>
      <c r="E61" s="23">
        <v>7096664.25</v>
      </c>
      <c r="F61" s="41">
        <f t="shared" si="0"/>
        <v>0.11493318190652026</v>
      </c>
      <c r="G61" s="23">
        <f t="shared" si="2"/>
        <v>-94323.759999999776</v>
      </c>
      <c r="H61" s="98">
        <f t="shared" si="3"/>
        <v>-1.3291281181859347</v>
      </c>
      <c r="I61" s="23">
        <v>6241279.2699999996</v>
      </c>
      <c r="J61" s="41">
        <f t="shared" si="4"/>
        <v>0.10535550820406014</v>
      </c>
      <c r="K61" s="23">
        <f t="shared" si="6"/>
        <v>761061.22000000067</v>
      </c>
      <c r="L61" s="98">
        <f t="shared" si="5"/>
        <v>12.193994004693849</v>
      </c>
      <c r="M61" s="74" t="s">
        <v>139</v>
      </c>
    </row>
    <row r="62" spans="1:16384" ht="15" customHeight="1">
      <c r="A62" s="21">
        <v>4612</v>
      </c>
      <c r="B62" s="22" t="s">
        <v>53</v>
      </c>
      <c r="C62" s="23">
        <v>2251484.42</v>
      </c>
      <c r="D62" s="41">
        <f t="shared" si="1"/>
        <v>3.6463648171541477E-2</v>
      </c>
      <c r="E62" s="23">
        <v>2154720</v>
      </c>
      <c r="F62" s="41">
        <f t="shared" si="0"/>
        <v>3.4896511514915948E-2</v>
      </c>
      <c r="G62" s="23">
        <f t="shared" si="2"/>
        <v>96764.419999999925</v>
      </c>
      <c r="H62" s="98">
        <f t="shared" si="3"/>
        <v>4.4908117992128922</v>
      </c>
      <c r="I62" s="23">
        <v>2388472.5900000003</v>
      </c>
      <c r="J62" s="41">
        <f t="shared" si="4"/>
        <v>4.0318455987135765E-2</v>
      </c>
      <c r="K62" s="23">
        <f t="shared" si="6"/>
        <v>-136988.17000000039</v>
      </c>
      <c r="L62" s="98">
        <f t="shared" si="5"/>
        <v>-5.7353879870147608</v>
      </c>
      <c r="M62" s="74" t="s">
        <v>140</v>
      </c>
    </row>
    <row r="63" spans="1:16384" ht="15" hidden="1" customHeight="1">
      <c r="A63" s="21">
        <v>463</v>
      </c>
      <c r="B63" s="22" t="s">
        <v>46</v>
      </c>
      <c r="C63" s="23"/>
      <c r="D63" s="41"/>
      <c r="E63" s="23"/>
      <c r="F63" s="41"/>
      <c r="G63" s="23"/>
      <c r="H63" s="98"/>
      <c r="I63" s="23"/>
      <c r="J63" s="41">
        <f t="shared" si="4"/>
        <v>0</v>
      </c>
      <c r="K63" s="23"/>
      <c r="L63" s="98"/>
      <c r="M63" s="74"/>
    </row>
    <row r="64" spans="1:16384" s="34" customFormat="1" ht="15" customHeight="1">
      <c r="A64" s="31">
        <v>4418</v>
      </c>
      <c r="B64" s="32" t="s">
        <v>63</v>
      </c>
      <c r="C64" s="33">
        <v>0</v>
      </c>
      <c r="D64" s="43">
        <f t="shared" si="1"/>
        <v>0</v>
      </c>
      <c r="E64" s="33">
        <v>0</v>
      </c>
      <c r="F64" s="43">
        <f t="shared" ref="F64:F73" si="25">+E64/$E$2*100</f>
        <v>0</v>
      </c>
      <c r="G64" s="33">
        <f t="shared" si="2"/>
        <v>0</v>
      </c>
      <c r="H64" s="103" t="e">
        <f t="shared" si="3"/>
        <v>#DIV/0!</v>
      </c>
      <c r="I64" s="33">
        <v>0</v>
      </c>
      <c r="J64" s="43">
        <f t="shared" si="4"/>
        <v>0</v>
      </c>
      <c r="K64" s="33">
        <f t="shared" si="6"/>
        <v>0</v>
      </c>
      <c r="L64" s="103" t="e">
        <f t="shared" si="5"/>
        <v>#DIV/0!</v>
      </c>
      <c r="M64" s="72" t="s">
        <v>141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v>45</v>
      </c>
      <c r="B65" s="32" t="s">
        <v>44</v>
      </c>
      <c r="C65" s="33">
        <v>749602.83</v>
      </c>
      <c r="D65" s="43">
        <f t="shared" si="1"/>
        <v>1.2140103488485083E-2</v>
      </c>
      <c r="E65" s="33">
        <v>0</v>
      </c>
      <c r="F65" s="43">
        <f t="shared" si="25"/>
        <v>0</v>
      </c>
      <c r="G65" s="33">
        <f t="shared" si="2"/>
        <v>749602.83</v>
      </c>
      <c r="H65" s="103" t="e">
        <f t="shared" si="3"/>
        <v>#DIV/0!</v>
      </c>
      <c r="I65" s="33">
        <v>2101358.56</v>
      </c>
      <c r="J65" s="43">
        <f t="shared" si="4"/>
        <v>3.5471846304315754E-2</v>
      </c>
      <c r="K65" s="33">
        <f t="shared" si="6"/>
        <v>-1351755.73</v>
      </c>
      <c r="L65" s="103">
        <f t="shared" si="5"/>
        <v>-64.327704739737527</v>
      </c>
      <c r="M65" s="72" t="s">
        <v>129</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54</v>
      </c>
      <c r="C66" s="33">
        <f>+C57-C60-C64-C65</f>
        <v>25929934.949000042</v>
      </c>
      <c r="D66" s="43">
        <f t="shared" si="1"/>
        <v>0.41994517780908952</v>
      </c>
      <c r="E66" s="33">
        <f>+E57-E60-E64-E65</f>
        <v>-66048742.469999999</v>
      </c>
      <c r="F66" s="43">
        <f t="shared" si="25"/>
        <v>-1.069684553979205</v>
      </c>
      <c r="G66" s="33">
        <f t="shared" ref="G66:G73" si="26">+C66-E66</f>
        <v>91978677.419000044</v>
      </c>
      <c r="H66" s="103">
        <f t="shared" ref="H66:H73" si="27">+C66/E66*100-100</f>
        <v>-139.25878673735184</v>
      </c>
      <c r="I66" s="33">
        <f>+I57-I60-I64-I65</f>
        <v>-33193144.23</v>
      </c>
      <c r="J66" s="43">
        <f t="shared" si="4"/>
        <v>-0.56031470920581272</v>
      </c>
      <c r="K66" s="33">
        <f t="shared" ref="K66:K73" si="28">+C66-I66</f>
        <v>59123079.179000042</v>
      </c>
      <c r="L66" s="103">
        <f t="shared" ref="L66:L73" si="29">+C66/I66*100-100</f>
        <v>-178.11834506947534</v>
      </c>
      <c r="M66" s="72" t="s">
        <v>142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s="34" customFormat="1" ht="15" customHeight="1">
      <c r="A67" s="31"/>
      <c r="B67" s="32" t="s">
        <v>48</v>
      </c>
      <c r="C67" s="33">
        <f>+SUM(C68:C73)+C56</f>
        <v>-25929934.949000046</v>
      </c>
      <c r="D67" s="43">
        <f t="shared" ref="D67:D73" si="30">+C67/$C$2*100</f>
        <v>-0.41994517780908963</v>
      </c>
      <c r="E67" s="33">
        <f>+SUM(E68:E73)+E56</f>
        <v>66048742.469999999</v>
      </c>
      <c r="F67" s="43">
        <f t="shared" si="25"/>
        <v>1.069684553979205</v>
      </c>
      <c r="G67" s="33">
        <f t="shared" si="26"/>
        <v>-91978677.419000044</v>
      </c>
      <c r="H67" s="103">
        <f t="shared" si="27"/>
        <v>-139.25878673735187</v>
      </c>
      <c r="I67" s="33">
        <f>+SUM(I68:I73)+I56</f>
        <v>33193144.23</v>
      </c>
      <c r="J67" s="43">
        <f t="shared" ref="J67:J73" si="31">+I67/$I$2*100</f>
        <v>0.56031470920581272</v>
      </c>
      <c r="K67" s="33">
        <f t="shared" si="28"/>
        <v>-59123079.17900005</v>
      </c>
      <c r="L67" s="103">
        <f t="shared" si="29"/>
        <v>-178.11834506947537</v>
      </c>
      <c r="M67" s="72" t="s">
        <v>143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c r="XEZ67" s="1"/>
      <c r="XFA67" s="1"/>
      <c r="XFB67" s="1"/>
      <c r="XFC67" s="1"/>
      <c r="XFD67" s="1"/>
    </row>
    <row r="68" spans="1:16384">
      <c r="A68" s="21">
        <v>7511</v>
      </c>
      <c r="B68" s="22" t="s">
        <v>55</v>
      </c>
      <c r="C68" s="23">
        <v>1886416.87</v>
      </c>
      <c r="D68" s="41">
        <f t="shared" si="30"/>
        <v>3.0551240080329091E-2</v>
      </c>
      <c r="E68" s="23">
        <v>2295000</v>
      </c>
      <c r="F68" s="41">
        <f t="shared" si="25"/>
        <v>3.7168399572441939E-2</v>
      </c>
      <c r="G68" s="23">
        <f t="shared" si="26"/>
        <v>-408583.12999999989</v>
      </c>
      <c r="H68" s="98">
        <f t="shared" si="27"/>
        <v>-17.803186492374721</v>
      </c>
      <c r="I68" s="70">
        <v>3417189.8000000003</v>
      </c>
      <c r="J68" s="41">
        <f t="shared" si="31"/>
        <v>5.768364984711391E-2</v>
      </c>
      <c r="K68" s="23">
        <f t="shared" si="28"/>
        <v>-1530772.9300000002</v>
      </c>
      <c r="L68" s="98">
        <f t="shared" si="29"/>
        <v>-44.79625129397261</v>
      </c>
      <c r="M68" s="74" t="s">
        <v>144</v>
      </c>
    </row>
    <row r="69" spans="1:16384" ht="15" customHeight="1">
      <c r="A69" s="21">
        <v>7512</v>
      </c>
      <c r="B69" s="22" t="s">
        <v>49</v>
      </c>
      <c r="C69" s="23">
        <v>1182468.4099999999</v>
      </c>
      <c r="D69" s="41">
        <f t="shared" si="30"/>
        <v>1.9150526511838822E-2</v>
      </c>
      <c r="E69" s="23">
        <v>5661000</v>
      </c>
      <c r="F69" s="41">
        <f t="shared" si="25"/>
        <v>9.1682052278690113E-2</v>
      </c>
      <c r="G69" s="23">
        <f t="shared" si="26"/>
        <v>-4478531.59</v>
      </c>
      <c r="H69" s="98">
        <f t="shared" si="27"/>
        <v>-79.112022434198906</v>
      </c>
      <c r="I69" s="70">
        <v>1925145.97</v>
      </c>
      <c r="J69" s="41">
        <f t="shared" si="31"/>
        <v>3.2497301156073459E-2</v>
      </c>
      <c r="K69" s="23">
        <f t="shared" si="28"/>
        <v>-742677.56</v>
      </c>
      <c r="L69" s="98">
        <f t="shared" si="29"/>
        <v>-38.577727173591938</v>
      </c>
      <c r="M69" s="74" t="s">
        <v>145</v>
      </c>
    </row>
    <row r="70" spans="1:16384" ht="15" customHeight="1">
      <c r="A70" s="18">
        <v>72</v>
      </c>
      <c r="B70" s="19" t="s">
        <v>172</v>
      </c>
      <c r="C70" s="20">
        <v>4608844.62</v>
      </c>
      <c r="D70" s="40">
        <f t="shared" si="30"/>
        <v>7.4641994947041101E-2</v>
      </c>
      <c r="E70" s="20">
        <v>11765250</v>
      </c>
      <c r="F70" s="40">
        <f t="shared" si="25"/>
        <v>0.19054270721990088</v>
      </c>
      <c r="G70" s="20">
        <f t="shared" si="26"/>
        <v>-7156405.3799999999</v>
      </c>
      <c r="H70" s="93">
        <f t="shared" si="27"/>
        <v>-60.826632498246958</v>
      </c>
      <c r="I70" s="69">
        <v>19413065.999999996</v>
      </c>
      <c r="J70" s="40">
        <f t="shared" si="31"/>
        <v>0.32770099618198317</v>
      </c>
      <c r="K70" s="20">
        <f t="shared" si="28"/>
        <v>-14804221.379999995</v>
      </c>
      <c r="L70" s="93">
        <f t="shared" si="29"/>
        <v>-76.259058615470622</v>
      </c>
      <c r="M70" s="73" t="s">
        <v>146</v>
      </c>
    </row>
    <row r="71" spans="1:16384" ht="15" customHeight="1">
      <c r="A71" s="28">
        <v>73</v>
      </c>
      <c r="B71" s="19" t="s">
        <v>188</v>
      </c>
      <c r="C71" s="30">
        <v>190414.36000000002</v>
      </c>
      <c r="D71" s="40">
        <f t="shared" si="30"/>
        <v>3.0838331227933799E-3</v>
      </c>
      <c r="E71" s="30">
        <v>235875</v>
      </c>
      <c r="F71" s="40">
        <f t="shared" si="25"/>
        <v>3.8200855116120886E-3</v>
      </c>
      <c r="G71" s="20">
        <f t="shared" si="26"/>
        <v>-45460.639999999985</v>
      </c>
      <c r="H71" s="93">
        <f t="shared" si="27"/>
        <v>-19.273191308956001</v>
      </c>
      <c r="I71" s="69">
        <v>185812.2</v>
      </c>
      <c r="J71" s="40">
        <f t="shared" si="31"/>
        <v>3.1365907395959976E-3</v>
      </c>
      <c r="K71" s="20">
        <f t="shared" si="28"/>
        <v>4602.1600000000035</v>
      </c>
      <c r="L71" s="93">
        <f t="shared" si="29"/>
        <v>2.4767803190533186</v>
      </c>
      <c r="M71" s="76" t="s">
        <v>108</v>
      </c>
    </row>
    <row r="72" spans="1:16384" ht="15" customHeight="1">
      <c r="A72" s="28"/>
      <c r="B72" s="29" t="s">
        <v>152</v>
      </c>
      <c r="C72" s="30">
        <v>14790886.709999999</v>
      </c>
      <c r="D72" s="40">
        <f t="shared" si="30"/>
        <v>0.23954404673986979</v>
      </c>
      <c r="E72" s="30">
        <v>7348004.977500001</v>
      </c>
      <c r="F72" s="40">
        <f t="shared" ref="F72" si="32">+E72/$E$2*100</f>
        <v>0.11900374076863279</v>
      </c>
      <c r="G72" s="20">
        <f t="shared" ref="G72" si="33">+C72-E72</f>
        <v>7442881.7324999981</v>
      </c>
      <c r="H72" s="93">
        <f t="shared" ref="H72" si="34">+C72/E72*100-100</f>
        <v>101.29119067407433</v>
      </c>
      <c r="I72" s="71">
        <v>5123936.7300000004</v>
      </c>
      <c r="J72" s="40">
        <f t="shared" ref="J72" si="35">+I72/$I$2*100</f>
        <v>8.6494280233449669E-2</v>
      </c>
      <c r="K72" s="20">
        <f t="shared" ref="K72" si="36">+C72-I72</f>
        <v>9666949.9799999986</v>
      </c>
      <c r="L72" s="93">
        <f t="shared" ref="L72" si="37">+C72/I72*100-100</f>
        <v>188.66255555813621</v>
      </c>
      <c r="M72" s="76" t="s">
        <v>153</v>
      </c>
    </row>
    <row r="73" spans="1:16384" ht="15" customHeight="1" thickBot="1">
      <c r="A73" s="24"/>
      <c r="B73" s="25" t="s">
        <v>50</v>
      </c>
      <c r="C73" s="26">
        <f>+-C66-(SUM(C68:C72)+C56)</f>
        <v>-48588965.919000044</v>
      </c>
      <c r="D73" s="42">
        <f t="shared" si="30"/>
        <v>-0.78691681921096179</v>
      </c>
      <c r="E73" s="26">
        <f>+-E66-SUM(E68:E72)</f>
        <v>38743612.4925</v>
      </c>
      <c r="F73" s="42">
        <f t="shared" si="25"/>
        <v>0.6274675686279273</v>
      </c>
      <c r="G73" s="26">
        <f t="shared" si="26"/>
        <v>-87332578.411500037</v>
      </c>
      <c r="H73" s="99">
        <f t="shared" si="27"/>
        <v>-225.41155249373276</v>
      </c>
      <c r="I73" s="26">
        <f>+-I66-(SUM(I68:I72)+I56)</f>
        <v>3127993.5300000049</v>
      </c>
      <c r="J73" s="42">
        <f t="shared" si="31"/>
        <v>5.2801891047596493E-2</v>
      </c>
      <c r="K73" s="26">
        <f t="shared" si="28"/>
        <v>-51716959.449000046</v>
      </c>
      <c r="L73" s="99">
        <f t="shared" si="29"/>
        <v>-1653.3589009373677</v>
      </c>
      <c r="M73" s="77" t="s">
        <v>147</v>
      </c>
    </row>
    <row r="74" spans="1:16384" ht="13.5" customHeight="1"/>
    <row r="78" spans="1:16384">
      <c r="G78" s="88"/>
    </row>
    <row r="80" spans="1:16384">
      <c r="J80" s="89"/>
    </row>
  </sheetData>
  <sheetProtection algorithmName="SHA-512" hashValue="KjlmWvpQE52akbX2MdmeTuPZnjiXeAjuGf+LOBQMLQj5D1qm6MLs+6DZSvW02hXAIJsT23V1l5kXlMY5ABrJFA==" saltValue="wbADxjZWVmsoR+r8l8f3/Q=="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C64"/>
  <sheetViews>
    <sheetView zoomScale="90" zoomScaleNormal="90" zoomScaleSheetLayoutView="90" workbookViewId="0">
      <pane ySplit="5" topLeftCell="A27" activePane="bottomLeft" state="frozen"/>
      <selection activeCell="G14" sqref="G14"/>
      <selection pane="bottomLeft" activeCell="C2" sqref="C2:D2"/>
    </sheetView>
  </sheetViews>
  <sheetFormatPr defaultColWidth="9.140625" defaultRowHeight="13.5"/>
  <cols>
    <col min="1" max="1" width="12.7109375" style="4" customWidth="1"/>
    <col min="2" max="2" width="65.7109375" style="4" bestFit="1" customWidth="1"/>
    <col min="3" max="3" width="9.140625" style="6"/>
    <col min="4" max="4" width="9.140625" style="4"/>
    <col min="5" max="5" width="9.140625" style="6"/>
    <col min="6" max="6" width="10" style="7" customWidth="1"/>
    <col min="7" max="7" width="10.42578125" style="6" customWidth="1"/>
    <col min="8" max="8" width="11.5703125" style="100" customWidth="1"/>
    <col min="9" max="9" width="9.140625" style="6"/>
    <col min="10" max="10" width="9.5703125" style="7" customWidth="1"/>
    <col min="11" max="11" width="11.28515625" style="6" customWidth="1"/>
    <col min="12" max="12" width="11.7109375" style="100" customWidth="1"/>
    <col min="13" max="13" width="53.85546875" style="4" customWidth="1"/>
    <col min="14" max="14" width="9.140625" style="1"/>
    <col min="15" max="15" width="12.140625" style="1" bestFit="1" customWidth="1"/>
    <col min="16" max="17" width="23.85546875" style="1" bestFit="1" customWidth="1"/>
    <col min="18" max="18" width="10.42578125" style="1" bestFit="1" customWidth="1"/>
    <col min="19" max="16384" width="9.140625" style="1"/>
  </cols>
  <sheetData>
    <row r="1" spans="1:16357" ht="18.75" customHeight="1" thickBot="1">
      <c r="B1" s="109"/>
      <c r="M1" s="5"/>
    </row>
    <row r="2" spans="1:16357" ht="15.75" customHeight="1" thickBot="1">
      <c r="A2" s="8" t="s">
        <v>58</v>
      </c>
      <c r="B2" s="8"/>
      <c r="C2" s="111">
        <f>'Centralna država-ek klas'!C2:D2</f>
        <v>6174600000</v>
      </c>
      <c r="D2" s="112"/>
      <c r="E2" s="111">
        <f>'Centralna država-ek klas'!E2:F2</f>
        <v>6174600000</v>
      </c>
      <c r="F2" s="112"/>
      <c r="G2" s="9"/>
      <c r="H2" s="101"/>
      <c r="I2" s="111">
        <v>5796761000</v>
      </c>
      <c r="J2" s="112"/>
      <c r="K2" s="9"/>
      <c r="L2" s="101"/>
      <c r="M2" s="8" t="s">
        <v>78</v>
      </c>
    </row>
    <row r="3" spans="1:16357" ht="15" customHeight="1" thickBot="1">
      <c r="A3" s="8"/>
      <c r="B3" s="8"/>
      <c r="C3" s="11"/>
      <c r="D3" s="8"/>
      <c r="E3" s="11"/>
      <c r="F3" s="10"/>
      <c r="G3" s="11"/>
      <c r="H3" s="101"/>
      <c r="I3" s="11"/>
      <c r="J3" s="10"/>
      <c r="K3" s="11"/>
      <c r="L3" s="101"/>
      <c r="M3" s="8"/>
    </row>
    <row r="4" spans="1:16357" ht="15" customHeight="1">
      <c r="A4" s="117" t="s">
        <v>70</v>
      </c>
      <c r="B4" s="115" t="s">
        <v>71</v>
      </c>
      <c r="C4" s="121" t="s">
        <v>189</v>
      </c>
      <c r="D4" s="122"/>
      <c r="E4" s="119" t="s">
        <v>190</v>
      </c>
      <c r="F4" s="120"/>
      <c r="G4" s="119" t="s">
        <v>171</v>
      </c>
      <c r="H4" s="120"/>
      <c r="I4" s="119" t="s">
        <v>193</v>
      </c>
      <c r="J4" s="120"/>
      <c r="K4" s="119" t="s">
        <v>171</v>
      </c>
      <c r="L4" s="120"/>
      <c r="M4" s="113" t="s">
        <v>148</v>
      </c>
    </row>
    <row r="5" spans="1:16357" ht="24" customHeight="1">
      <c r="A5" s="118"/>
      <c r="B5" s="116"/>
      <c r="C5" s="12" t="s">
        <v>61</v>
      </c>
      <c r="D5" s="13" t="s">
        <v>56</v>
      </c>
      <c r="E5" s="12" t="s">
        <v>61</v>
      </c>
      <c r="F5" s="13" t="s">
        <v>56</v>
      </c>
      <c r="G5" s="12" t="s">
        <v>64</v>
      </c>
      <c r="H5" s="102" t="s">
        <v>62</v>
      </c>
      <c r="I5" s="12" t="s">
        <v>61</v>
      </c>
      <c r="J5" s="14" t="s">
        <v>56</v>
      </c>
      <c r="K5" s="12" t="s">
        <v>61</v>
      </c>
      <c r="L5" s="104" t="s">
        <v>62</v>
      </c>
      <c r="M5" s="114"/>
    </row>
    <row r="6" spans="1:16357" s="38" customFormat="1" ht="15" customHeight="1">
      <c r="A6" s="35"/>
      <c r="B6" s="36" t="s">
        <v>51</v>
      </c>
      <c r="C6" s="37">
        <f>+C7+C17+C22+C23+C24+C25+C26</f>
        <v>2163560471.1100006</v>
      </c>
      <c r="D6" s="44">
        <f>+C6/$C$2*100</f>
        <v>35.039686313445415</v>
      </c>
      <c r="E6" s="37">
        <f>+E7+E17+E22+E23+E24+E25+E26</f>
        <v>1824180345.6987319</v>
      </c>
      <c r="F6" s="44">
        <f t="shared" ref="F6:F52" si="0">+E6/$E$2*100</f>
        <v>29.543295852342368</v>
      </c>
      <c r="G6" s="37">
        <f>+C6-E6</f>
        <v>339380125.41126871</v>
      </c>
      <c r="H6" s="105">
        <f>+C6/E6*100-100</f>
        <v>18.604527025603531</v>
      </c>
      <c r="I6" s="37">
        <f>+I7+I17+I22+I23+I24+I25+I26</f>
        <v>1636848046.7600002</v>
      </c>
      <c r="J6" s="44">
        <f>+I6/$I$2*100</f>
        <v>28.237287111888865</v>
      </c>
      <c r="K6" s="37">
        <f>+C6-I6</f>
        <v>526712424.35000038</v>
      </c>
      <c r="L6" s="105">
        <f>+C6/I6*100-100</f>
        <v>32.178455745637621</v>
      </c>
      <c r="M6" s="81" t="s">
        <v>149</v>
      </c>
      <c r="N6" s="1"/>
      <c r="O6" s="1"/>
      <c r="P6" s="8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1415256195.3500001</v>
      </c>
      <c r="D7" s="40">
        <f t="shared" ref="D7:D56" si="1">+C7/$C$2*100</f>
        <v>22.920613405726691</v>
      </c>
      <c r="E7" s="20">
        <f>+SUM(E8:E16)</f>
        <v>1241291052.0131664</v>
      </c>
      <c r="F7" s="40">
        <f t="shared" si="0"/>
        <v>20.103181615216638</v>
      </c>
      <c r="G7" s="20">
        <f t="shared" ref="G7:G55" si="2">+C7-E7</f>
        <v>173965143.33683372</v>
      </c>
      <c r="H7" s="93">
        <f t="shared" ref="H7:H55" si="3">+C7/E7*100-100</f>
        <v>14.014855182810777</v>
      </c>
      <c r="I7" s="20">
        <f>+SUM(I8:I16)</f>
        <v>1152064732.98</v>
      </c>
      <c r="J7" s="40">
        <f t="shared" ref="J7:J56" si="4">+I7/$I$2*100</f>
        <v>19.874283810907507</v>
      </c>
      <c r="K7" s="20">
        <f t="shared" ref="K7:K55" si="5">+C7-I7</f>
        <v>263191462.37000012</v>
      </c>
      <c r="L7" s="93">
        <f t="shared" ref="L7:L55" si="6">+C7/I7*100-100</f>
        <v>22.845197395220424</v>
      </c>
      <c r="M7" s="73" t="s">
        <v>79</v>
      </c>
      <c r="Q7" s="86"/>
    </row>
    <row r="8" spans="1:16357" ht="15" customHeight="1">
      <c r="A8" s="21">
        <v>7111</v>
      </c>
      <c r="B8" s="22" t="s">
        <v>2</v>
      </c>
      <c r="C8" s="23">
        <f>+'Centralna država-ek klas'!C8+'Lokalna država-ek klas '!C8</f>
        <v>98442068.469999999</v>
      </c>
      <c r="D8" s="41">
        <f t="shared" si="1"/>
        <v>1.5943068129109579</v>
      </c>
      <c r="E8" s="23">
        <f>+'Centralna država-ek klas'!E8+'Lokalna država-ek klas '!E8</f>
        <v>92555638.921713114</v>
      </c>
      <c r="F8" s="41">
        <f t="shared" si="0"/>
        <v>1.4989738431916741</v>
      </c>
      <c r="G8" s="23">
        <f t="shared" si="2"/>
        <v>5886429.548286885</v>
      </c>
      <c r="H8" s="98">
        <f t="shared" si="3"/>
        <v>6.3598821388568751</v>
      </c>
      <c r="I8" s="23">
        <f>+'Centralna država-ek klas'!I8+'Lokalna država-ek klas '!I8</f>
        <v>94563714.310000002</v>
      </c>
      <c r="J8" s="41">
        <f t="shared" si="4"/>
        <v>1.6313198751854701</v>
      </c>
      <c r="K8" s="23">
        <f t="shared" si="5"/>
        <v>3878354.1599999964</v>
      </c>
      <c r="L8" s="98">
        <f t="shared" si="6"/>
        <v>4.1013132661920793</v>
      </c>
      <c r="M8" s="74" t="s">
        <v>80</v>
      </c>
      <c r="P8" s="90"/>
      <c r="Q8" s="90"/>
      <c r="R8" s="90"/>
    </row>
    <row r="9" spans="1:16357" ht="15" customHeight="1">
      <c r="A9" s="21">
        <v>7112</v>
      </c>
      <c r="B9" s="22" t="s">
        <v>3</v>
      </c>
      <c r="C9" s="23">
        <f>+'Centralna država-ek klas'!C9</f>
        <v>140991927.87</v>
      </c>
      <c r="D9" s="41">
        <f t="shared" si="1"/>
        <v>2.2834180006802063</v>
      </c>
      <c r="E9" s="23">
        <f>+'Centralna država-ek klas'!E9</f>
        <v>110680189.89506361</v>
      </c>
      <c r="F9" s="41">
        <f t="shared" si="0"/>
        <v>1.7925078530603378</v>
      </c>
      <c r="G9" s="23">
        <f t="shared" si="2"/>
        <v>30311737.974936396</v>
      </c>
      <c r="H9" s="98">
        <f t="shared" si="3"/>
        <v>27.386778070831923</v>
      </c>
      <c r="I9" s="23">
        <f>+'Centralna država-ek klas'!I9</f>
        <v>82039204.149999991</v>
      </c>
      <c r="J9" s="41">
        <f t="shared" si="4"/>
        <v>1.4152593862331049</v>
      </c>
      <c r="K9" s="23">
        <f t="shared" si="5"/>
        <v>58952723.720000014</v>
      </c>
      <c r="L9" s="98">
        <f t="shared" si="6"/>
        <v>71.85920966786955</v>
      </c>
      <c r="M9" s="74" t="s">
        <v>81</v>
      </c>
    </row>
    <row r="10" spans="1:16357" ht="15" customHeight="1">
      <c r="A10" s="21">
        <v>71131</v>
      </c>
      <c r="B10" s="22" t="s">
        <v>66</v>
      </c>
      <c r="C10" s="23">
        <f>+'Lokalna država-ek klas '!C9</f>
        <v>62267636.810000002</v>
      </c>
      <c r="D10" s="41">
        <f t="shared" si="1"/>
        <v>1.0084481069219058</v>
      </c>
      <c r="E10" s="23">
        <f>+'Lokalna država-ek klas '!E9</f>
        <v>61435500</v>
      </c>
      <c r="F10" s="41">
        <f t="shared" si="0"/>
        <v>0.99497133417549322</v>
      </c>
      <c r="G10" s="23">
        <f t="shared" si="2"/>
        <v>832136.81000000238</v>
      </c>
      <c r="H10" s="98">
        <f t="shared" si="3"/>
        <v>1.3544885448966824</v>
      </c>
      <c r="I10" s="23">
        <f>+'Lokalna država-ek klas '!I9</f>
        <v>54882429.019999988</v>
      </c>
      <c r="J10" s="41">
        <f t="shared" si="4"/>
        <v>0.94677750247077608</v>
      </c>
      <c r="K10" s="23">
        <f t="shared" si="5"/>
        <v>7385207.790000014</v>
      </c>
      <c r="L10" s="98">
        <f t="shared" si="6"/>
        <v>13.456415690545938</v>
      </c>
      <c r="M10" s="74" t="s">
        <v>150</v>
      </c>
    </row>
    <row r="11" spans="1:16357" ht="15" customHeight="1">
      <c r="A11" s="21">
        <v>71132</v>
      </c>
      <c r="B11" s="22" t="s">
        <v>4</v>
      </c>
      <c r="C11" s="23">
        <f>+'Centralna država-ek klas'!C10+'Lokalna država-ek klas '!C10</f>
        <v>17286736.049999997</v>
      </c>
      <c r="D11" s="41">
        <f t="shared" si="1"/>
        <v>0.27996527791273923</v>
      </c>
      <c r="E11" s="23">
        <f>+'Centralna država-ek klas'!E10+'Lokalna država-ek klas '!E10</f>
        <v>14509968.75</v>
      </c>
      <c r="F11" s="41">
        <f t="shared" si="0"/>
        <v>0.23499447332620735</v>
      </c>
      <c r="G11" s="23">
        <f t="shared" si="2"/>
        <v>2776767.299999997</v>
      </c>
      <c r="H11" s="98">
        <f t="shared" si="3"/>
        <v>19.136962648523934</v>
      </c>
      <c r="I11" s="23">
        <f>+'Centralna država-ek klas'!I10+'Lokalna država-ek klas '!I10</f>
        <v>17191374.970000003</v>
      </c>
      <c r="J11" s="41">
        <f t="shared" si="4"/>
        <v>0.29656863496701003</v>
      </c>
      <c r="K11" s="23">
        <f t="shared" si="5"/>
        <v>95361.079999994487</v>
      </c>
      <c r="L11" s="98">
        <f t="shared" si="6"/>
        <v>0.55470304246405533</v>
      </c>
      <c r="M11" s="74" t="s">
        <v>82</v>
      </c>
    </row>
    <row r="12" spans="1:16357" ht="15" customHeight="1">
      <c r="A12" s="21">
        <v>7114</v>
      </c>
      <c r="B12" s="22" t="s">
        <v>5</v>
      </c>
      <c r="C12" s="23">
        <f>+'Centralna država-ek klas'!C11</f>
        <v>789993007.68000007</v>
      </c>
      <c r="D12" s="41">
        <f t="shared" si="1"/>
        <v>12.794237807793218</v>
      </c>
      <c r="E12" s="23">
        <f>+'Centralna država-ek klas'!E11</f>
        <v>710253214.13500929</v>
      </c>
      <c r="F12" s="41">
        <f t="shared" si="0"/>
        <v>11.50282146430553</v>
      </c>
      <c r="G12" s="23">
        <f t="shared" si="2"/>
        <v>79739793.544990778</v>
      </c>
      <c r="H12" s="98">
        <f t="shared" si="3"/>
        <v>11.226952861044467</v>
      </c>
      <c r="I12" s="23">
        <f>+'Centralna država-ek klas'!I11</f>
        <v>665183108.78000009</v>
      </c>
      <c r="J12" s="41">
        <f t="shared" si="4"/>
        <v>11.475082529364244</v>
      </c>
      <c r="K12" s="23">
        <f t="shared" si="5"/>
        <v>124809898.89999998</v>
      </c>
      <c r="L12" s="98">
        <f t="shared" si="6"/>
        <v>18.763239362603713</v>
      </c>
      <c r="M12" s="74" t="s">
        <v>83</v>
      </c>
    </row>
    <row r="13" spans="1:16357" ht="15" customHeight="1">
      <c r="A13" s="21">
        <v>7115</v>
      </c>
      <c r="B13" s="22" t="s">
        <v>6</v>
      </c>
      <c r="C13" s="23">
        <f>+'Centralna država-ek klas'!C12</f>
        <v>242217273.80999997</v>
      </c>
      <c r="D13" s="41">
        <f t="shared" si="1"/>
        <v>3.9228010528617232</v>
      </c>
      <c r="E13" s="23">
        <f>+'Centralna država-ek klas'!E12</f>
        <v>201417409.55121014</v>
      </c>
      <c r="F13" s="41">
        <f t="shared" si="0"/>
        <v>3.2620317032878265</v>
      </c>
      <c r="G13" s="23">
        <f t="shared" si="2"/>
        <v>40799864.258789837</v>
      </c>
      <c r="H13" s="98">
        <f t="shared" si="3"/>
        <v>20.256374237807151</v>
      </c>
      <c r="I13" s="23">
        <f>+'Centralna država-ek klas'!I12</f>
        <v>188397173.27000001</v>
      </c>
      <c r="J13" s="41">
        <f t="shared" si="4"/>
        <v>3.250042105755266</v>
      </c>
      <c r="K13" s="23">
        <f t="shared" si="5"/>
        <v>53820100.539999962</v>
      </c>
      <c r="L13" s="98">
        <f t="shared" si="6"/>
        <v>28.567360967177621</v>
      </c>
      <c r="M13" s="74" t="s">
        <v>84</v>
      </c>
    </row>
    <row r="14" spans="1:16357" ht="15" customHeight="1">
      <c r="A14" s="21">
        <v>7116</v>
      </c>
      <c r="B14" s="22" t="s">
        <v>7</v>
      </c>
      <c r="C14" s="23">
        <f>+'Centralna država-ek klas'!C13</f>
        <v>39032159.130000003</v>
      </c>
      <c r="D14" s="41">
        <f t="shared" si="1"/>
        <v>0.6321406913808183</v>
      </c>
      <c r="E14" s="23">
        <f>+'Centralna država-ek klas'!E13</f>
        <v>29030656.038225587</v>
      </c>
      <c r="F14" s="41">
        <f t="shared" si="0"/>
        <v>0.47016253746356995</v>
      </c>
      <c r="G14" s="23">
        <f t="shared" si="2"/>
        <v>10001503.091774415</v>
      </c>
      <c r="H14" s="98">
        <f t="shared" si="3"/>
        <v>34.451522826783929</v>
      </c>
      <c r="I14" s="23">
        <f>+'Centralna država-ek klas'!I13</f>
        <v>29021383.700000003</v>
      </c>
      <c r="J14" s="41">
        <f t="shared" si="4"/>
        <v>0.50064827064631445</v>
      </c>
      <c r="K14" s="23">
        <f t="shared" si="5"/>
        <v>10010775.43</v>
      </c>
      <c r="L14" s="98">
        <f t="shared" si="6"/>
        <v>34.494480116742324</v>
      </c>
      <c r="M14" s="74" t="s">
        <v>85</v>
      </c>
    </row>
    <row r="15" spans="1:16357" ht="15" customHeight="1">
      <c r="A15" s="21"/>
      <c r="B15" s="22" t="s">
        <v>159</v>
      </c>
      <c r="C15" s="23">
        <f>+'Lokalna država-ek klas '!C11</f>
        <v>14890769.41</v>
      </c>
      <c r="D15" s="41">
        <f t="shared" si="1"/>
        <v>0.24116168512940112</v>
      </c>
      <c r="E15" s="23">
        <f>+'Lokalna država-ek klas '!E11</f>
        <v>12442500</v>
      </c>
      <c r="F15" s="41">
        <f t="shared" si="0"/>
        <v>0.20151102905451365</v>
      </c>
      <c r="G15" s="23">
        <f t="shared" si="2"/>
        <v>2448269.41</v>
      </c>
      <c r="H15" s="98">
        <f t="shared" si="3"/>
        <v>19.676667952581866</v>
      </c>
      <c r="I15" s="23">
        <f>+'Lokalna država-ek klas '!I11</f>
        <v>11677358.739999998</v>
      </c>
      <c r="J15" s="41">
        <f t="shared" si="4"/>
        <v>0.20144626870074508</v>
      </c>
      <c r="K15" s="23">
        <f t="shared" si="5"/>
        <v>3213410.6700000018</v>
      </c>
      <c r="L15" s="98">
        <f t="shared" si="6"/>
        <v>27.518300512535276</v>
      </c>
      <c r="M15" s="74" t="s">
        <v>160</v>
      </c>
    </row>
    <row r="16" spans="1:16357" ht="15" customHeight="1">
      <c r="A16" s="21">
        <v>7118</v>
      </c>
      <c r="B16" s="22" t="s">
        <v>60</v>
      </c>
      <c r="C16" s="23">
        <f>+'Centralna država-ek klas'!C14</f>
        <v>10134616.120000001</v>
      </c>
      <c r="D16" s="41">
        <f t="shared" si="1"/>
        <v>0.16413397013571732</v>
      </c>
      <c r="E16" s="23">
        <f>+'Centralna država-ek klas'!E14</f>
        <v>8965974.7219446823</v>
      </c>
      <c r="F16" s="41">
        <f t="shared" si="0"/>
        <v>0.14520737735148323</v>
      </c>
      <c r="G16" s="23">
        <f t="shared" si="2"/>
        <v>1168641.3980553187</v>
      </c>
      <c r="H16" s="98">
        <f t="shared" si="3"/>
        <v>13.034181271948157</v>
      </c>
      <c r="I16" s="23">
        <f>+'Centralna država-ek klas'!I14</f>
        <v>9108986.040000001</v>
      </c>
      <c r="J16" s="41">
        <f t="shared" si="4"/>
        <v>0.15713923758457526</v>
      </c>
      <c r="K16" s="23">
        <f t="shared" si="5"/>
        <v>1025630.0800000001</v>
      </c>
      <c r="L16" s="98">
        <f t="shared" si="6"/>
        <v>11.259541682204627</v>
      </c>
      <c r="M16" s="74" t="s">
        <v>86</v>
      </c>
    </row>
    <row r="17" spans="1:16357" ht="15" customHeight="1">
      <c r="A17" s="18">
        <v>712</v>
      </c>
      <c r="B17" s="19" t="s">
        <v>8</v>
      </c>
      <c r="C17" s="20">
        <f>+SUM(C18:C21)</f>
        <v>387750993.43000007</v>
      </c>
      <c r="D17" s="40">
        <f t="shared" si="1"/>
        <v>6.2797751017069938</v>
      </c>
      <c r="E17" s="20">
        <f>+SUM(E18:E21)</f>
        <v>317710526.65792584</v>
      </c>
      <c r="F17" s="40">
        <f t="shared" si="0"/>
        <v>5.1454430515001111</v>
      </c>
      <c r="G17" s="20">
        <f t="shared" si="2"/>
        <v>70040466.772074223</v>
      </c>
      <c r="H17" s="93">
        <f t="shared" si="3"/>
        <v>22.045371775637051</v>
      </c>
      <c r="I17" s="20">
        <f>+SUM(I18:I21)</f>
        <v>307348887.46000004</v>
      </c>
      <c r="J17" s="40">
        <f t="shared" si="4"/>
        <v>5.3020796865697939</v>
      </c>
      <c r="K17" s="20">
        <f t="shared" si="5"/>
        <v>80402105.970000029</v>
      </c>
      <c r="L17" s="93">
        <f t="shared" si="6"/>
        <v>26.159881896583713</v>
      </c>
      <c r="M17" s="73" t="s">
        <v>87</v>
      </c>
    </row>
    <row r="18" spans="1:16357" ht="15" customHeight="1">
      <c r="A18" s="21">
        <v>7121</v>
      </c>
      <c r="B18" s="22" t="s">
        <v>9</v>
      </c>
      <c r="C18" s="23">
        <f>+'Centralna država-ek klas'!C16</f>
        <v>354614891.85000002</v>
      </c>
      <c r="D18" s="41">
        <f t="shared" si="1"/>
        <v>5.7431233092022156</v>
      </c>
      <c r="E18" s="23">
        <f>+'Centralna država-ek klas'!E16</f>
        <v>293467905.19577193</v>
      </c>
      <c r="F18" s="41">
        <f t="shared" si="0"/>
        <v>4.7528245586073901</v>
      </c>
      <c r="G18" s="23">
        <f t="shared" si="2"/>
        <v>61146986.654228091</v>
      </c>
      <c r="H18" s="98">
        <f t="shared" si="3"/>
        <v>20.836004745880828</v>
      </c>
      <c r="I18" s="23">
        <f>+'Centralna država-ek klas'!I16</f>
        <v>264400582.71999997</v>
      </c>
      <c r="J18" s="41">
        <f t="shared" si="4"/>
        <v>4.5611779184962078</v>
      </c>
      <c r="K18" s="23">
        <f t="shared" si="5"/>
        <v>90214309.130000055</v>
      </c>
      <c r="L18" s="98">
        <f t="shared" si="6"/>
        <v>34.120314033323041</v>
      </c>
      <c r="M18" s="74" t="s">
        <v>88</v>
      </c>
    </row>
    <row r="19" spans="1:16357" ht="15" customHeight="1">
      <c r="A19" s="21">
        <v>7122</v>
      </c>
      <c r="B19" s="22" t="s">
        <v>10</v>
      </c>
      <c r="C19" s="23">
        <f>+'Centralna država-ek klas'!C17</f>
        <v>5008781.8699999992</v>
      </c>
      <c r="D19" s="41">
        <f t="shared" si="1"/>
        <v>8.1119131117805193E-2</v>
      </c>
      <c r="E19" s="23">
        <f>+'Centralna država-ek klas'!E17</f>
        <v>900214.81824697473</v>
      </c>
      <c r="F19" s="41">
        <f t="shared" si="0"/>
        <v>1.4579322032957191E-2</v>
      </c>
      <c r="G19" s="23">
        <f t="shared" si="2"/>
        <v>4108567.0517530246</v>
      </c>
      <c r="H19" s="98">
        <f t="shared" si="3"/>
        <v>456.39851382959966</v>
      </c>
      <c r="I19" s="23">
        <f>+'Centralna država-ek klas'!I17</f>
        <v>21989352.299999997</v>
      </c>
      <c r="J19" s="41">
        <f t="shared" si="4"/>
        <v>0.37933860478291231</v>
      </c>
      <c r="K19" s="23">
        <f t="shared" si="5"/>
        <v>-16980570.43</v>
      </c>
      <c r="L19" s="98">
        <f t="shared" si="6"/>
        <v>-77.221785336533088</v>
      </c>
      <c r="M19" s="74" t="s">
        <v>89</v>
      </c>
    </row>
    <row r="20" spans="1:16357" ht="15" customHeight="1">
      <c r="A20" s="21">
        <v>7123</v>
      </c>
      <c r="B20" s="22" t="s">
        <v>11</v>
      </c>
      <c r="C20" s="23">
        <f>+'Centralna država-ek klas'!C18</f>
        <v>16215994.219999999</v>
      </c>
      <c r="D20" s="41">
        <f t="shared" si="1"/>
        <v>0.26262420594046576</v>
      </c>
      <c r="E20" s="23">
        <f>+'Centralna država-ek klas'!E18</f>
        <v>13729184.877162835</v>
      </c>
      <c r="F20" s="41">
        <f t="shared" si="0"/>
        <v>0.22234938096658627</v>
      </c>
      <c r="G20" s="23">
        <f t="shared" si="2"/>
        <v>2486809.3428371642</v>
      </c>
      <c r="H20" s="98">
        <f t="shared" si="3"/>
        <v>18.11330654432173</v>
      </c>
      <c r="I20" s="23">
        <f>+'Centralna država-ek klas'!I18</f>
        <v>12020287.16</v>
      </c>
      <c r="J20" s="41">
        <f t="shared" si="4"/>
        <v>0.20736213136956999</v>
      </c>
      <c r="K20" s="23">
        <f t="shared" si="5"/>
        <v>4195707.0599999987</v>
      </c>
      <c r="L20" s="98">
        <f t="shared" si="6"/>
        <v>34.905214860108202</v>
      </c>
      <c r="M20" s="74" t="s">
        <v>90</v>
      </c>
    </row>
    <row r="21" spans="1:16357" ht="15" customHeight="1">
      <c r="A21" s="21">
        <v>7124</v>
      </c>
      <c r="B21" s="22" t="s">
        <v>12</v>
      </c>
      <c r="C21" s="23">
        <f>+'Centralna država-ek klas'!C19</f>
        <v>11911325.489999998</v>
      </c>
      <c r="D21" s="41">
        <f t="shared" si="1"/>
        <v>0.19290845544650662</v>
      </c>
      <c r="E21" s="23">
        <f>+'Centralna država-ek klas'!E19</f>
        <v>9613221.7667441219</v>
      </c>
      <c r="F21" s="41">
        <f t="shared" si="0"/>
        <v>0.15568978989317722</v>
      </c>
      <c r="G21" s="23">
        <f t="shared" si="2"/>
        <v>2298103.7232558765</v>
      </c>
      <c r="H21" s="98">
        <f t="shared" si="3"/>
        <v>23.9056559706748</v>
      </c>
      <c r="I21" s="23">
        <f>+'Centralna država-ek klas'!I19</f>
        <v>8938665.2800000012</v>
      </c>
      <c r="J21" s="41">
        <f t="shared" si="4"/>
        <v>0.15420103192110216</v>
      </c>
      <c r="K21" s="23">
        <f t="shared" si="5"/>
        <v>2972660.2099999972</v>
      </c>
      <c r="L21" s="98">
        <f t="shared" si="6"/>
        <v>33.256197842548573</v>
      </c>
      <c r="M21" s="74" t="s">
        <v>91</v>
      </c>
    </row>
    <row r="22" spans="1:16357" ht="15" customHeight="1">
      <c r="A22" s="18">
        <v>713</v>
      </c>
      <c r="B22" s="19" t="s">
        <v>13</v>
      </c>
      <c r="C22" s="20">
        <f>+'Centralna država-ek klas'!C20+'Lokalna država-ek klas '!C12</f>
        <v>15028104.91</v>
      </c>
      <c r="D22" s="40">
        <f t="shared" si="1"/>
        <v>0.24338588588734494</v>
      </c>
      <c r="E22" s="20">
        <f>+'Centralna država-ek klas'!E20+'Lokalna država-ek klas '!E12</f>
        <v>14328329.805509126</v>
      </c>
      <c r="F22" s="40">
        <f t="shared" si="0"/>
        <v>0.23205276140169606</v>
      </c>
      <c r="G22" s="20">
        <f t="shared" si="2"/>
        <v>699775.10449087434</v>
      </c>
      <c r="H22" s="93">
        <f t="shared" si="3"/>
        <v>4.8838567648115969</v>
      </c>
      <c r="I22" s="20">
        <f>+'Centralna država-ek klas'!I20+'Lokalna država-ek klas '!I12</f>
        <v>13661609.43</v>
      </c>
      <c r="J22" s="40">
        <f t="shared" si="4"/>
        <v>0.23567660336522414</v>
      </c>
      <c r="K22" s="20">
        <f t="shared" si="5"/>
        <v>1366495.4800000004</v>
      </c>
      <c r="L22" s="93">
        <f t="shared" si="6"/>
        <v>10.002448737842457</v>
      </c>
      <c r="M22" s="73" t="s">
        <v>92</v>
      </c>
    </row>
    <row r="23" spans="1:16357" ht="15" customHeight="1">
      <c r="A23" s="18">
        <v>714</v>
      </c>
      <c r="B23" s="19" t="s">
        <v>19</v>
      </c>
      <c r="C23" s="20">
        <f>+'Centralna država-ek klas'!C25+'Lokalna država-ek klas '!C19</f>
        <v>99345619.430000007</v>
      </c>
      <c r="D23" s="40">
        <f t="shared" si="1"/>
        <v>1.6089401650309334</v>
      </c>
      <c r="E23" s="20">
        <f>+'Centralna država-ek klas'!E25+'Lokalna država-ek klas '!E19</f>
        <v>80021873.890528977</v>
      </c>
      <c r="F23" s="40">
        <f t="shared" si="0"/>
        <v>1.2959847421781003</v>
      </c>
      <c r="G23" s="20">
        <f t="shared" si="2"/>
        <v>19323745.53947103</v>
      </c>
      <c r="H23" s="93">
        <f t="shared" si="3"/>
        <v>24.148079268808644</v>
      </c>
      <c r="I23" s="20">
        <f>+'Centralna država-ek klas'!I25+'Lokalna država-ek klas '!I19</f>
        <v>85665486.949999988</v>
      </c>
      <c r="J23" s="40">
        <f t="shared" si="4"/>
        <v>1.4778164383523831</v>
      </c>
      <c r="K23" s="20">
        <f t="shared" si="5"/>
        <v>13680132.480000019</v>
      </c>
      <c r="L23" s="93">
        <f t="shared" si="6"/>
        <v>15.969246153920352</v>
      </c>
      <c r="M23" s="73" t="s">
        <v>97</v>
      </c>
    </row>
    <row r="24" spans="1:16357" ht="15" customHeight="1">
      <c r="A24" s="18">
        <v>715</v>
      </c>
      <c r="B24" s="19" t="s">
        <v>26</v>
      </c>
      <c r="C24" s="20">
        <f>+'Centralna država-ek klas'!C32+'Lokalna država-ek klas '!C30</f>
        <v>154932541.41999996</v>
      </c>
      <c r="D24" s="40">
        <f t="shared" si="1"/>
        <v>2.5091915495740609</v>
      </c>
      <c r="E24" s="20">
        <f>+'Centralna država-ek klas'!E32+'Lokalna država-ek klas '!E30</f>
        <v>85667166.437115267</v>
      </c>
      <c r="F24" s="40">
        <f t="shared" si="0"/>
        <v>1.3874124062630011</v>
      </c>
      <c r="G24" s="20">
        <f t="shared" si="2"/>
        <v>69265374.98288469</v>
      </c>
      <c r="H24" s="93">
        <f t="shared" si="3"/>
        <v>80.854051632172911</v>
      </c>
      <c r="I24" s="20">
        <f>+'Centralna država-ek klas'!I32+'Lokalna država-ek klas '!I30</f>
        <v>38821933.939999998</v>
      </c>
      <c r="J24" s="40">
        <f t="shared" si="4"/>
        <v>0.66971769131071635</v>
      </c>
      <c r="K24" s="20">
        <f t="shared" si="5"/>
        <v>116110607.47999996</v>
      </c>
      <c r="L24" s="93">
        <f t="shared" si="6"/>
        <v>299.08506788829993</v>
      </c>
      <c r="M24" s="73" t="s">
        <v>104</v>
      </c>
    </row>
    <row r="25" spans="1:16357" ht="15" customHeight="1">
      <c r="A25" s="18">
        <v>73</v>
      </c>
      <c r="B25" s="19" t="s">
        <v>187</v>
      </c>
      <c r="C25" s="20">
        <f>+'Centralna država-ek klas'!C37+'Lokalna država-ek klas '!C35</f>
        <v>0</v>
      </c>
      <c r="D25" s="40">
        <f t="shared" si="1"/>
        <v>0</v>
      </c>
      <c r="E25" s="20">
        <f>+'Centralna država-ek klas'!E37+'Lokalna država-ek klas '!E35</f>
        <v>5864948.2928197626</v>
      </c>
      <c r="F25" s="40">
        <f t="shared" si="0"/>
        <v>9.4985072600974357E-2</v>
      </c>
      <c r="G25" s="20">
        <f t="shared" si="2"/>
        <v>-5864948.2928197626</v>
      </c>
      <c r="H25" s="93">
        <f t="shared" si="3"/>
        <v>-100</v>
      </c>
      <c r="I25" s="20">
        <f>+'Centralna država-ek klas'!I37+'Lokalna država-ek klas '!I35</f>
        <v>185812.2</v>
      </c>
      <c r="J25" s="40">
        <f t="shared" si="4"/>
        <v>3.2054486979884115E-3</v>
      </c>
      <c r="K25" s="20">
        <f t="shared" si="5"/>
        <v>-185812.2</v>
      </c>
      <c r="L25" s="93">
        <f t="shared" si="6"/>
        <v>-100</v>
      </c>
      <c r="M25" s="73" t="s">
        <v>108</v>
      </c>
    </row>
    <row r="26" spans="1:16357" ht="15" customHeight="1">
      <c r="A26" s="18">
        <v>74</v>
      </c>
      <c r="B26" s="19" t="s">
        <v>183</v>
      </c>
      <c r="C26" s="20">
        <f>+'Centralna država-ek klas'!C38+'Lokalna država-ek klas '!C36</f>
        <v>91247016.570000008</v>
      </c>
      <c r="D26" s="40">
        <f t="shared" si="1"/>
        <v>1.477780205519386</v>
      </c>
      <c r="E26" s="20">
        <f>+'Centralna država-ek klas'!E38+'Lokalna država-ek klas '!E36</f>
        <v>79296448.601666659</v>
      </c>
      <c r="F26" s="40">
        <f t="shared" si="0"/>
        <v>1.2842362031818524</v>
      </c>
      <c r="G26" s="20">
        <f t="shared" si="2"/>
        <v>11950567.968333349</v>
      </c>
      <c r="H26" s="93">
        <f t="shared" si="3"/>
        <v>15.070748033578596</v>
      </c>
      <c r="I26" s="20">
        <f>+'Centralna država-ek klas'!I38+'Lokalna država-ek klas '!I36</f>
        <v>39099583.799999997</v>
      </c>
      <c r="J26" s="40">
        <f t="shared" si="4"/>
        <v>0.67450743268525293</v>
      </c>
      <c r="K26" s="20">
        <f t="shared" si="5"/>
        <v>52147432.770000011</v>
      </c>
      <c r="L26" s="93">
        <f t="shared" si="6"/>
        <v>133.37081293944618</v>
      </c>
      <c r="M26" s="73" t="s">
        <v>109</v>
      </c>
    </row>
    <row r="27" spans="1:16357" s="38" customFormat="1" ht="15" customHeight="1">
      <c r="A27" s="35"/>
      <c r="B27" s="36" t="s">
        <v>72</v>
      </c>
      <c r="C27" s="37">
        <f>+C28+C38+C39+C40+C41+C42+C43+C44</f>
        <v>1951080846.3510001</v>
      </c>
      <c r="D27" s="44">
        <f t="shared" si="1"/>
        <v>31.598497819308136</v>
      </c>
      <c r="E27" s="37">
        <f>+E28+E38+E39+E40+E41+E42+E43+E44</f>
        <v>2148543028.665</v>
      </c>
      <c r="F27" s="44">
        <f t="shared" si="0"/>
        <v>34.796473110241962</v>
      </c>
      <c r="G27" s="37">
        <f>+C27-E27</f>
        <v>-197462182.31399989</v>
      </c>
      <c r="H27" s="105">
        <f t="shared" si="3"/>
        <v>-9.1905156042740828</v>
      </c>
      <c r="I27" s="37">
        <f>+I28+I38+I39+I40+I41+I42+I43+I44</f>
        <v>1699561936.7699997</v>
      </c>
      <c r="J27" s="44">
        <f t="shared" si="4"/>
        <v>29.319165250559749</v>
      </c>
      <c r="K27" s="37">
        <f t="shared" si="5"/>
        <v>251518909.58100033</v>
      </c>
      <c r="L27" s="105">
        <f t="shared" si="6"/>
        <v>14.799043455810107</v>
      </c>
      <c r="M27" s="81" t="s">
        <v>110</v>
      </c>
      <c r="N27" s="1"/>
      <c r="O27" s="1"/>
      <c r="P27" s="86"/>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69</v>
      </c>
      <c r="C28" s="20">
        <f>+SUM(C29:C37)</f>
        <v>815650917.15299988</v>
      </c>
      <c r="D28" s="40">
        <f t="shared" si="1"/>
        <v>13.209777429355746</v>
      </c>
      <c r="E28" s="20">
        <f>+SUM(E29:E37)</f>
        <v>849837560.55999994</v>
      </c>
      <c r="F28" s="40">
        <f t="shared" si="0"/>
        <v>13.763443147086448</v>
      </c>
      <c r="G28" s="20">
        <f t="shared" si="2"/>
        <v>-34186643.407000065</v>
      </c>
      <c r="H28" s="93">
        <f t="shared" si="3"/>
        <v>-4.0227268119889601</v>
      </c>
      <c r="I28" s="20">
        <f>+SUM(I29:I37)</f>
        <v>680502707.86000001</v>
      </c>
      <c r="J28" s="40">
        <f t="shared" si="4"/>
        <v>11.739361133915992</v>
      </c>
      <c r="K28" s="20">
        <f t="shared" si="5"/>
        <v>135148209.29299986</v>
      </c>
      <c r="L28" s="93">
        <f t="shared" si="6"/>
        <v>19.860054593758349</v>
      </c>
      <c r="M28" s="73" t="s">
        <v>111</v>
      </c>
    </row>
    <row r="29" spans="1:16357" ht="15" customHeight="1">
      <c r="A29" s="21">
        <v>411</v>
      </c>
      <c r="B29" s="22" t="s">
        <v>30</v>
      </c>
      <c r="C29" s="23">
        <f>+'Centralna država-ek klas'!C41+'Lokalna država-ek klas '!C39</f>
        <v>524087448.57999974</v>
      </c>
      <c r="D29" s="41">
        <f t="shared" si="1"/>
        <v>8.4877959475917439</v>
      </c>
      <c r="E29" s="23">
        <f>+'Centralna država-ek klas'!E41+'Lokalna država-ek klas '!E39</f>
        <v>511286508.27499998</v>
      </c>
      <c r="F29" s="41">
        <f t="shared" si="0"/>
        <v>8.2804798412042881</v>
      </c>
      <c r="G29" s="23">
        <f t="shared" si="2"/>
        <v>12800940.304999769</v>
      </c>
      <c r="H29" s="98">
        <f t="shared" si="3"/>
        <v>2.5036726175678155</v>
      </c>
      <c r="I29" s="23">
        <f>+'Centralna država-ek klas'!I41+'Lokalna država-ek klas '!I39</f>
        <v>438160241.98000002</v>
      </c>
      <c r="J29" s="41">
        <f t="shared" si="4"/>
        <v>7.5587080781836624</v>
      </c>
      <c r="K29" s="23">
        <f t="shared" si="5"/>
        <v>85927206.599999726</v>
      </c>
      <c r="L29" s="98">
        <f t="shared" si="6"/>
        <v>19.610909061877393</v>
      </c>
      <c r="M29" s="74" t="s">
        <v>112</v>
      </c>
    </row>
    <row r="30" spans="1:16357" ht="15" customHeight="1">
      <c r="A30" s="21">
        <v>412</v>
      </c>
      <c r="B30" s="22" t="s">
        <v>31</v>
      </c>
      <c r="C30" s="23">
        <f>+'Centralna država-ek klas'!C42+'Lokalna država-ek klas '!C40</f>
        <v>15254657.279999997</v>
      </c>
      <c r="D30" s="41">
        <f t="shared" si="1"/>
        <v>0.24705498785346416</v>
      </c>
      <c r="E30" s="23">
        <f>+'Centralna država-ek klas'!E42+'Lokalna država-ek klas '!E40</f>
        <v>18236965.82</v>
      </c>
      <c r="F30" s="41">
        <f t="shared" si="0"/>
        <v>0.29535461114890033</v>
      </c>
      <c r="G30" s="23">
        <f t="shared" si="2"/>
        <v>-2982308.5400000028</v>
      </c>
      <c r="H30" s="98">
        <f t="shared" si="3"/>
        <v>-16.353096065626133</v>
      </c>
      <c r="I30" s="23">
        <f>+'Centralna država-ek klas'!I42+'Lokalna država-ek klas '!I40</f>
        <v>14019601.52</v>
      </c>
      <c r="J30" s="41">
        <f t="shared" si="4"/>
        <v>0.24185232960268671</v>
      </c>
      <c r="K30" s="23">
        <f t="shared" si="5"/>
        <v>1235055.7599999979</v>
      </c>
      <c r="L30" s="98">
        <f t="shared" si="6"/>
        <v>8.8094926110282188</v>
      </c>
      <c r="M30" s="74" t="s">
        <v>113</v>
      </c>
    </row>
    <row r="31" spans="1:16357" ht="15" customHeight="1">
      <c r="A31" s="21">
        <v>413</v>
      </c>
      <c r="B31" s="22" t="s">
        <v>73</v>
      </c>
      <c r="C31" s="23">
        <f>+'Centralna država-ek klas'!C43+'Lokalna država-ek klas '!C41</f>
        <v>34316360.569999993</v>
      </c>
      <c r="D31" s="41">
        <f t="shared" si="1"/>
        <v>0.55576653661775643</v>
      </c>
      <c r="E31" s="23">
        <f>+'Centralna država-ek klas'!E43+'Lokalna država-ek klas '!E41</f>
        <v>49636188.189999998</v>
      </c>
      <c r="F31" s="41">
        <f t="shared" si="0"/>
        <v>0.80387698296245902</v>
      </c>
      <c r="G31" s="23">
        <f t="shared" si="2"/>
        <v>-15319827.620000005</v>
      </c>
      <c r="H31" s="98">
        <f t="shared" si="3"/>
        <v>-30.864230672504434</v>
      </c>
      <c r="I31" s="23">
        <f>+'Centralna država-ek klas'!I43+'Lokalna država-ek klas '!I41</f>
        <v>29915142.689999998</v>
      </c>
      <c r="J31" s="41">
        <f t="shared" si="4"/>
        <v>0.51606651869897679</v>
      </c>
      <c r="K31" s="23">
        <f t="shared" si="5"/>
        <v>4401217.8799999952</v>
      </c>
      <c r="L31" s="98">
        <f t="shared" si="6"/>
        <v>14.71234125676169</v>
      </c>
      <c r="M31" s="74" t="s">
        <v>114</v>
      </c>
    </row>
    <row r="32" spans="1:16357" ht="15" customHeight="1">
      <c r="A32" s="21">
        <v>414</v>
      </c>
      <c r="B32" s="22" t="s">
        <v>74</v>
      </c>
      <c r="C32" s="23">
        <f>+'Centralna država-ek klas'!C44+'Lokalna država-ek klas '!C42</f>
        <v>50399133.030000001</v>
      </c>
      <c r="D32" s="41">
        <f t="shared" si="1"/>
        <v>0.81623316538723156</v>
      </c>
      <c r="E32" s="23">
        <f>+'Centralna država-ek klas'!E44+'Lokalna država-ek klas '!E42</f>
        <v>58559095.584999971</v>
      </c>
      <c r="F32" s="41">
        <f t="shared" si="0"/>
        <v>0.94838686854209142</v>
      </c>
      <c r="G32" s="23">
        <f t="shared" si="2"/>
        <v>-8159962.5549999699</v>
      </c>
      <c r="H32" s="98">
        <f t="shared" si="3"/>
        <v>-13.934577495575525</v>
      </c>
      <c r="I32" s="23">
        <f>+'Centralna država-ek klas'!I44+'Lokalna država-ek klas '!I42</f>
        <v>41740947.760000005</v>
      </c>
      <c r="J32" s="41">
        <f t="shared" si="4"/>
        <v>0.7200736369845161</v>
      </c>
      <c r="K32" s="23">
        <f t="shared" si="5"/>
        <v>8658185.2699999958</v>
      </c>
      <c r="L32" s="98">
        <f t="shared" si="6"/>
        <v>20.742665738646849</v>
      </c>
      <c r="M32" s="74" t="s">
        <v>115</v>
      </c>
    </row>
    <row r="33" spans="1:16357" ht="15.75" customHeight="1">
      <c r="A33" s="21">
        <v>415</v>
      </c>
      <c r="B33" s="22" t="s">
        <v>32</v>
      </c>
      <c r="C33" s="23">
        <f>+'Centralna država-ek klas'!C45+'Lokalna država-ek klas '!C43</f>
        <v>20835238.710000001</v>
      </c>
      <c r="D33" s="41">
        <f t="shared" si="1"/>
        <v>0.33743463074531144</v>
      </c>
      <c r="E33" s="23">
        <f>+'Centralna država-ek klas'!E45+'Lokalna država-ek klas '!E43</f>
        <v>31471015.170000002</v>
      </c>
      <c r="F33" s="41">
        <f t="shared" si="0"/>
        <v>0.50968508356816633</v>
      </c>
      <c r="G33" s="23">
        <f t="shared" si="2"/>
        <v>-10635776.460000001</v>
      </c>
      <c r="H33" s="98">
        <f t="shared" si="3"/>
        <v>-33.795466725644872</v>
      </c>
      <c r="I33" s="23">
        <f>+'Centralna država-ek klas'!I45+'Lokalna država-ek klas '!I43</f>
        <v>19417124.07</v>
      </c>
      <c r="J33" s="41">
        <f t="shared" si="4"/>
        <v>0.33496506186817088</v>
      </c>
      <c r="K33" s="23">
        <f t="shared" si="5"/>
        <v>1418114.6400000006</v>
      </c>
      <c r="L33" s="98">
        <f t="shared" si="6"/>
        <v>7.3034226638692985</v>
      </c>
      <c r="M33" s="74" t="s">
        <v>116</v>
      </c>
    </row>
    <row r="34" spans="1:16357" ht="15" customHeight="1">
      <c r="A34" s="21">
        <v>416</v>
      </c>
      <c r="B34" s="22" t="s">
        <v>33</v>
      </c>
      <c r="C34" s="23">
        <f>+'Centralna država-ek klas'!C46+'Lokalna država-ek klas '!C44</f>
        <v>81038761.430000007</v>
      </c>
      <c r="D34" s="41">
        <f t="shared" si="1"/>
        <v>1.3124536233926085</v>
      </c>
      <c r="E34" s="23">
        <f>+'Centralna država-ek klas'!E46+'Lokalna država-ek klas '!E44</f>
        <v>64710247.710000008</v>
      </c>
      <c r="F34" s="41">
        <f t="shared" si="0"/>
        <v>1.0480071212710136</v>
      </c>
      <c r="G34" s="23">
        <f t="shared" si="2"/>
        <v>16328513.719999999</v>
      </c>
      <c r="H34" s="98">
        <f t="shared" si="3"/>
        <v>25.233273396165146</v>
      </c>
      <c r="I34" s="23">
        <f>+'Centralna država-ek klas'!I46+'Lokalna država-ek klas '!I44</f>
        <v>59240116.990000002</v>
      </c>
      <c r="J34" s="41">
        <f t="shared" si="4"/>
        <v>1.0219520347656217</v>
      </c>
      <c r="K34" s="23">
        <f t="shared" si="5"/>
        <v>21798644.440000005</v>
      </c>
      <c r="L34" s="98">
        <f t="shared" si="6"/>
        <v>36.797098904581361</v>
      </c>
      <c r="M34" s="74" t="s">
        <v>117</v>
      </c>
    </row>
    <row r="35" spans="1:16357" ht="15" customHeight="1">
      <c r="A35" s="21">
        <v>417</v>
      </c>
      <c r="B35" s="22" t="s">
        <v>34</v>
      </c>
      <c r="C35" s="23">
        <f>+'Centralna država-ek klas'!C47+'Lokalna država-ek klas '!C45</f>
        <v>7732451.3800000018</v>
      </c>
      <c r="D35" s="41">
        <f t="shared" si="1"/>
        <v>0.12522999676092381</v>
      </c>
      <c r="E35" s="23">
        <f>+'Centralna država-ek klas'!E47+'Lokalna država-ek klas '!E45</f>
        <v>9540439.8299999982</v>
      </c>
      <c r="F35" s="41">
        <f t="shared" si="0"/>
        <v>0.154511058692061</v>
      </c>
      <c r="G35" s="23">
        <f t="shared" si="2"/>
        <v>-1807988.4499999965</v>
      </c>
      <c r="H35" s="98">
        <f t="shared" si="3"/>
        <v>-18.950787198665211</v>
      </c>
      <c r="I35" s="23">
        <f>+'Centralna država-ek klas'!I47+'Lokalna država-ek klas '!I45</f>
        <v>7785325.870000001</v>
      </c>
      <c r="J35" s="41">
        <f t="shared" si="4"/>
        <v>0.13430475864021307</v>
      </c>
      <c r="K35" s="23">
        <f t="shared" si="5"/>
        <v>-52874.489999999292</v>
      </c>
      <c r="L35" s="98">
        <f t="shared" si="6"/>
        <v>-0.67915577180585274</v>
      </c>
      <c r="M35" s="74" t="s">
        <v>118</v>
      </c>
    </row>
    <row r="36" spans="1:16357" ht="15" customHeight="1">
      <c r="A36" s="21">
        <v>418</v>
      </c>
      <c r="B36" s="22" t="s">
        <v>35</v>
      </c>
      <c r="C36" s="23">
        <f>+'Centralna država-ek klas'!C48+'Lokalna država-ek klas '!C46</f>
        <v>41810467.93</v>
      </c>
      <c r="D36" s="41">
        <f t="shared" si="1"/>
        <v>0.67713646114728077</v>
      </c>
      <c r="E36" s="23">
        <f>+'Centralna država-ek klas'!E48+'Lokalna država-ek klas '!E46</f>
        <v>50177669.020000003</v>
      </c>
      <c r="F36" s="41">
        <f t="shared" si="0"/>
        <v>0.81264647135037094</v>
      </c>
      <c r="G36" s="23">
        <f t="shared" si="2"/>
        <v>-8367201.0900000036</v>
      </c>
      <c r="H36" s="98">
        <f t="shared" si="3"/>
        <v>-16.6751490322617</v>
      </c>
      <c r="I36" s="23">
        <f>+'Centralna država-ek klas'!I48+'Lokalna država-ek klas '!I46</f>
        <v>37267498.620000005</v>
      </c>
      <c r="J36" s="41">
        <f t="shared" si="4"/>
        <v>0.64290210722850238</v>
      </c>
      <c r="K36" s="23">
        <f t="shared" si="5"/>
        <v>4542969.3099999949</v>
      </c>
      <c r="L36" s="98">
        <f t="shared" si="6"/>
        <v>12.190164293886795</v>
      </c>
      <c r="M36" s="74" t="s">
        <v>119</v>
      </c>
    </row>
    <row r="37" spans="1:16357" ht="15" customHeight="1">
      <c r="A37" s="21">
        <v>419</v>
      </c>
      <c r="B37" s="22" t="s">
        <v>36</v>
      </c>
      <c r="C37" s="23">
        <f>+'Centralna država-ek klas'!C49+'Lokalna država-ek klas '!C47</f>
        <v>40176398.243000001</v>
      </c>
      <c r="D37" s="41">
        <f t="shared" si="1"/>
        <v>0.6506720798594241</v>
      </c>
      <c r="E37" s="23">
        <f>+'Centralna država-ek klas'!E49+'Lokalna država-ek klas '!E47</f>
        <v>56219430.960000008</v>
      </c>
      <c r="F37" s="41">
        <f t="shared" si="0"/>
        <v>0.91049510834709957</v>
      </c>
      <c r="G37" s="23">
        <f t="shared" si="2"/>
        <v>-16043032.717000008</v>
      </c>
      <c r="H37" s="98">
        <f t="shared" si="3"/>
        <v>-28.536455177596139</v>
      </c>
      <c r="I37" s="23">
        <f>+'Centralna država-ek klas'!I49+'Lokalna država-ek klas '!I47</f>
        <v>32956708.359999999</v>
      </c>
      <c r="J37" s="41">
        <f t="shared" si="4"/>
        <v>0.56853660794364302</v>
      </c>
      <c r="K37" s="23">
        <f t="shared" si="5"/>
        <v>7219689.8830000013</v>
      </c>
      <c r="L37" s="98">
        <f t="shared" si="6"/>
        <v>21.90658667769938</v>
      </c>
      <c r="M37" s="74" t="s">
        <v>120</v>
      </c>
    </row>
    <row r="38" spans="1:16357" ht="15" customHeight="1">
      <c r="A38" s="18">
        <v>42</v>
      </c>
      <c r="B38" s="19" t="s">
        <v>37</v>
      </c>
      <c r="C38" s="20">
        <f>+'Centralna država-ek klas'!C50+'Lokalna država-ek klas '!C48</f>
        <v>599159748.78000009</v>
      </c>
      <c r="D38" s="40">
        <f t="shared" si="1"/>
        <v>9.7036204576814704</v>
      </c>
      <c r="E38" s="20">
        <f>+'Centralna država-ek klas'!E50+'Lokalna država-ek klas '!E48</f>
        <v>587146141.69000006</v>
      </c>
      <c r="F38" s="40">
        <f t="shared" si="0"/>
        <v>9.5090555127457659</v>
      </c>
      <c r="G38" s="20">
        <f t="shared" si="2"/>
        <v>12013607.090000033</v>
      </c>
      <c r="H38" s="93">
        <f t="shared" si="3"/>
        <v>2.0461016835469508</v>
      </c>
      <c r="I38" s="20">
        <f>+'Centralna država-ek klas'!I50+'Lokalna država-ek klas '!I48</f>
        <v>462480706.74999988</v>
      </c>
      <c r="J38" s="40">
        <f t="shared" si="4"/>
        <v>7.978260734744798</v>
      </c>
      <c r="K38" s="20">
        <f t="shared" si="5"/>
        <v>136679042.03000021</v>
      </c>
      <c r="L38" s="93">
        <f t="shared" si="6"/>
        <v>29.553458130283445</v>
      </c>
      <c r="M38" s="73" t="s">
        <v>121</v>
      </c>
    </row>
    <row r="39" spans="1:16357" ht="15" customHeight="1">
      <c r="A39" s="18">
        <v>43</v>
      </c>
      <c r="B39" s="19" t="s">
        <v>43</v>
      </c>
      <c r="C39" s="20">
        <f>+'Centralna država-ek klas'!C56+'Lokalna država-ek klas '!C49</f>
        <v>316297542.32800007</v>
      </c>
      <c r="D39" s="40">
        <f t="shared" si="1"/>
        <v>5.1225592318206861</v>
      </c>
      <c r="E39" s="20">
        <f>+'Centralna država-ek klas'!E56+'Lokalna država-ek klas '!E49</f>
        <v>325454570.97500002</v>
      </c>
      <c r="F39" s="40">
        <f t="shared" si="0"/>
        <v>5.2708608002947566</v>
      </c>
      <c r="G39" s="20">
        <f t="shared" si="2"/>
        <v>-9157028.6469999552</v>
      </c>
      <c r="H39" s="93">
        <f t="shared" si="3"/>
        <v>-2.8136119334773042</v>
      </c>
      <c r="I39" s="20">
        <f>+'Centralna država-ek klas'!I56+'Lokalna država-ek klas '!I49</f>
        <v>262535737.60999998</v>
      </c>
      <c r="J39" s="40">
        <f t="shared" si="4"/>
        <v>4.5290074510575815</v>
      </c>
      <c r="K39" s="20">
        <f t="shared" si="5"/>
        <v>53761804.718000084</v>
      </c>
      <c r="L39" s="93">
        <f t="shared" si="6"/>
        <v>20.477899583280319</v>
      </c>
      <c r="M39" s="73" t="s">
        <v>127</v>
      </c>
    </row>
    <row r="40" spans="1:16357" ht="15" customHeight="1">
      <c r="A40" s="18">
        <v>44</v>
      </c>
      <c r="B40" s="19" t="s">
        <v>65</v>
      </c>
      <c r="C40" s="20">
        <f>+'Centralna država-ek klas'!C57+'Lokalna država-ek klas '!C50</f>
        <v>165079989.59999999</v>
      </c>
      <c r="D40" s="40">
        <f t="shared" si="1"/>
        <v>2.6735333398114856</v>
      </c>
      <c r="E40" s="20">
        <f>+'Centralna država-ek klas'!E57+'Lokalna država-ek klas '!E50</f>
        <v>314009077.685</v>
      </c>
      <c r="F40" s="40">
        <f t="shared" si="0"/>
        <v>5.0854966748453343</v>
      </c>
      <c r="G40" s="20">
        <f t="shared" si="2"/>
        <v>-148929088.08500001</v>
      </c>
      <c r="H40" s="93">
        <f t="shared" si="3"/>
        <v>-47.428274743827338</v>
      </c>
      <c r="I40" s="20">
        <f>+'Centralna država-ek klas'!I57+'Lokalna država-ek klas '!I50</f>
        <v>219440901.20999998</v>
      </c>
      <c r="J40" s="40">
        <f t="shared" si="4"/>
        <v>3.7855778633964721</v>
      </c>
      <c r="K40" s="20">
        <f t="shared" si="5"/>
        <v>-54360911.609999985</v>
      </c>
      <c r="L40" s="93">
        <f t="shared" si="6"/>
        <v>-24.772460972522993</v>
      </c>
      <c r="M40" s="73" t="s">
        <v>128</v>
      </c>
      <c r="O40" s="91"/>
    </row>
    <row r="41" spans="1:16357" ht="15" customHeight="1">
      <c r="A41" s="18">
        <v>45</v>
      </c>
      <c r="B41" s="19" t="s">
        <v>44</v>
      </c>
      <c r="C41" s="20">
        <f>+'Centralna država-ek klas'!C58+'Lokalna država-ek klas '!C51</f>
        <v>749602.83</v>
      </c>
      <c r="D41" s="40">
        <f t="shared" si="1"/>
        <v>1.2140103488485083E-2</v>
      </c>
      <c r="E41" s="20">
        <f>+'Centralna država-ek klas'!E58+'Lokalna država-ek klas '!E51</f>
        <v>4663057</v>
      </c>
      <c r="F41" s="40">
        <f t="shared" si="0"/>
        <v>7.5519985100249404E-2</v>
      </c>
      <c r="G41" s="20">
        <f t="shared" si="2"/>
        <v>-3913454.17</v>
      </c>
      <c r="H41" s="93">
        <f t="shared" si="3"/>
        <v>-83.924647929459155</v>
      </c>
      <c r="I41" s="20">
        <f>+'Centralna država-ek klas'!I58+'Lokalna država-ek klas '!I51</f>
        <v>0</v>
      </c>
      <c r="J41" s="40">
        <f t="shared" si="4"/>
        <v>0</v>
      </c>
      <c r="K41" s="20">
        <f t="shared" si="5"/>
        <v>749602.83</v>
      </c>
      <c r="L41" s="93" t="e">
        <f t="shared" si="6"/>
        <v>#DIV/0!</v>
      </c>
      <c r="M41" s="73" t="s">
        <v>129</v>
      </c>
    </row>
    <row r="42" spans="1:16357" ht="15" customHeight="1">
      <c r="A42" s="18">
        <v>462</v>
      </c>
      <c r="B42" s="19" t="s">
        <v>45</v>
      </c>
      <c r="C42" s="20">
        <f>+'Centralna država-ek klas'!C59+'Lokalna država-ek klas '!C52</f>
        <v>2813572.16</v>
      </c>
      <c r="D42" s="40">
        <f t="shared" si="1"/>
        <v>4.5566873319729216E-2</v>
      </c>
      <c r="E42" s="20">
        <f>+'Centralna država-ek klas'!E59+'Lokalna država-ek klas '!E52</f>
        <v>4500.96</v>
      </c>
      <c r="F42" s="40">
        <f t="shared" si="0"/>
        <v>7.2894762413759591E-5</v>
      </c>
      <c r="G42" s="20">
        <f t="shared" si="2"/>
        <v>2809071.2</v>
      </c>
      <c r="H42" s="108">
        <f t="shared" si="3"/>
        <v>62410.490206533723</v>
      </c>
      <c r="I42" s="20">
        <f>+'Centralna država-ek klas'!I59+'Lokalna država-ek klas '!I52</f>
        <v>500000</v>
      </c>
      <c r="J42" s="40">
        <f t="shared" si="4"/>
        <v>8.6255065544361756E-3</v>
      </c>
      <c r="K42" s="20">
        <f t="shared" si="5"/>
        <v>2313572.16</v>
      </c>
      <c r="L42" s="93">
        <f t="shared" si="6"/>
        <v>462.71443199999999</v>
      </c>
      <c r="M42" s="73" t="s">
        <v>130</v>
      </c>
    </row>
    <row r="43" spans="1:16357" ht="15" customHeight="1">
      <c r="A43" s="18">
        <v>463</v>
      </c>
      <c r="B43" s="19" t="s">
        <v>46</v>
      </c>
      <c r="C43" s="20">
        <f>+'Centralna država-ek klas'!C60+'Lokalna država-ek klas '!C53</f>
        <v>37200839.109999992</v>
      </c>
      <c r="D43" s="40">
        <f t="shared" si="1"/>
        <v>0.60248176578239876</v>
      </c>
      <c r="E43" s="20">
        <f>+'Centralna država-ek klas'!E60+'Lokalna država-ek klas '!E53</f>
        <v>36531734.705000043</v>
      </c>
      <c r="F43" s="40">
        <f t="shared" si="0"/>
        <v>0.59164536496291331</v>
      </c>
      <c r="G43" s="20">
        <f t="shared" si="2"/>
        <v>669104.40499994904</v>
      </c>
      <c r="H43" s="93">
        <f t="shared" si="3"/>
        <v>1.831570305661856</v>
      </c>
      <c r="I43" s="20">
        <f>+'Centralna država-ek klas'!I60+'Lokalna država-ek klas '!I53</f>
        <v>54557004.279999994</v>
      </c>
      <c r="J43" s="40">
        <f t="shared" si="4"/>
        <v>0.94116359601508492</v>
      </c>
      <c r="K43" s="20">
        <f t="shared" si="5"/>
        <v>-17356165.170000002</v>
      </c>
      <c r="L43" s="93">
        <f t="shared" si="6"/>
        <v>-31.812899918265089</v>
      </c>
      <c r="M43" s="73" t="s">
        <v>131</v>
      </c>
    </row>
    <row r="44" spans="1:16357" ht="15" customHeight="1">
      <c r="A44" s="18">
        <v>47</v>
      </c>
      <c r="B44" s="19" t="s">
        <v>47</v>
      </c>
      <c r="C44" s="20">
        <f>+'Centralna država-ek klas'!C61+'Lokalna država-ek klas '!C54</f>
        <v>14128634.389999999</v>
      </c>
      <c r="D44" s="40">
        <f t="shared" si="1"/>
        <v>0.22881861804813267</v>
      </c>
      <c r="E44" s="20">
        <f>+'Centralna država-ek klas'!E61+'Lokalna država-ek klas '!E54</f>
        <v>30896385.09</v>
      </c>
      <c r="F44" s="40">
        <f t="shared" si="0"/>
        <v>0.50037873044407744</v>
      </c>
      <c r="G44" s="20">
        <f t="shared" si="2"/>
        <v>-16767750.700000001</v>
      </c>
      <c r="H44" s="93">
        <f t="shared" si="3"/>
        <v>-54.270914384178532</v>
      </c>
      <c r="I44" s="20">
        <f>+'Centralna država-ek klas'!I61+'Lokalna država-ek klas '!I54</f>
        <v>19544879.059999999</v>
      </c>
      <c r="J44" s="40">
        <f t="shared" si="4"/>
        <v>0.33716896487538467</v>
      </c>
      <c r="K44" s="20">
        <f t="shared" si="5"/>
        <v>-5416244.6699999999</v>
      </c>
      <c r="L44" s="93">
        <f t="shared" si="6"/>
        <v>-27.711835173668248</v>
      </c>
      <c r="M44" s="73" t="s">
        <v>132</v>
      </c>
      <c r="Q44" s="107"/>
    </row>
    <row r="45" spans="1:16357" s="38" customFormat="1" ht="15" customHeight="1">
      <c r="A45" s="35"/>
      <c r="B45" s="36" t="s">
        <v>77</v>
      </c>
      <c r="C45" s="37">
        <f>+C6-C27</f>
        <v>212479624.75900054</v>
      </c>
      <c r="D45" s="44">
        <f t="shared" si="1"/>
        <v>3.4411884941372808</v>
      </c>
      <c r="E45" s="37">
        <f>+E6-E27</f>
        <v>-324362682.96626806</v>
      </c>
      <c r="F45" s="44">
        <f t="shared" si="0"/>
        <v>-5.2531772578995897</v>
      </c>
      <c r="G45" s="37">
        <f>C45-E45</f>
        <v>536842307.7252686</v>
      </c>
      <c r="H45" s="105">
        <f t="shared" si="3"/>
        <v>-165.50680331531765</v>
      </c>
      <c r="I45" s="37">
        <f>+I6-I27</f>
        <v>-62713890.009999514</v>
      </c>
      <c r="J45" s="44">
        <f t="shared" si="4"/>
        <v>-1.0818781386708802</v>
      </c>
      <c r="K45" s="37">
        <f t="shared" si="5"/>
        <v>275193514.76900005</v>
      </c>
      <c r="L45" s="105">
        <f t="shared" si="6"/>
        <v>-438.80791755242961</v>
      </c>
      <c r="M45" s="81" t="s">
        <v>134</v>
      </c>
      <c r="N45" s="1"/>
      <c r="O45" s="1"/>
      <c r="P45" s="10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57</v>
      </c>
      <c r="C46" s="20">
        <f>+'Centralna država-ek klas'!C63+'Lokalna država-ek klas '!C56</f>
        <v>0</v>
      </c>
      <c r="D46" s="40">
        <f t="shared" si="1"/>
        <v>0</v>
      </c>
      <c r="E46" s="20">
        <f>+'Centralna država-ek klas'!E63+'Lokalna država-ek klas '!E56</f>
        <v>0</v>
      </c>
      <c r="F46" s="40">
        <f t="shared" si="0"/>
        <v>0</v>
      </c>
      <c r="G46" s="20">
        <f t="shared" si="2"/>
        <v>0</v>
      </c>
      <c r="H46" s="93" t="e">
        <f t="shared" si="3"/>
        <v>#DIV/0!</v>
      </c>
      <c r="I46" s="20">
        <f>+'Centralna država-ek klas'!I63+'Lokalna država-ek klas '!I56</f>
        <v>0</v>
      </c>
      <c r="J46" s="40">
        <f t="shared" si="4"/>
        <v>0</v>
      </c>
      <c r="K46" s="20">
        <f t="shared" si="5"/>
        <v>0</v>
      </c>
      <c r="L46" s="93" t="e">
        <f t="shared" si="6"/>
        <v>#DIV/0!</v>
      </c>
      <c r="M46" s="73" t="s">
        <v>133</v>
      </c>
    </row>
    <row r="47" spans="1:16357" s="38" customFormat="1" ht="15" hidden="1" customHeight="1">
      <c r="A47" s="35"/>
      <c r="B47" s="36" t="s">
        <v>59</v>
      </c>
      <c r="C47" s="37">
        <f>+C45-C46</f>
        <v>212479624.75900054</v>
      </c>
      <c r="D47" s="44">
        <f t="shared" si="1"/>
        <v>3.4411884941372808</v>
      </c>
      <c r="E47" s="37">
        <f>+E45-E46</f>
        <v>-324362682.96626806</v>
      </c>
      <c r="F47" s="44">
        <f t="shared" si="0"/>
        <v>-5.2531772578995897</v>
      </c>
      <c r="G47" s="37">
        <f t="shared" si="2"/>
        <v>536842307.7252686</v>
      </c>
      <c r="H47" s="105">
        <f t="shared" si="3"/>
        <v>-165.50680331531765</v>
      </c>
      <c r="I47" s="37">
        <f>+I45-I46</f>
        <v>-62713890.009999514</v>
      </c>
      <c r="J47" s="44">
        <f t="shared" si="4"/>
        <v>-1.0818781386708802</v>
      </c>
      <c r="K47" s="37">
        <f t="shared" si="5"/>
        <v>275193514.76900005</v>
      </c>
      <c r="L47" s="105">
        <f t="shared" si="6"/>
        <v>-438.80791755242961</v>
      </c>
      <c r="M47" s="81" t="s">
        <v>137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75</v>
      </c>
      <c r="C48" s="37">
        <f>+C47+C34</f>
        <v>293518386.18900055</v>
      </c>
      <c r="D48" s="44">
        <f t="shared" si="1"/>
        <v>4.75364211752989</v>
      </c>
      <c r="E48" s="37">
        <f>+E47+E34</f>
        <v>-259652435.25626805</v>
      </c>
      <c r="F48" s="44">
        <f t="shared" si="0"/>
        <v>-4.2051701366285759</v>
      </c>
      <c r="G48" s="37">
        <f>+C48-E48</f>
        <v>553170821.44526863</v>
      </c>
      <c r="H48" s="105">
        <f t="shared" si="3"/>
        <v>-213.0428011966489</v>
      </c>
      <c r="I48" s="37">
        <f>+I47+I34</f>
        <v>-3473773.0199995115</v>
      </c>
      <c r="J48" s="44">
        <f t="shared" si="4"/>
        <v>-5.9926103905258668E-2</v>
      </c>
      <c r="K48" s="37">
        <f t="shared" si="5"/>
        <v>296992159.20900005</v>
      </c>
      <c r="L48" s="105">
        <f t="shared" si="6"/>
        <v>-8549.5556992103593</v>
      </c>
      <c r="M48" s="81" t="s">
        <v>136</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76</v>
      </c>
      <c r="C49" s="37">
        <f>+C6-(C27-C40)</f>
        <v>377559614.35900044</v>
      </c>
      <c r="D49" s="44">
        <f t="shared" si="1"/>
        <v>6.1147218339487646</v>
      </c>
      <c r="E49" s="37">
        <f>+E6-(E27-E40)</f>
        <v>-10353605.28126812</v>
      </c>
      <c r="F49" s="44">
        <f t="shared" si="0"/>
        <v>-0.16768058305425645</v>
      </c>
      <c r="G49" s="37">
        <f t="shared" si="2"/>
        <v>387913219.64026856</v>
      </c>
      <c r="H49" s="105">
        <f t="shared" si="3"/>
        <v>-3746.6487189934342</v>
      </c>
      <c r="I49" s="37">
        <f>+I6-(I27-I40)</f>
        <v>156727011.20000052</v>
      </c>
      <c r="J49" s="44">
        <f t="shared" si="4"/>
        <v>2.7036997247255927</v>
      </c>
      <c r="K49" s="37">
        <f t="shared" si="5"/>
        <v>220832603.15899992</v>
      </c>
      <c r="L49" s="105">
        <f t="shared" si="6"/>
        <v>140.90270813446048</v>
      </c>
      <c r="M49" s="81" t="s">
        <v>135</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223667018.51999998</v>
      </c>
      <c r="D50" s="44">
        <f t="shared" si="1"/>
        <v>3.6223725993586626</v>
      </c>
      <c r="E50" s="37">
        <f>+E51+E52+E53</f>
        <v>240640567.13</v>
      </c>
      <c r="F50" s="44">
        <f t="shared" si="0"/>
        <v>3.8972656873319731</v>
      </c>
      <c r="G50" s="37">
        <f t="shared" si="2"/>
        <v>-16973548.610000014</v>
      </c>
      <c r="H50" s="105">
        <f t="shared" si="3"/>
        <v>-7.0534859572660764</v>
      </c>
      <c r="I50" s="37">
        <f>+I51+I52+I53</f>
        <v>225530475.14999998</v>
      </c>
      <c r="J50" s="44">
        <f t="shared" si="4"/>
        <v>3.8906291832628592</v>
      </c>
      <c r="K50" s="37">
        <f t="shared" si="5"/>
        <v>-1863456.6299999952</v>
      </c>
      <c r="L50" s="105">
        <f t="shared" si="6"/>
        <v>-0.82625491245057958</v>
      </c>
      <c r="M50" s="81" t="s">
        <v>138</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52</v>
      </c>
      <c r="C51" s="23">
        <f>+'Centralna država-ek klas'!C68+'Lokalna država-ek klas '!C61</f>
        <v>69033774.179999992</v>
      </c>
      <c r="D51" s="41">
        <f t="shared" si="1"/>
        <v>1.1180282800505295</v>
      </c>
      <c r="E51" s="23">
        <f>+'Centralna država-ek klas'!E68+'Lokalna država-ek klas '!E61</f>
        <v>70407609.100000009</v>
      </c>
      <c r="F51" s="41">
        <f t="shared" si="0"/>
        <v>1.1402780601172546</v>
      </c>
      <c r="G51" s="23">
        <f t="shared" si="2"/>
        <v>-1373834.9200000167</v>
      </c>
      <c r="H51" s="98">
        <f t="shared" si="3"/>
        <v>-1.9512591573003988</v>
      </c>
      <c r="I51" s="23">
        <f>+'Centralna država-ek klas'!I68+'Lokalna država-ek klas '!I61</f>
        <v>33758601.899999991</v>
      </c>
      <c r="J51" s="41">
        <f t="shared" si="4"/>
        <v>0.58237008391410294</v>
      </c>
      <c r="K51" s="23">
        <f t="shared" si="5"/>
        <v>35275172.280000001</v>
      </c>
      <c r="L51" s="98">
        <f t="shared" si="6"/>
        <v>104.49239688448122</v>
      </c>
      <c r="M51" s="74" t="s">
        <v>139</v>
      </c>
    </row>
    <row r="52" spans="1:16357" ht="15" customHeight="1">
      <c r="A52" s="21">
        <v>4612</v>
      </c>
      <c r="B52" s="22" t="s">
        <v>53</v>
      </c>
      <c r="C52" s="23">
        <f>+'Centralna država-ek klas'!C69+'Lokalna država-ek klas '!C62</f>
        <v>154633244.33999997</v>
      </c>
      <c r="D52" s="41">
        <f t="shared" si="1"/>
        <v>2.5043443193081325</v>
      </c>
      <c r="E52" s="23">
        <f>+'Centralna država-ek klas'!E69+'Lokalna država-ek klas '!E62</f>
        <v>170232958.03</v>
      </c>
      <c r="F52" s="41">
        <f t="shared" si="0"/>
        <v>2.7569876272147185</v>
      </c>
      <c r="G52" s="23">
        <f t="shared" si="2"/>
        <v>-15599713.690000027</v>
      </c>
      <c r="H52" s="98">
        <f t="shared" si="3"/>
        <v>-9.1637447122612485</v>
      </c>
      <c r="I52" s="23">
        <f>+'Centralna država-ek klas'!I69+'Lokalna država-ek klas '!I62</f>
        <v>191771873.25</v>
      </c>
      <c r="J52" s="41">
        <f t="shared" si="4"/>
        <v>3.3082590993487573</v>
      </c>
      <c r="K52" s="23">
        <f t="shared" si="5"/>
        <v>-37138628.910000026</v>
      </c>
      <c r="L52" s="98">
        <f t="shared" si="6"/>
        <v>-19.366045854693667</v>
      </c>
      <c r="M52" s="74" t="s">
        <v>140</v>
      </c>
    </row>
    <row r="53" spans="1:16357" ht="15" hidden="1" customHeight="1">
      <c r="A53" s="18">
        <v>463</v>
      </c>
      <c r="B53" s="19" t="s">
        <v>46</v>
      </c>
      <c r="C53" s="20">
        <v>0</v>
      </c>
      <c r="D53" s="40">
        <f t="shared" ref="D53" si="7">+C53/$C$2*100</f>
        <v>0</v>
      </c>
      <c r="E53" s="20">
        <v>0</v>
      </c>
      <c r="F53" s="40">
        <f t="shared" ref="F53" si="8">+E53/$E$2*100</f>
        <v>0</v>
      </c>
      <c r="G53" s="20">
        <f t="shared" ref="G53" si="9">+C53-E53</f>
        <v>0</v>
      </c>
      <c r="H53" s="93" t="e">
        <f t="shared" ref="H53" si="10">+C53/E53*100-100</f>
        <v>#DIV/0!</v>
      </c>
      <c r="I53" s="20">
        <f>+'Lokalna država-ek klas '!I63</f>
        <v>0</v>
      </c>
      <c r="J53" s="40">
        <f t="shared" ref="J53" si="11">+I53/$I$2*100</f>
        <v>0</v>
      </c>
      <c r="K53" s="20">
        <f t="shared" ref="K53" si="12">+C53-I53</f>
        <v>0</v>
      </c>
      <c r="L53" s="93" t="e">
        <f t="shared" ref="L53" si="13">+C53/I53*100-100</f>
        <v>#DIV/0!</v>
      </c>
      <c r="M53" s="73" t="s">
        <v>131</v>
      </c>
    </row>
    <row r="54" spans="1:16357" s="38" customFormat="1" ht="15" customHeight="1">
      <c r="A54" s="35">
        <v>4418</v>
      </c>
      <c r="B54" s="36" t="s">
        <v>63</v>
      </c>
      <c r="C54" s="37">
        <f>+'Centralna država-ek klas'!C70+'Lokalna država-ek klas '!C64</f>
        <v>720866.76</v>
      </c>
      <c r="D54" s="44">
        <f t="shared" si="1"/>
        <v>1.1674711884170635E-2</v>
      </c>
      <c r="E54" s="37">
        <f>+'Centralna država-ek klas'!E70+'Lokalna država-ek klas '!E64</f>
        <v>749000</v>
      </c>
      <c r="F54" s="44">
        <f t="shared" ref="F54:F63" si="14">+E54/$E$2*100</f>
        <v>1.2130340426910245E-2</v>
      </c>
      <c r="G54" s="37">
        <f t="shared" si="2"/>
        <v>-28133.239999999991</v>
      </c>
      <c r="H54" s="105">
        <f t="shared" si="3"/>
        <v>-3.7561068090787728</v>
      </c>
      <c r="I54" s="37">
        <f>+'Centralna država-ek klas'!I70+'Lokalna država-ek klas '!I64</f>
        <v>14999998.93</v>
      </c>
      <c r="J54" s="44">
        <f t="shared" si="4"/>
        <v>0.25876517817450123</v>
      </c>
      <c r="K54" s="37">
        <f t="shared" si="5"/>
        <v>-14279132.17</v>
      </c>
      <c r="L54" s="105">
        <f t="shared" si="6"/>
        <v>-95.194221257187777</v>
      </c>
      <c r="M54" s="81" t="s">
        <v>141</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v>45</v>
      </c>
      <c r="B55" s="36" t="s">
        <v>44</v>
      </c>
      <c r="C55" s="37">
        <f>+'Centralna država-ek klas'!C71+'Lokalna država-ek klas '!C65</f>
        <v>9123741.1699999999</v>
      </c>
      <c r="D55" s="44">
        <f t="shared" si="1"/>
        <v>0.14776246509895377</v>
      </c>
      <c r="E55" s="37">
        <f>+'Centralna država-ek klas'!E71+'Lokalna država-ek klas '!E65</f>
        <v>0</v>
      </c>
      <c r="F55" s="44">
        <f t="shared" si="14"/>
        <v>0</v>
      </c>
      <c r="G55" s="37">
        <f t="shared" si="2"/>
        <v>9123741.1699999999</v>
      </c>
      <c r="H55" s="105" t="e">
        <f t="shared" si="3"/>
        <v>#DIV/0!</v>
      </c>
      <c r="I55" s="37">
        <f>+'Centralna država-ek klas'!I71+'Lokalna država-ek klas '!I65</f>
        <v>23399407.350000001</v>
      </c>
      <c r="J55" s="44">
        <f t="shared" si="4"/>
        <v>0.40366348293469406</v>
      </c>
      <c r="K55" s="37">
        <f t="shared" si="5"/>
        <v>-14275666.180000002</v>
      </c>
      <c r="L55" s="105">
        <f t="shared" si="6"/>
        <v>-61.008665589130835</v>
      </c>
      <c r="M55" s="81" t="s">
        <v>129</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54</v>
      </c>
      <c r="C56" s="37">
        <f>+C47-C50-C54-C55</f>
        <v>-21032001.690999441</v>
      </c>
      <c r="D56" s="44">
        <f t="shared" si="1"/>
        <v>-0.34062128220450621</v>
      </c>
      <c r="E56" s="37">
        <f>+E47-E50-E54-E55</f>
        <v>-565752250.09626806</v>
      </c>
      <c r="F56" s="44">
        <f t="shared" si="14"/>
        <v>-9.162573285658473</v>
      </c>
      <c r="G56" s="37">
        <f t="shared" ref="G56:G63" si="15">+C56-E56</f>
        <v>544720248.40526867</v>
      </c>
      <c r="H56" s="105">
        <f t="shared" ref="H56:H63" si="16">+C56/E56*100-100</f>
        <v>-96.282471402027895</v>
      </c>
      <c r="I56" s="37">
        <f>+I47-I50-I54-I55</f>
        <v>-326643771.43999952</v>
      </c>
      <c r="J56" s="44">
        <f t="shared" si="4"/>
        <v>-5.6349359830429355</v>
      </c>
      <c r="K56" s="37">
        <f t="shared" ref="K56:K63" si="17">+C56-I56</f>
        <v>305611769.74900007</v>
      </c>
      <c r="L56" s="105">
        <f t="shared" ref="L56:L63" si="18">+C56/I56*100-100</f>
        <v>-93.561180855131425</v>
      </c>
      <c r="M56" s="81" t="s">
        <v>142</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s="38" customFormat="1" ht="15" customHeight="1">
      <c r="A57" s="35"/>
      <c r="B57" s="36" t="s">
        <v>48</v>
      </c>
      <c r="C57" s="37">
        <f>+SUM(C58:C63)+C46</f>
        <v>21032001.690999448</v>
      </c>
      <c r="D57" s="44">
        <f t="shared" ref="D57:D63" si="19">+C57/$C$2*100</f>
        <v>0.34062128220450638</v>
      </c>
      <c r="E57" s="37">
        <f>+SUM(E58:E63)+E46</f>
        <v>565752250.09626806</v>
      </c>
      <c r="F57" s="44">
        <f t="shared" si="14"/>
        <v>9.162573285658473</v>
      </c>
      <c r="G57" s="37">
        <f t="shared" si="15"/>
        <v>-544720248.40526867</v>
      </c>
      <c r="H57" s="105">
        <f t="shared" si="16"/>
        <v>-96.282471402027895</v>
      </c>
      <c r="I57" s="37">
        <f>+SUM(I58:I63)+I46</f>
        <v>326643771.43999952</v>
      </c>
      <c r="J57" s="44">
        <f t="shared" ref="J57:J63" si="20">+I57/$I$2*100</f>
        <v>5.6349359830429355</v>
      </c>
      <c r="K57" s="37">
        <f t="shared" si="17"/>
        <v>-305611769.74900007</v>
      </c>
      <c r="L57" s="105">
        <f t="shared" si="18"/>
        <v>-93.561180855131425</v>
      </c>
      <c r="M57" s="81" t="s">
        <v>143</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row>
    <row r="58" spans="1:16357">
      <c r="A58" s="21">
        <v>7511</v>
      </c>
      <c r="B58" s="22" t="s">
        <v>55</v>
      </c>
      <c r="C58" s="23">
        <f>+'Centralna država-ek klas'!C74+'Lokalna država-ek klas '!C68</f>
        <v>1886416.87</v>
      </c>
      <c r="D58" s="41">
        <f t="shared" si="19"/>
        <v>3.0551240080329091E-2</v>
      </c>
      <c r="E58" s="23">
        <f>+'Centralna država-ek klas'!E74+'Lokalna država-ek klas '!E68</f>
        <v>102295000</v>
      </c>
      <c r="F58" s="41">
        <f t="shared" si="14"/>
        <v>1.6567065073041169</v>
      </c>
      <c r="G58" s="23">
        <f t="shared" si="15"/>
        <v>-100408583.13</v>
      </c>
      <c r="H58" s="98">
        <f t="shared" si="16"/>
        <v>-98.155905107776533</v>
      </c>
      <c r="I58" s="23">
        <f>+'Centralna država-ek klas'!I74+'Lokalna država-ek klas '!I68</f>
        <v>3417189.8000000003</v>
      </c>
      <c r="J58" s="41">
        <f t="shared" si="20"/>
        <v>5.8949986035304894E-2</v>
      </c>
      <c r="K58" s="23">
        <f t="shared" si="17"/>
        <v>-1530772.9300000002</v>
      </c>
      <c r="L58" s="98">
        <f t="shared" si="18"/>
        <v>-44.79625129397261</v>
      </c>
      <c r="M58" s="74" t="s">
        <v>144</v>
      </c>
    </row>
    <row r="59" spans="1:16357" ht="15" customHeight="1">
      <c r="A59" s="21">
        <v>7512</v>
      </c>
      <c r="B59" s="22" t="s">
        <v>49</v>
      </c>
      <c r="C59" s="23">
        <f>+'Centralna država-ek klas'!C75+'Lokalna država-ek klas '!C69</f>
        <v>120436530.20999998</v>
      </c>
      <c r="D59" s="41">
        <f t="shared" si="19"/>
        <v>1.9505155023807206</v>
      </c>
      <c r="E59" s="23">
        <f>+'Centralna država-ek klas'!E75+'Lokalna država-ek klas '!E69</f>
        <v>504842830.68901968</v>
      </c>
      <c r="F59" s="41">
        <f t="shared" si="14"/>
        <v>8.1761220271599733</v>
      </c>
      <c r="G59" s="23">
        <f t="shared" si="15"/>
        <v>-384406300.4790197</v>
      </c>
      <c r="H59" s="98">
        <f t="shared" si="16"/>
        <v>-76.14375744513876</v>
      </c>
      <c r="I59" s="23">
        <f>+'Centralna država-ek klas'!I75+'Lokalna država-ek klas '!I69</f>
        <v>102799637.59000002</v>
      </c>
      <c r="J59" s="41">
        <f t="shared" si="20"/>
        <v>1.7733978956524172</v>
      </c>
      <c r="K59" s="23">
        <f t="shared" si="17"/>
        <v>17636892.61999996</v>
      </c>
      <c r="L59" s="98">
        <f t="shared" si="18"/>
        <v>17.156570814327083</v>
      </c>
      <c r="M59" s="74" t="s">
        <v>145</v>
      </c>
    </row>
    <row r="60" spans="1:16357" ht="15" customHeight="1">
      <c r="A60" s="18">
        <v>72</v>
      </c>
      <c r="B60" s="19" t="s">
        <v>172</v>
      </c>
      <c r="C60" s="20">
        <f>+'Centralna država-ek klas'!C76+'Lokalna država-ek klas '!C70</f>
        <v>7026034.1699999999</v>
      </c>
      <c r="D60" s="40">
        <f t="shared" si="19"/>
        <v>0.11378930084539889</v>
      </c>
      <c r="E60" s="20">
        <f>+'Centralna država-ek klas'!E76+'Lokalna država-ek klas '!E70</f>
        <v>16265250</v>
      </c>
      <c r="F60" s="40">
        <f t="shared" si="14"/>
        <v>0.26342192206782628</v>
      </c>
      <c r="G60" s="20">
        <f t="shared" si="15"/>
        <v>-9239215.8300000001</v>
      </c>
      <c r="H60" s="93">
        <f t="shared" si="16"/>
        <v>-56.803404989164015</v>
      </c>
      <c r="I60" s="20">
        <f>+'Centralna država-ek klas'!I76+'Lokalna država-ek klas '!I70</f>
        <v>22841570.199999996</v>
      </c>
      <c r="J60" s="40">
        <f t="shared" si="20"/>
        <v>0.39404022694742796</v>
      </c>
      <c r="K60" s="20">
        <f t="shared" si="17"/>
        <v>-15815536.029999996</v>
      </c>
      <c r="L60" s="93">
        <f t="shared" si="18"/>
        <v>-69.240143700803884</v>
      </c>
      <c r="M60" s="73" t="s">
        <v>146</v>
      </c>
    </row>
    <row r="61" spans="1:16357" ht="15" customHeight="1">
      <c r="A61" s="28">
        <v>73</v>
      </c>
      <c r="B61" s="19" t="s">
        <v>187</v>
      </c>
      <c r="C61" s="20">
        <f>+'Centralna država-ek klas'!C77+'Lokalna država-ek klas '!C71</f>
        <v>10236541.969999999</v>
      </c>
      <c r="D61" s="40">
        <f t="shared" si="19"/>
        <v>0.16578469811809668</v>
      </c>
      <c r="E61" s="20">
        <f>+'Centralna država-ek klas'!E77+'Lokalna država-ek klas '!E71</f>
        <v>235875</v>
      </c>
      <c r="F61" s="40">
        <f t="shared" si="14"/>
        <v>3.8200855116120886E-3</v>
      </c>
      <c r="G61" s="20">
        <f t="shared" si="15"/>
        <v>10000666.969999999</v>
      </c>
      <c r="H61" s="93">
        <f t="shared" si="16"/>
        <v>4239.8164154742972</v>
      </c>
      <c r="I61" s="20">
        <f>+'Centralna država-ek klas'!I77+'Lokalna država-ek klas '!I71</f>
        <v>12143714.930000002</v>
      </c>
      <c r="J61" s="40">
        <f t="shared" si="20"/>
        <v>0.20949138544783891</v>
      </c>
      <c r="K61" s="20">
        <f t="shared" si="17"/>
        <v>-1907172.9600000028</v>
      </c>
      <c r="L61" s="93">
        <f t="shared" si="18"/>
        <v>-15.705020835827568</v>
      </c>
      <c r="M61" s="73" t="s">
        <v>108</v>
      </c>
    </row>
    <row r="62" spans="1:16357" ht="15" customHeight="1">
      <c r="A62" s="28"/>
      <c r="B62" s="29" t="s">
        <v>152</v>
      </c>
      <c r="C62" s="30">
        <f>+'Lokalna država-ek klas '!C72</f>
        <v>14790886.709999999</v>
      </c>
      <c r="D62" s="40">
        <f t="shared" si="19"/>
        <v>0.23954404673986979</v>
      </c>
      <c r="E62" s="30">
        <f>+'Lokalna država-ek klas '!E72</f>
        <v>7348004.977500001</v>
      </c>
      <c r="F62" s="40">
        <f t="shared" si="14"/>
        <v>0.11900374076863279</v>
      </c>
      <c r="G62" s="20">
        <f t="shared" si="15"/>
        <v>7442881.7324999981</v>
      </c>
      <c r="H62" s="93">
        <f t="shared" si="16"/>
        <v>101.29119067407433</v>
      </c>
      <c r="I62" s="30">
        <f>+'Lokalna država-ek klas '!I72</f>
        <v>5123936.7300000004</v>
      </c>
      <c r="J62" s="40">
        <f t="shared" si="20"/>
        <v>8.8393099698262534E-2</v>
      </c>
      <c r="K62" s="20">
        <f t="shared" si="17"/>
        <v>9666949.9799999986</v>
      </c>
      <c r="L62" s="93">
        <f t="shared" si="18"/>
        <v>188.66255555813621</v>
      </c>
      <c r="M62" s="76" t="s">
        <v>153</v>
      </c>
    </row>
    <row r="63" spans="1:16357" ht="15" customHeight="1" thickBot="1">
      <c r="A63" s="24"/>
      <c r="B63" s="25" t="s">
        <v>50</v>
      </c>
      <c r="C63" s="26">
        <f>+-C56-(SUM(C58:C62)+C46)</f>
        <v>-133344408.23900053</v>
      </c>
      <c r="D63" s="42">
        <f t="shared" si="19"/>
        <v>-2.159563505959909</v>
      </c>
      <c r="E63" s="26">
        <f>+-E56-(SUM(E58:E62)+E46)</f>
        <v>-65234710.570251584</v>
      </c>
      <c r="F63" s="42">
        <f t="shared" si="14"/>
        <v>-1.0565009971536874</v>
      </c>
      <c r="G63" s="26">
        <f t="shared" si="15"/>
        <v>-68109697.668748945</v>
      </c>
      <c r="H63" s="99">
        <f t="shared" si="16"/>
        <v>104.40714318093168</v>
      </c>
      <c r="I63" s="26">
        <f>+-I56-(SUM(I58:I62)+I46)</f>
        <v>180317722.18999952</v>
      </c>
      <c r="J63" s="42">
        <f t="shared" si="20"/>
        <v>3.1106633892616848</v>
      </c>
      <c r="K63" s="26">
        <f t="shared" si="17"/>
        <v>-313662130.42900002</v>
      </c>
      <c r="L63" s="99">
        <f t="shared" si="18"/>
        <v>-173.94969646882322</v>
      </c>
      <c r="M63" s="77" t="s">
        <v>147</v>
      </c>
    </row>
    <row r="64" spans="1:16357" ht="13.5" customHeight="1"/>
  </sheetData>
  <sheetProtection algorithmName="SHA-512" hashValue="Xc6rR3dBnBQIlW58mg8MBw3OR7krN8JrpwflLoJAoJcUmYTdOggl6qV7SUUnLpL67s41CiruIODI1mA0JkInTw==" saltValue="MAO8rJ/mqmQC+v7yamdZQA=="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15"/>
      <c r="C4" s="115" t="s">
        <v>174</v>
      </c>
      <c r="D4" s="125" t="s">
        <v>175</v>
      </c>
    </row>
    <row r="5" spans="2:4">
      <c r="B5" s="116"/>
      <c r="C5" s="116"/>
      <c r="D5" s="126"/>
    </row>
    <row r="6" spans="2:4" ht="13.5">
      <c r="B6" s="22" t="s">
        <v>178</v>
      </c>
      <c r="C6" s="23">
        <v>51122438.960000001</v>
      </c>
      <c r="D6" s="23">
        <v>50118940.61699906</v>
      </c>
    </row>
    <row r="7" spans="2:4" ht="13.5">
      <c r="B7" s="22" t="s">
        <v>177</v>
      </c>
      <c r="C7" s="23">
        <v>59697131.339999996</v>
      </c>
      <c r="D7" s="23">
        <v>57763326.64507816</v>
      </c>
    </row>
    <row r="8" spans="2:4" ht="13.5">
      <c r="B8" s="22" t="s">
        <v>176</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Bojan Paunovic</cp:lastModifiedBy>
  <cp:lastPrinted>2024-03-28T06:44:29Z</cp:lastPrinted>
  <dcterms:created xsi:type="dcterms:W3CDTF">2008-03-17T08:49:23Z</dcterms:created>
  <dcterms:modified xsi:type="dcterms:W3CDTF">2024-03-31T09:47:10Z</dcterms:modified>
</cp:coreProperties>
</file>