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xkRjw6hv7/9HWVSAQwJIdS9Tfkxed0ZstMwjpfFG0ClU+hZ6psyl78veS8032xeIoCtVu/bOcmT8GPr3yJMHQg==" workbookSaltValue="8HBiWTQOeS9LRfvCjUw4Gw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Pregled" sheetId="1" r:id="rId2"/>
    <sheet name="Analiti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20" l="1"/>
  <c r="R11" i="11" l="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N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G5" i="22" l="1"/>
  <c r="H5" i="22"/>
  <c r="I5" i="22"/>
  <c r="J5" i="22"/>
  <c r="K5" i="22"/>
  <c r="L5" i="22"/>
  <c r="M5" i="22"/>
  <c r="N5" i="22"/>
  <c r="O5" i="22"/>
  <c r="P19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N55" i="11" s="1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N40" i="11" s="1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N30" i="11" s="1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N29" i="1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R54" i="22" s="1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Q64" i="22" l="1"/>
  <c r="N59" i="11"/>
  <c r="Q54" i="22"/>
  <c r="N54" i="11" s="1"/>
  <c r="N53" i="11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Q60" i="22" l="1"/>
  <c r="N60" i="11" s="1"/>
  <c r="N64" i="11"/>
  <c r="P138" i="22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G20" i="1" s="1"/>
  <c r="S59" i="22"/>
  <c r="T59" i="22" s="1"/>
  <c r="G138" i="22"/>
  <c r="S133" i="22"/>
  <c r="Q54" i="11"/>
  <c r="S128" i="22"/>
  <c r="P134" i="22" l="1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<sst xmlns="http://schemas.openxmlformats.org/spreadsheetml/2006/main" count="1728" uniqueCount="828">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</sst>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novembar 2021. godine iznosili su 1.663,2 mil. € ili 34,1%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na nivou su planiranih. U odnosu na isti period prethodne godine prihodi su veći za 207,8 mil. € ili 14,3%.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novembar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1.739,4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35,6%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113,3 mil. € ili 6,1% u odnosu na isti period prethodne godine. U odnosu na planirane, izdaci su manji za 112,0 mil. € ili 6,1%. U periodu januar - novembar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76,2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1,6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112,1 mil. € ili 59,5% manje od planiranog, odnosno za 321,1 mil. € ili 80,8% manje od zabilježenog u istom periodu 2020.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godine, odnosno Zakonom o budžetu za 2021. godinu za period jul - decembar.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2021-11</v>
      </c>
      <c r="O6" s="143" t="str">
        <f>+CONCATENATE(N6,"p")</f>
        <v>2021-11p</v>
      </c>
      <c r="P6" s="130"/>
      <c r="Q6" s="130"/>
      <c r="R6" s="143" t="str">
        <f>+IF(Master!B3-10&gt;=0,CONCATENATE(Master!B4-1,"-",Master!B3),CONCATENATE(Master!B4-1,"-0",Master!B3))</f>
        <v>2020-11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Nov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Novembar 2020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Ostali državni porezi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Doprinosi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Doprinosi za penzijsko i invalidsko osiguranje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Doprinosi za zdravstveno osiguranje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Doprinosi za osiguranje od nezaposlenosti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Ostali doprinosi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Takse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Naknade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Ostali prihodi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Primici od otplate kredita i sredstva prenesena iz prethodne godine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Donacije i transferi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Izdaci budžeta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Tekući izdaci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Tekuća budžetska potrošnja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Bruto zarade i doprinosi na teret poslodavca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Ostala lična primanja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Rashodi za materijal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Rashodi za usluge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Rashodi za tekuće održavanje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Kamate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Renta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Subvencije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Ostali izdaci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Transferi za socijalnu zaštitu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Prava iz oblasti socijalne zaštite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Sredstva za tehnološke viškove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Prava iz oblasti penzijskog i invalidskog osiguranja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Ostala prava iz oblasti zdravstvene zaštite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Ostala prava iz zdravstvenog osiguranja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Transferi institucijama, pojedincima, nevladinom i javnom sektoru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Kapitalni izdaci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Pozajmice i krediti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Rezerve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Otplata garancija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Otplata obaveza iz prethodnog perioda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Neto povećanje obaveza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Suficit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Primarni suficit/deficit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Otplata dugova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Otplata hartija od vrijednosti i kredita rezidentima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Otplata hartija od vrijednosti i kredita nerezidentima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Nedostajuća sredstva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Finansiranje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Pozajmice i krediti od domaćih izvora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Pozajmice i krediti od inostranih izvora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Primici od prodaje imovine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G12" sqref="G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Novembar</v>
      </c>
      <c r="E11" s="135"/>
      <c r="F11" s="135"/>
      <c r="G11" s="137" t="str">
        <f>+Master!G273</f>
        <v>Prihodi za period Januar - Novembar</v>
      </c>
      <c r="H11" s="135"/>
      <c r="I11" s="135"/>
      <c r="J11" s="135"/>
      <c r="K11" s="136"/>
    </row>
    <row r="12" spans="3:11">
      <c r="C12" s="134"/>
      <c r="D12" s="138">
        <f>+'Analitika - 2021'!N10</f>
        <v>158634203.05000001</v>
      </c>
      <c r="E12" s="456">
        <f>+D12/'2021'!T7</f>
        <v>3.2498351473992583E-2</v>
      </c>
      <c r="F12" s="135"/>
      <c r="G12" s="138">
        <f>+'Analitika - 2021'!G10</f>
        <v>1663210181.8</v>
      </c>
      <c r="H12" s="456">
        <f>+G12/'2021'!T7</f>
        <v>0.34073099006412227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Novembar</v>
      </c>
      <c r="E15" s="135"/>
      <c r="F15" s="135"/>
      <c r="G15" s="137" t="str">
        <f>+Master!G274</f>
        <v>Rashodi za period Januar - Novembar</v>
      </c>
      <c r="H15" s="135"/>
      <c r="I15" s="135"/>
      <c r="J15" s="135"/>
      <c r="K15" s="136"/>
    </row>
    <row r="16" spans="3:11">
      <c r="C16" s="134"/>
      <c r="D16" s="138">
        <f>+'Analitika - 2021'!N29</f>
        <v>172182918.45999998</v>
      </c>
      <c r="E16" s="456">
        <f>+D16/'2021'!T7</f>
        <v>3.52739881711839E-2</v>
      </c>
      <c r="F16" s="135"/>
      <c r="G16" s="138">
        <f>+'Analitika - 2021'!G29</f>
        <v>1739392021.8500001</v>
      </c>
      <c r="H16" s="456">
        <f>+G16/'2021'!T7</f>
        <v>0.35633786529203287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Novembar</v>
      </c>
      <c r="E19" s="135"/>
      <c r="F19" s="135"/>
      <c r="G19" s="137" t="str">
        <f>+Master!G275</f>
        <v>Suficit/Deficit za period Januar - Novembar</v>
      </c>
      <c r="H19" s="135"/>
      <c r="I19" s="135"/>
      <c r="J19" s="135"/>
      <c r="K19" s="136"/>
    </row>
    <row r="20" spans="3:12">
      <c r="C20" s="134"/>
      <c r="D20" s="138">
        <f>+'Analitika - 2021'!N53</f>
        <v>-13548715.409999967</v>
      </c>
      <c r="E20" s="456">
        <f>+D20/'2021'!T7</f>
        <v>-2.7756366971913153E-3</v>
      </c>
      <c r="F20" s="135"/>
      <c r="G20" s="138">
        <f>+'Analitika - 2021'!G53</f>
        <v>-76181840.049999923</v>
      </c>
      <c r="H20" s="456">
        <f>+G20/'2021'!T7</f>
        <v>-1.5606875227910582E-2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RKT/ZEUaWgufzzLTs388BDrsQc/MQGVhMEI9fhs2w/7RV/auyB+h7gY4WEtjZ/h7wigENvP1+AqLHLPLmJ2DAQ==" saltValue="eiB0kHjv72W0Bfn5KhmuI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  <c r="P2" s="36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2021-11</v>
      </c>
      <c r="O6" s="143" t="str">
        <f>+CONCATENATE(N6,"p")</f>
        <v>2021-11p</v>
      </c>
      <c r="P6" s="130"/>
      <c r="Q6" s="130"/>
      <c r="R6" s="143" t="str">
        <f>+IF(Master!B3-10&gt;=0,CONCATENATE(Master!B4-1,"-",Master!B3),CONCATENATE(Master!B4-1,"-0",Master!B3))</f>
        <v>2020-11</v>
      </c>
      <c r="S6" s="130"/>
      <c r="T6" s="130"/>
    </row>
    <row r="7" spans="1:20">
      <c r="A7" s="144"/>
      <c r="B7" s="506" t="str">
        <f>+Master!G253</f>
        <v>Analitika za period Jan - Nov</v>
      </c>
      <c r="C7" s="507"/>
      <c r="D7" s="507"/>
      <c r="E7" s="507"/>
      <c r="F7" s="507"/>
      <c r="G7" s="515" t="str">
        <f>+Master!G245</f>
        <v>Jan - Nov</v>
      </c>
      <c r="H7" s="516"/>
      <c r="I7" s="516"/>
      <c r="J7" s="516"/>
      <c r="K7" s="516"/>
      <c r="L7" s="516"/>
      <c r="M7" s="517"/>
      <c r="N7" s="518" t="str">
        <f>+Master!G244</f>
        <v>Novembar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Ostvarenje</v>
      </c>
      <c r="H8" s="145" t="str">
        <f>+Master!G24</f>
        <v>Plan</v>
      </c>
      <c r="I8" s="502" t="str">
        <f>+Master!G260</f>
        <v>Odstupanje</v>
      </c>
      <c r="J8" s="502"/>
      <c r="K8" s="145" t="str">
        <f>+CONCATENATE(Master!G245," ",Master!B4-1)</f>
        <v>Jan - Nov 2020</v>
      </c>
      <c r="L8" s="502" t="str">
        <f>+I8</f>
        <v>Odstupanje</v>
      </c>
      <c r="M8" s="514"/>
      <c r="N8" s="146" t="str">
        <f>+G8</f>
        <v>Ostvarenje</v>
      </c>
      <c r="O8" s="145" t="str">
        <f>+H8</f>
        <v>Plan</v>
      </c>
      <c r="P8" s="502" t="str">
        <f>+I8</f>
        <v>Odstupanje</v>
      </c>
      <c r="Q8" s="502"/>
      <c r="R8" s="145" t="str">
        <f>+CONCATENATE(Master!G244," ",Master!B4-1)</f>
        <v>Novembar 2020</v>
      </c>
      <c r="S8" s="502" t="str">
        <f>+P8</f>
        <v>Odstupanje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Prihodi budžeta</v>
      </c>
      <c r="C10" s="527"/>
      <c r="D10" s="527"/>
      <c r="E10" s="527"/>
      <c r="F10" s="527"/>
      <c r="G10" s="151">
        <f>'2021'!S10</f>
        <v>1663210181.8</v>
      </c>
      <c r="H10" s="151">
        <f>SUM('2021'!G84:Q84)</f>
        <v>1663111065.0853062</v>
      </c>
      <c r="I10" s="152">
        <f>+G10-H10</f>
        <v>99116.714693784714</v>
      </c>
      <c r="J10" s="154">
        <f>IF(+IF(ISERROR(G10/H10),"…",G10/H10-1)&gt;200%,"...",IF(ISERROR(G10/H10),"…",G10/H10-1))</f>
        <v>5.9597171093717094E-5</v>
      </c>
      <c r="K10" s="151">
        <f>SUM('2020'!G10:Q10)</f>
        <v>1455441399.0700002</v>
      </c>
      <c r="L10" s="152">
        <f>+G10-K10</f>
        <v>207768782.72999978</v>
      </c>
      <c r="M10" s="154">
        <f>IF(+IF(ISERROR(G10/K10),"…",G10/K10-1)&gt;200%,"...",IF(ISERROR(G10/K10),"…",G10/K10-1))</f>
        <v>0.14275310765707228</v>
      </c>
      <c r="N10" s="151">
        <f>'2021'!Q10</f>
        <v>158634203.05000001</v>
      </c>
      <c r="O10" s="151">
        <f>'2021'!Q84</f>
        <v>160886587.28362191</v>
      </c>
      <c r="P10" s="152">
        <f>+N10-O10</f>
        <v>-2252384.2336218953</v>
      </c>
      <c r="Q10" s="154">
        <f>IF(+IF(ISERROR(N10/O10),"…",N10/O10-1)&gt;200%,"...",IF(ISERROR(N10/O10),"…",N10/O10-1))</f>
        <v>-1.399982603677985E-2</v>
      </c>
      <c r="R10" s="151">
        <f>'2020'!Q10</f>
        <v>152121354.52000001</v>
      </c>
      <c r="S10" s="152">
        <f>+N10-R10</f>
        <v>6512848.5300000012</v>
      </c>
      <c r="T10" s="154">
        <f>IF(+IF(ISERROR(N10/R10),"…",N10/R10-1)&gt;200%,"...",IF(ISERROR(N10/R10),"…",N10/R10-1))</f>
        <v>4.2813506036351701E-2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277">
        <f>'2021'!S11</f>
        <v>1066122095.95</v>
      </c>
      <c r="H11" s="277">
        <f>SUM('2021'!G85:Q85)</f>
        <v>1003605611.2973404</v>
      </c>
      <c r="I11" s="158">
        <f t="shared" ref="I11:I57" si="0">+G11-H11</f>
        <v>62516484.652659655</v>
      </c>
      <c r="J11" s="160">
        <f t="shared" ref="J11:J64" si="1">IF(+IF(ISERROR(G11/H11-1),"…",G11/H11-1)&gt;200%,"...",IF(ISERROR(G11/H11-1),"…",G11/H11-1))</f>
        <v>6.2291884330784031E-2</v>
      </c>
      <c r="K11" s="277">
        <f>SUM('2020'!G11:Q11)</f>
        <v>877751009.78999996</v>
      </c>
      <c r="L11" s="158">
        <f>+G11-K11</f>
        <v>188371086.16000009</v>
      </c>
      <c r="M11" s="160">
        <f t="shared" ref="M11:M64" si="2">IF(+IF(ISERROR(G11/K11),"…",G11/K11-1)&gt;200%,"...",IF(ISERROR(G11/K11),"…",G11/K11-1))</f>
        <v>0.21460651603815006</v>
      </c>
      <c r="N11" s="277">
        <f>'2021'!Q11</f>
        <v>100241778.90000001</v>
      </c>
      <c r="O11" s="277">
        <f>'2021'!Q85</f>
        <v>87618055.236293003</v>
      </c>
      <c r="P11" s="158">
        <f>+N11-O11</f>
        <v>12623723.663707003</v>
      </c>
      <c r="Q11" s="160">
        <f t="shared" ref="Q11:Q64" si="3">IF(+IF(ISERROR(N11/O11),"…",N11/O11-1)&gt;200%,"...",IF(ISERROR(N11/O11),"…",N11/O11-1))</f>
        <v>0.14407673886007477</v>
      </c>
      <c r="R11" s="277">
        <f>'2020'!Q11</f>
        <v>72792310.129999995</v>
      </c>
      <c r="S11" s="158">
        <f t="shared" ref="S11:S57" si="4">+N11-R11</f>
        <v>27449468.770000011</v>
      </c>
      <c r="T11" s="160">
        <f t="shared" ref="T11:T64" si="5">IF(+IF(ISERROR(N11/R11),"…",N11/R11-1)&gt;200%,"...",IF(ISERROR(N11/R11),"…",N11/R11-1))</f>
        <v>0.37709297480706305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'2021'!S12</f>
        <v>107686595.3</v>
      </c>
      <c r="H12" s="163">
        <f>SUM('2021'!G86:Q86)</f>
        <v>131013010.73697773</v>
      </c>
      <c r="I12" s="164">
        <f t="shared" si="0"/>
        <v>-23326415.436977729</v>
      </c>
      <c r="J12" s="166">
        <f t="shared" si="1"/>
        <v>-0.17804655664167535</v>
      </c>
      <c r="K12" s="163">
        <f>SUM('2020'!G12:Q12)</f>
        <v>100871490.60000001</v>
      </c>
      <c r="L12" s="164">
        <f>+G12-K12</f>
        <v>6815104.6999999881</v>
      </c>
      <c r="M12" s="166">
        <f t="shared" si="2"/>
        <v>6.7562248356424881E-2</v>
      </c>
      <c r="N12" s="163">
        <f>'2021'!Q12</f>
        <v>11130007.369999999</v>
      </c>
      <c r="O12" s="163">
        <f>'2021'!Q86</f>
        <v>14377895.871985486</v>
      </c>
      <c r="P12" s="164">
        <f t="shared" ref="P12:P57" si="6">+N12-O12</f>
        <v>-3247888.5019854866</v>
      </c>
      <c r="Q12" s="166">
        <f t="shared" si="3"/>
        <v>-0.22589456279995834</v>
      </c>
      <c r="R12" s="163">
        <f>'2020'!Q12</f>
        <v>9295535.8699999992</v>
      </c>
      <c r="S12" s="164">
        <f t="shared" si="4"/>
        <v>1834471.5</v>
      </c>
      <c r="T12" s="166">
        <f t="shared" si="5"/>
        <v>0.19734973062935435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'2021'!S13</f>
        <v>71318011.269999996</v>
      </c>
      <c r="H13" s="163">
        <f>SUM('2021'!G87:Q87)</f>
        <v>56200121.155610807</v>
      </c>
      <c r="I13" s="164">
        <f t="shared" si="0"/>
        <v>15117890.114389189</v>
      </c>
      <c r="J13" s="166">
        <f t="shared" si="1"/>
        <v>0.26900102354814726</v>
      </c>
      <c r="K13" s="163">
        <f>SUM('2020'!G13:Q13)</f>
        <v>76857503.689999998</v>
      </c>
      <c r="L13" s="164">
        <f t="shared" ref="L13:L57" si="7">+G13-K13</f>
        <v>-5539492.4200000018</v>
      </c>
      <c r="M13" s="166">
        <f t="shared" si="2"/>
        <v>-7.2074841805208845E-2</v>
      </c>
      <c r="N13" s="163">
        <f>'2021'!Q13</f>
        <v>572934.72</v>
      </c>
      <c r="O13" s="163">
        <f>'2021'!Q87</f>
        <v>783170.64768952818</v>
      </c>
      <c r="P13" s="164">
        <f t="shared" si="6"/>
        <v>-210235.92768952821</v>
      </c>
      <c r="Q13" s="166">
        <f t="shared" si="3"/>
        <v>-0.26844204173095099</v>
      </c>
      <c r="R13" s="163">
        <f>'2020'!Q13</f>
        <v>1030775.31</v>
      </c>
      <c r="S13" s="164">
        <f t="shared" si="4"/>
        <v>-457840.59000000008</v>
      </c>
      <c r="T13" s="166">
        <f t="shared" si="5"/>
        <v>-0.44417108710141695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'2021'!S14</f>
        <v>1751416.8699999999</v>
      </c>
      <c r="H14" s="163">
        <f>SUM('2021'!G88:Q88)</f>
        <v>1390286.0276998891</v>
      </c>
      <c r="I14" s="164">
        <f t="shared" si="0"/>
        <v>361130.84230011073</v>
      </c>
      <c r="J14" s="166">
        <f t="shared" si="1"/>
        <v>0.25975291062772987</v>
      </c>
      <c r="K14" s="163">
        <f>SUM('2020'!G14:Q14)</f>
        <v>1393749.36</v>
      </c>
      <c r="L14" s="164">
        <f t="shared" si="7"/>
        <v>357667.50999999978</v>
      </c>
      <c r="M14" s="166">
        <f t="shared" si="2"/>
        <v>0.25662254653878347</v>
      </c>
      <c r="N14" s="163">
        <f>'2021'!Q14</f>
        <v>256744.67</v>
      </c>
      <c r="O14" s="163">
        <f>'2021'!Q88</f>
        <v>130654.63070136901</v>
      </c>
      <c r="P14" s="164">
        <f t="shared" si="6"/>
        <v>126090.039298631</v>
      </c>
      <c r="Q14" s="166">
        <f t="shared" si="3"/>
        <v>0.96506368447689339</v>
      </c>
      <c r="R14" s="163">
        <f>'2020'!Q14</f>
        <v>97080.29</v>
      </c>
      <c r="S14" s="164">
        <f t="shared" si="4"/>
        <v>159664.38</v>
      </c>
      <c r="T14" s="166">
        <f t="shared" si="5"/>
        <v>1.6446631957939148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'2021'!S15</f>
        <v>622541014.23000002</v>
      </c>
      <c r="H15" s="163">
        <f>SUM('2021'!G89:Q89)</f>
        <v>561312646.07176495</v>
      </c>
      <c r="I15" s="164">
        <f t="shared" si="0"/>
        <v>61228368.158235073</v>
      </c>
      <c r="J15" s="166">
        <f t="shared" si="1"/>
        <v>0.10908068540185156</v>
      </c>
      <c r="K15" s="163">
        <f>SUM('2020'!G15:Q15)</f>
        <v>482165851.67000002</v>
      </c>
      <c r="L15" s="164">
        <f t="shared" si="7"/>
        <v>140375162.56</v>
      </c>
      <c r="M15" s="166">
        <f t="shared" si="2"/>
        <v>0.29113460041561479</v>
      </c>
      <c r="N15" s="163">
        <f>'2021'!Q15</f>
        <v>62811263.609999999</v>
      </c>
      <c r="O15" s="163">
        <f>'2021'!Q89</f>
        <v>48316463.859108962</v>
      </c>
      <c r="P15" s="164">
        <f t="shared" si="6"/>
        <v>14494799.750891037</v>
      </c>
      <c r="Q15" s="166">
        <f t="shared" si="3"/>
        <v>0.29999711471348456</v>
      </c>
      <c r="R15" s="163">
        <f>'2020'!Q15</f>
        <v>43083981.810000002</v>
      </c>
      <c r="S15" s="164">
        <f t="shared" si="4"/>
        <v>19727281.799999997</v>
      </c>
      <c r="T15" s="166">
        <f t="shared" si="5"/>
        <v>0.4578797263214236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'2021'!S16</f>
        <v>226834723.19999996</v>
      </c>
      <c r="H16" s="163">
        <f>SUM('2021'!G90:Q90)</f>
        <v>220944600.24586344</v>
      </c>
      <c r="I16" s="164">
        <f t="shared" si="0"/>
        <v>5890122.9541365206</v>
      </c>
      <c r="J16" s="166">
        <f t="shared" si="1"/>
        <v>2.665882283424037E-2</v>
      </c>
      <c r="K16" s="163">
        <f>SUM('2020'!G16:Q16)</f>
        <v>186594587.25000003</v>
      </c>
      <c r="L16" s="164">
        <f t="shared" si="7"/>
        <v>40240135.949999928</v>
      </c>
      <c r="M16" s="166">
        <f t="shared" si="2"/>
        <v>0.21565543000497689</v>
      </c>
      <c r="N16" s="163">
        <f>'2021'!Q16</f>
        <v>22114560.530000001</v>
      </c>
      <c r="O16" s="163">
        <f>'2021'!Q90</f>
        <v>21291284.31250241</v>
      </c>
      <c r="P16" s="164">
        <f t="shared" si="6"/>
        <v>823276.21749759093</v>
      </c>
      <c r="Q16" s="166">
        <f t="shared" si="3"/>
        <v>3.8667287769679426E-2</v>
      </c>
      <c r="R16" s="163">
        <f>'2020'!Q16</f>
        <v>16609981.27</v>
      </c>
      <c r="S16" s="164">
        <f t="shared" si="4"/>
        <v>5504579.2600000016</v>
      </c>
      <c r="T16" s="166">
        <f t="shared" si="5"/>
        <v>0.33140189447064938</v>
      </c>
    </row>
    <row r="17" spans="1:20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'2021'!S17</f>
        <v>25725391.169999998</v>
      </c>
      <c r="H17" s="163">
        <f>SUM('2021'!G91:Q91)</f>
        <v>22695221.561222043</v>
      </c>
      <c r="I17" s="164">
        <f t="shared" si="0"/>
        <v>3030169.6087779552</v>
      </c>
      <c r="J17" s="166">
        <f t="shared" si="1"/>
        <v>0.13351575355207923</v>
      </c>
      <c r="K17" s="163">
        <f>SUM('2020'!G17:Q17)</f>
        <v>20687944.599999998</v>
      </c>
      <c r="L17" s="164">
        <f t="shared" si="7"/>
        <v>5037446.57</v>
      </c>
      <c r="M17" s="166">
        <f t="shared" si="2"/>
        <v>0.24349671595698297</v>
      </c>
      <c r="N17" s="163">
        <f>'2021'!Q17</f>
        <v>2368746</v>
      </c>
      <c r="O17" s="163">
        <f>'2021'!Q91</f>
        <v>1733668.830290545</v>
      </c>
      <c r="P17" s="164">
        <f t="shared" si="6"/>
        <v>635077.16970945499</v>
      </c>
      <c r="Q17" s="166">
        <f t="shared" si="3"/>
        <v>0.36631977146582417</v>
      </c>
      <c r="R17" s="163">
        <f>'2020'!Q17</f>
        <v>1771129.39</v>
      </c>
      <c r="S17" s="164">
        <f t="shared" si="4"/>
        <v>597616.6100000001</v>
      </c>
      <c r="T17" s="166">
        <f t="shared" si="5"/>
        <v>0.33742120331479564</v>
      </c>
    </row>
    <row r="18" spans="1:20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'2021'!S18</f>
        <v>10264943.910000002</v>
      </c>
      <c r="H18" s="163">
        <f>SUM('2021'!G92:Q92)</f>
        <v>10049725.498201504</v>
      </c>
      <c r="I18" s="164">
        <f t="shared" si="0"/>
        <v>215218.41179849766</v>
      </c>
      <c r="J18" s="166">
        <f t="shared" si="1"/>
        <v>2.1415352273752353E-2</v>
      </c>
      <c r="K18" s="163">
        <f>SUM('2020'!G18:Q18)</f>
        <v>9179882.620000001</v>
      </c>
      <c r="L18" s="164">
        <f t="shared" si="7"/>
        <v>1085061.290000001</v>
      </c>
      <c r="M18" s="166">
        <f t="shared" si="2"/>
        <v>0.11819990896572063</v>
      </c>
      <c r="N18" s="163">
        <f>'2021'!Q18</f>
        <v>987522</v>
      </c>
      <c r="O18" s="163">
        <f>'2021'!Q92</f>
        <v>984917.08401470014</v>
      </c>
      <c r="P18" s="164">
        <f t="shared" si="6"/>
        <v>2604.9159852998564</v>
      </c>
      <c r="Q18" s="166">
        <f t="shared" si="3"/>
        <v>2.6448073930058769E-3</v>
      </c>
      <c r="R18" s="163">
        <f>'2020'!Q18</f>
        <v>903826.19</v>
      </c>
      <c r="S18" s="164">
        <f t="shared" si="4"/>
        <v>83695.810000000056</v>
      </c>
      <c r="T18" s="166">
        <f t="shared" si="5"/>
        <v>9.2601664928519067E-2</v>
      </c>
    </row>
    <row r="19" spans="1:20">
      <c r="A19" s="150">
        <v>712</v>
      </c>
      <c r="B19" s="538" t="str">
        <f>+VLOOKUP($A19,Master!$D$29:$G$225,4,FALSE)</f>
        <v>Doprinosi</v>
      </c>
      <c r="C19" s="539"/>
      <c r="D19" s="539"/>
      <c r="E19" s="539"/>
      <c r="F19" s="539"/>
      <c r="G19" s="169">
        <f>'2021'!S19</f>
        <v>467480447.74000001</v>
      </c>
      <c r="H19" s="169">
        <f>SUM('2021'!G93:Q93)</f>
        <v>489263252.14317983</v>
      </c>
      <c r="I19" s="170">
        <f t="shared" si="0"/>
        <v>-21782804.403179824</v>
      </c>
      <c r="J19" s="172">
        <f t="shared" si="1"/>
        <v>-4.4521644140985361E-2</v>
      </c>
      <c r="K19" s="169">
        <f>SUM('2020'!G19:Q19)</f>
        <v>450476244.42999995</v>
      </c>
      <c r="L19" s="170">
        <f t="shared" si="7"/>
        <v>17004203.310000062</v>
      </c>
      <c r="M19" s="172">
        <f t="shared" si="2"/>
        <v>3.7747169845806061E-2</v>
      </c>
      <c r="N19" s="169">
        <f>'2021'!Q19</f>
        <v>46560226.979999997</v>
      </c>
      <c r="O19" s="169">
        <f>'2021'!Q93</f>
        <v>47825022.848444022</v>
      </c>
      <c r="P19" s="170">
        <f t="shared" si="6"/>
        <v>-1264795.8684440255</v>
      </c>
      <c r="Q19" s="172">
        <f t="shared" si="3"/>
        <v>-2.6446320213000751E-2</v>
      </c>
      <c r="R19" s="169">
        <f>'2020'!Q19</f>
        <v>43869251.589999996</v>
      </c>
      <c r="S19" s="170">
        <f t="shared" si="4"/>
        <v>2690975.3900000006</v>
      </c>
      <c r="T19" s="172">
        <f t="shared" si="5"/>
        <v>6.1340809165146837E-2</v>
      </c>
    </row>
    <row r="20" spans="1:20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'2021'!S20</f>
        <v>289024312.70000005</v>
      </c>
      <c r="H20" s="163">
        <f>SUM('2021'!G94:Q94)</f>
        <v>302525567.61432505</v>
      </c>
      <c r="I20" s="164">
        <f t="shared" si="0"/>
        <v>-13501254.914324999</v>
      </c>
      <c r="J20" s="166">
        <f t="shared" si="1"/>
        <v>-4.462847560552996E-2</v>
      </c>
      <c r="K20" s="163">
        <f>SUM('2020'!G20:Q20)</f>
        <v>280812995.43000001</v>
      </c>
      <c r="L20" s="164">
        <f t="shared" si="7"/>
        <v>8211317.2700000405</v>
      </c>
      <c r="M20" s="166">
        <f t="shared" si="2"/>
        <v>2.9241229585640571E-2</v>
      </c>
      <c r="N20" s="163">
        <f>'2021'!Q20</f>
        <v>28933702.27</v>
      </c>
      <c r="O20" s="163">
        <f>'2021'!Q94</f>
        <v>30479637.603546329</v>
      </c>
      <c r="P20" s="164">
        <f t="shared" si="6"/>
        <v>-1545935.3335463293</v>
      </c>
      <c r="Q20" s="166">
        <f t="shared" si="3"/>
        <v>-5.0720266220175114E-2</v>
      </c>
      <c r="R20" s="163">
        <f>'2020'!Q20</f>
        <v>27710639.109999999</v>
      </c>
      <c r="S20" s="164">
        <f t="shared" si="4"/>
        <v>1223063.1600000001</v>
      </c>
      <c r="T20" s="166">
        <f t="shared" si="5"/>
        <v>4.4136952422675568E-2</v>
      </c>
    </row>
    <row r="21" spans="1:20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'2021'!S21</f>
        <v>152939371.64000002</v>
      </c>
      <c r="H21" s="163">
        <f>SUM('2021'!G95:Q95)</f>
        <v>159614585.08943772</v>
      </c>
      <c r="I21" s="164">
        <f t="shared" si="0"/>
        <v>-6675213.4494377077</v>
      </c>
      <c r="J21" s="166">
        <f t="shared" si="1"/>
        <v>-4.1820823865797441E-2</v>
      </c>
      <c r="K21" s="163">
        <f>SUM('2020'!G21:Q21)</f>
        <v>145290343.35999998</v>
      </c>
      <c r="L21" s="164">
        <f t="shared" si="7"/>
        <v>7649028.280000031</v>
      </c>
      <c r="M21" s="166">
        <f t="shared" si="2"/>
        <v>5.2646501502493503E-2</v>
      </c>
      <c r="N21" s="163">
        <f>'2021'!Q21</f>
        <v>15188463.41</v>
      </c>
      <c r="O21" s="163">
        <f>'2021'!Q95</f>
        <v>14647415.233922748</v>
      </c>
      <c r="P21" s="164">
        <f t="shared" si="6"/>
        <v>541048.17607725225</v>
      </c>
      <c r="Q21" s="166">
        <f t="shared" si="3"/>
        <v>3.6938133277208518E-2</v>
      </c>
      <c r="R21" s="163">
        <f>'2020'!Q21</f>
        <v>13825874.189999999</v>
      </c>
      <c r="S21" s="164">
        <f t="shared" si="4"/>
        <v>1362589.2200000007</v>
      </c>
      <c r="T21" s="166">
        <f t="shared" si="5"/>
        <v>9.8553567121675067E-2</v>
      </c>
    </row>
    <row r="22" spans="1:20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'2021'!S22</f>
        <v>13835662.770000001</v>
      </c>
      <c r="H22" s="163">
        <f>SUM('2021'!G96:Q96)</f>
        <v>14688539.1998892</v>
      </c>
      <c r="I22" s="164">
        <f t="shared" si="0"/>
        <v>-852876.42988919839</v>
      </c>
      <c r="J22" s="166">
        <f t="shared" si="1"/>
        <v>-5.8064074193002968E-2</v>
      </c>
      <c r="K22" s="163">
        <f>SUM('2020'!G22:Q22)</f>
        <v>13096182.110000003</v>
      </c>
      <c r="L22" s="164">
        <f t="shared" si="7"/>
        <v>739480.65999999829</v>
      </c>
      <c r="M22" s="166">
        <f t="shared" si="2"/>
        <v>5.6465361720599905E-2</v>
      </c>
      <c r="N22" s="163">
        <f>'2021'!Q22</f>
        <v>1349119.82</v>
      </c>
      <c r="O22" s="163">
        <f>'2021'!Q96</f>
        <v>1454939.4368525913</v>
      </c>
      <c r="P22" s="164">
        <f t="shared" si="6"/>
        <v>-105819.61685259128</v>
      </c>
      <c r="Q22" s="166">
        <f t="shared" si="3"/>
        <v>-7.2731286383649341E-2</v>
      </c>
      <c r="R22" s="163">
        <f>'2020'!Q22</f>
        <v>1219234.01</v>
      </c>
      <c r="S22" s="164">
        <f t="shared" si="4"/>
        <v>129885.81000000006</v>
      </c>
      <c r="T22" s="166">
        <f t="shared" si="5"/>
        <v>0.10653066510177167</v>
      </c>
    </row>
    <row r="23" spans="1:20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'2021'!S23</f>
        <v>11681100.630000001</v>
      </c>
      <c r="H23" s="163">
        <f>SUM('2021'!G97:Q97)</f>
        <v>12434560.239527877</v>
      </c>
      <c r="I23" s="164">
        <f t="shared" si="0"/>
        <v>-753459.6095278766</v>
      </c>
      <c r="J23" s="166">
        <f t="shared" si="1"/>
        <v>-6.059398925365489E-2</v>
      </c>
      <c r="K23" s="163">
        <f>SUM('2020'!G23:Q23)</f>
        <v>11276723.529999999</v>
      </c>
      <c r="L23" s="164">
        <f t="shared" si="7"/>
        <v>404377.10000000149</v>
      </c>
      <c r="M23" s="166">
        <f t="shared" si="2"/>
        <v>3.5859449681835187E-2</v>
      </c>
      <c r="N23" s="163">
        <f>'2021'!Q23</f>
        <v>1088941.48</v>
      </c>
      <c r="O23" s="163">
        <f>'2021'!Q97</f>
        <v>1243030.5741223574</v>
      </c>
      <c r="P23" s="164">
        <f t="shared" si="6"/>
        <v>-154089.09412235743</v>
      </c>
      <c r="Q23" s="166">
        <f t="shared" si="3"/>
        <v>-0.12396243288798603</v>
      </c>
      <c r="R23" s="163">
        <f>'2020'!Q23</f>
        <v>1113504.28</v>
      </c>
      <c r="S23" s="164">
        <f t="shared" si="4"/>
        <v>-24562.800000000047</v>
      </c>
      <c r="T23" s="166">
        <f t="shared" si="5"/>
        <v>-2.2059008161154137E-2</v>
      </c>
    </row>
    <row r="24" spans="1:20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'2021'!S24</f>
        <v>11393718.9</v>
      </c>
      <c r="H24" s="175">
        <f>SUM('2021'!G98:Q98)</f>
        <v>11693089.898682358</v>
      </c>
      <c r="I24" s="176">
        <f t="shared" si="0"/>
        <v>-299370.99868235737</v>
      </c>
      <c r="J24" s="178">
        <f t="shared" si="1"/>
        <v>-2.5602385791636872E-2</v>
      </c>
      <c r="K24" s="175">
        <f>SUM('2020'!G24:Q24)</f>
        <v>9421073.8599999994</v>
      </c>
      <c r="L24" s="176">
        <f t="shared" si="7"/>
        <v>1972645.040000001</v>
      </c>
      <c r="M24" s="178">
        <f t="shared" si="2"/>
        <v>0.20938643187752293</v>
      </c>
      <c r="N24" s="175">
        <f>'2021'!Q24</f>
        <v>1049502.56</v>
      </c>
      <c r="O24" s="175">
        <f>'2021'!Q98</f>
        <v>809312.75905618665</v>
      </c>
      <c r="P24" s="176">
        <f t="shared" si="6"/>
        <v>240189.8009438134</v>
      </c>
      <c r="Q24" s="178">
        <f t="shared" si="3"/>
        <v>0.29678242219228146</v>
      </c>
      <c r="R24" s="175">
        <f>'2020'!Q24</f>
        <v>955177.11</v>
      </c>
      <c r="S24" s="176">
        <f t="shared" si="4"/>
        <v>94325.45000000007</v>
      </c>
      <c r="T24" s="178">
        <f t="shared" si="5"/>
        <v>9.875179064958961E-2</v>
      </c>
    </row>
    <row r="25" spans="1:20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'2021'!S25</f>
        <v>38800373.43</v>
      </c>
      <c r="H25" s="175">
        <f>SUM('2021'!G99:Q99)</f>
        <v>34107609.732152112</v>
      </c>
      <c r="I25" s="176">
        <f t="shared" si="0"/>
        <v>4692763.6978478879</v>
      </c>
      <c r="J25" s="178">
        <f t="shared" si="1"/>
        <v>0.13758699993052215</v>
      </c>
      <c r="K25" s="175">
        <f>SUM('2020'!G25:Q25)</f>
        <v>24641124.280000001</v>
      </c>
      <c r="L25" s="176">
        <f t="shared" si="7"/>
        <v>14159249.149999999</v>
      </c>
      <c r="M25" s="178">
        <f t="shared" si="2"/>
        <v>0.57461863302610627</v>
      </c>
      <c r="N25" s="175">
        <f>'2021'!Q25</f>
        <v>5178797.51</v>
      </c>
      <c r="O25" s="175">
        <f>'2021'!Q99</f>
        <v>4036123.9648556504</v>
      </c>
      <c r="P25" s="176">
        <f t="shared" si="6"/>
        <v>1142673.5451443493</v>
      </c>
      <c r="Q25" s="178">
        <f t="shared" si="3"/>
        <v>0.28311160784309952</v>
      </c>
      <c r="R25" s="175">
        <f>'2020'!Q25</f>
        <v>2393815.35</v>
      </c>
      <c r="S25" s="176">
        <f t="shared" si="4"/>
        <v>2784982.1599999997</v>
      </c>
      <c r="T25" s="178">
        <f t="shared" si="5"/>
        <v>1.1634072611323174</v>
      </c>
    </row>
    <row r="26" spans="1:20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'2021'!S26</f>
        <v>50039036.43</v>
      </c>
      <c r="H26" s="175">
        <f>SUM('2021'!G100:Q100)</f>
        <v>62908280.158682823</v>
      </c>
      <c r="I26" s="176">
        <f t="shared" si="0"/>
        <v>-12869243.728682823</v>
      </c>
      <c r="J26" s="178">
        <f t="shared" si="1"/>
        <v>-0.20457153964821218</v>
      </c>
      <c r="K26" s="175">
        <f>SUM('2020'!G26:Q26)</f>
        <v>35001460.919999994</v>
      </c>
      <c r="L26" s="176">
        <f t="shared" si="7"/>
        <v>15037575.510000005</v>
      </c>
      <c r="M26" s="178">
        <f t="shared" si="2"/>
        <v>0.42962708169153774</v>
      </c>
      <c r="N26" s="175">
        <f>'2021'!Q26</f>
        <v>1690115.6199999999</v>
      </c>
      <c r="O26" s="175">
        <f>'2021'!Q100</f>
        <v>1925376.3465948214</v>
      </c>
      <c r="P26" s="176">
        <f t="shared" si="6"/>
        <v>-235260.72659482155</v>
      </c>
      <c r="Q26" s="178">
        <f t="shared" si="3"/>
        <v>-0.12218947584502038</v>
      </c>
      <c r="R26" s="175">
        <f>'2020'!Q26</f>
        <v>1756272.85</v>
      </c>
      <c r="S26" s="176">
        <f t="shared" si="4"/>
        <v>-66157.230000000214</v>
      </c>
      <c r="T26" s="178">
        <f t="shared" si="5"/>
        <v>-3.7669107052472062E-2</v>
      </c>
    </row>
    <row r="27" spans="1:20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'2021'!S27</f>
        <v>7840752.6099999994</v>
      </c>
      <c r="H27" s="175">
        <f>SUM('2021'!G101:Q101)</f>
        <v>7307758.2062975643</v>
      </c>
      <c r="I27" s="176">
        <f t="shared" si="0"/>
        <v>532994.40370243508</v>
      </c>
      <c r="J27" s="178">
        <f t="shared" si="1"/>
        <v>7.2935418586115741E-2</v>
      </c>
      <c r="K27" s="175">
        <f>SUM('2020'!G27:Q27)</f>
        <v>6354662.1799999997</v>
      </c>
      <c r="L27" s="176">
        <f t="shared" si="7"/>
        <v>1486090.4299999997</v>
      </c>
      <c r="M27" s="178">
        <f t="shared" si="2"/>
        <v>0.23385828985168811</v>
      </c>
      <c r="N27" s="175">
        <f>'2021'!Q27</f>
        <v>1198500.7600000002</v>
      </c>
      <c r="O27" s="175">
        <f>'2021'!Q101</f>
        <v>1664971.2137021665</v>
      </c>
      <c r="P27" s="176">
        <f t="shared" si="6"/>
        <v>-466470.45370216621</v>
      </c>
      <c r="Q27" s="178">
        <f t="shared" si="3"/>
        <v>-0.28016727848701983</v>
      </c>
      <c r="R27" s="175">
        <f>'2020'!Q27</f>
        <v>1062947.03</v>
      </c>
      <c r="S27" s="176">
        <f t="shared" si="4"/>
        <v>135553.73000000021</v>
      </c>
      <c r="T27" s="178">
        <f t="shared" si="5"/>
        <v>0.12752632650001394</v>
      </c>
    </row>
    <row r="28" spans="1:20" ht="15.7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'2021'!S28</f>
        <v>21533756.739999998</v>
      </c>
      <c r="H28" s="175">
        <f>SUM('2021'!G102:Q102)</f>
        <v>54225463.648970872</v>
      </c>
      <c r="I28" s="176">
        <f t="shared" si="0"/>
        <v>-32691706.908970874</v>
      </c>
      <c r="J28" s="178">
        <f t="shared" si="1"/>
        <v>-0.60288478344050667</v>
      </c>
      <c r="K28" s="175">
        <f>SUM('2020'!G28:Q28)</f>
        <v>51795823.609999999</v>
      </c>
      <c r="L28" s="176">
        <f t="shared" si="7"/>
        <v>-30262066.870000001</v>
      </c>
      <c r="M28" s="178">
        <f t="shared" si="2"/>
        <v>-0.58425689101615963</v>
      </c>
      <c r="N28" s="175">
        <f>'2021'!Q28</f>
        <v>2715280.72</v>
      </c>
      <c r="O28" s="175">
        <f>'2021'!Q102</f>
        <v>17007724.914676052</v>
      </c>
      <c r="P28" s="176">
        <f t="shared" si="6"/>
        <v>-14292444.194676051</v>
      </c>
      <c r="Q28" s="178">
        <f t="shared" si="3"/>
        <v>-0.84035015067435792</v>
      </c>
      <c r="R28" s="175">
        <f>'2020'!Q28</f>
        <v>29291580.460000001</v>
      </c>
      <c r="S28" s="176">
        <f t="shared" si="4"/>
        <v>-26576299.740000002</v>
      </c>
      <c r="T28" s="178">
        <f t="shared" si="5"/>
        <v>-0.90730166561999159</v>
      </c>
    </row>
    <row r="29" spans="1:20" ht="15.7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'2021'!S29</f>
        <v>1739392021.8500001</v>
      </c>
      <c r="H29" s="151">
        <f>SUM('2021'!G103:Q103)</f>
        <v>1851436599.4400496</v>
      </c>
      <c r="I29" s="152">
        <f t="shared" si="0"/>
        <v>-112044577.59004951</v>
      </c>
      <c r="J29" s="154">
        <f t="shared" si="1"/>
        <v>-6.0517642150931028E-2</v>
      </c>
      <c r="K29" s="151">
        <f>SUM('2020'!G29:Q29)</f>
        <v>1852694219.2799997</v>
      </c>
      <c r="L29" s="152">
        <f t="shared" si="7"/>
        <v>-113302197.42999959</v>
      </c>
      <c r="M29" s="154">
        <f t="shared" si="2"/>
        <v>-6.1155368355405915E-2</v>
      </c>
      <c r="N29" s="151">
        <f>'2021'!Q29</f>
        <v>172182918.45999998</v>
      </c>
      <c r="O29" s="151">
        <f>'2021'!Q103</f>
        <v>168241373.96214712</v>
      </c>
      <c r="P29" s="152">
        <f t="shared" si="6"/>
        <v>3941544.4978528619</v>
      </c>
      <c r="Q29" s="154">
        <f t="shared" si="3"/>
        <v>2.3427914341330069E-2</v>
      </c>
      <c r="R29" s="151">
        <f>'2020'!Q29</f>
        <v>165383741.06</v>
      </c>
      <c r="S29" s="152">
        <f t="shared" si="4"/>
        <v>6799177.3999999762</v>
      </c>
      <c r="T29" s="154">
        <f t="shared" si="5"/>
        <v>4.1111522550050905E-2</v>
      </c>
    </row>
    <row r="30" spans="1:20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313">
        <f>'2021'!S30</f>
        <v>748347542.06999993</v>
      </c>
      <c r="H30" s="313">
        <f>SUM('2021'!G104:Q104)</f>
        <v>790214102.31781638</v>
      </c>
      <c r="I30" s="188">
        <f t="shared" si="0"/>
        <v>-41866560.247816443</v>
      </c>
      <c r="J30" s="190">
        <f t="shared" si="1"/>
        <v>-5.2981287128406773E-2</v>
      </c>
      <c r="K30" s="313">
        <f>SUM('2020'!G30:Q30)</f>
        <v>764950054.63999999</v>
      </c>
      <c r="L30" s="188">
        <f t="shared" si="7"/>
        <v>-16602512.570000052</v>
      </c>
      <c r="M30" s="190">
        <f t="shared" si="2"/>
        <v>-2.1704047825466866E-2</v>
      </c>
      <c r="N30" s="313">
        <f>'2021'!Q30</f>
        <v>70640735.879999995</v>
      </c>
      <c r="O30" s="313">
        <f>'2021'!Q104</f>
        <v>67553620.464380473</v>
      </c>
      <c r="P30" s="188">
        <f t="shared" si="6"/>
        <v>3087115.4156195223</v>
      </c>
      <c r="Q30" s="190">
        <f t="shared" si="3"/>
        <v>4.5698741154033273E-2</v>
      </c>
      <c r="R30" s="313">
        <f>'2020'!Q30</f>
        <v>73263896.420000002</v>
      </c>
      <c r="S30" s="188">
        <f t="shared" si="4"/>
        <v>-2623160.5400000066</v>
      </c>
      <c r="T30" s="190">
        <f t="shared" si="5"/>
        <v>-3.5804272884453425E-2</v>
      </c>
    </row>
    <row r="31" spans="1:20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'2021'!S31</f>
        <v>488175774.20000005</v>
      </c>
      <c r="H31" s="163">
        <f>SUM('2021'!G105:Q105)</f>
        <v>481091801.79153335</v>
      </c>
      <c r="I31" s="164">
        <f t="shared" si="0"/>
        <v>7083972.4084666967</v>
      </c>
      <c r="J31" s="166">
        <f t="shared" si="1"/>
        <v>1.4724783049901768E-2</v>
      </c>
      <c r="K31" s="163">
        <f>SUM('2020'!G31:Q31)</f>
        <v>452083572.05999994</v>
      </c>
      <c r="L31" s="164">
        <f t="shared" si="7"/>
        <v>36092202.140000105</v>
      </c>
      <c r="M31" s="166">
        <f t="shared" si="2"/>
        <v>7.9835243681913637E-2</v>
      </c>
      <c r="N31" s="163">
        <f>'2021'!Q31</f>
        <v>42899701.979999997</v>
      </c>
      <c r="O31" s="163">
        <f>'2021'!Q105</f>
        <v>41853667.688466668</v>
      </c>
      <c r="P31" s="164">
        <f>+N31-O31</f>
        <v>1046034.2915333286</v>
      </c>
      <c r="Q31" s="166">
        <f>IF(+IF(ISERROR(N31/O31),"…",N31/O31-1)&gt;200%,"...",IF(ISERROR(N31/O31),"…",N31/O31-1))</f>
        <v>2.4992655346703918E-2</v>
      </c>
      <c r="R31" s="163">
        <f>'2020'!Q31</f>
        <v>38685460.780000001</v>
      </c>
      <c r="S31" s="164">
        <f t="shared" si="4"/>
        <v>4214241.1999999955</v>
      </c>
      <c r="T31" s="166">
        <f t="shared" si="5"/>
        <v>0.10893604767863363</v>
      </c>
    </row>
    <row r="32" spans="1:20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'2021'!S32</f>
        <v>9027486.5899999999</v>
      </c>
      <c r="H32" s="163">
        <f>SUM('2021'!G106:Q106)</f>
        <v>11507826.113999998</v>
      </c>
      <c r="I32" s="164">
        <f t="shared" si="0"/>
        <v>-2480339.5239999983</v>
      </c>
      <c r="J32" s="166">
        <f t="shared" si="1"/>
        <v>-0.21553501933632002</v>
      </c>
      <c r="K32" s="163">
        <f>SUM('2020'!G32:Q32)</f>
        <v>10404944.939999999</v>
      </c>
      <c r="L32" s="164">
        <f t="shared" si="7"/>
        <v>-1377458.3499999996</v>
      </c>
      <c r="M32" s="166">
        <f t="shared" si="2"/>
        <v>-0.13238497252441972</v>
      </c>
      <c r="N32" s="163">
        <f>'2021'!Q32</f>
        <v>1196263.8500000001</v>
      </c>
      <c r="O32" s="163">
        <f>'2021'!Q106</f>
        <v>992187.80600000045</v>
      </c>
      <c r="P32" s="164">
        <f t="shared" si="6"/>
        <v>204076.04399999965</v>
      </c>
      <c r="Q32" s="166">
        <f t="shared" si="3"/>
        <v>0.20568287854970824</v>
      </c>
      <c r="R32" s="163">
        <f>'2020'!Q32</f>
        <v>886334.18</v>
      </c>
      <c r="S32" s="164">
        <f t="shared" si="4"/>
        <v>309929.67000000004</v>
      </c>
      <c r="T32" s="166">
        <f t="shared" si="5"/>
        <v>0.34967586379214222</v>
      </c>
    </row>
    <row r="33" spans="1:20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'2021'!S33</f>
        <v>26579314.870000001</v>
      </c>
      <c r="H33" s="163">
        <f>SUM('2021'!G107:Q107)</f>
        <v>29922020.529216669</v>
      </c>
      <c r="I33" s="164">
        <f t="shared" si="0"/>
        <v>-3342705.6592166685</v>
      </c>
      <c r="J33" s="166">
        <f t="shared" si="1"/>
        <v>-0.11171390167160533</v>
      </c>
      <c r="K33" s="163">
        <f>SUM('2020'!G33:Q33)</f>
        <v>33361188.790000003</v>
      </c>
      <c r="L33" s="164">
        <f t="shared" si="7"/>
        <v>-6781873.9200000018</v>
      </c>
      <c r="M33" s="166">
        <f t="shared" si="2"/>
        <v>-0.20328633858613765</v>
      </c>
      <c r="N33" s="163">
        <f>'2021'!Q33</f>
        <v>3314735.27</v>
      </c>
      <c r="O33" s="163">
        <f>'2021'!Q107</f>
        <v>2038155.2507833347</v>
      </c>
      <c r="P33" s="164">
        <f t="shared" si="6"/>
        <v>1276580.0192166653</v>
      </c>
      <c r="Q33" s="166">
        <f t="shared" si="3"/>
        <v>0.62634091231569866</v>
      </c>
      <c r="R33" s="163">
        <f>'2020'!Q33</f>
        <v>5281833.1900000004</v>
      </c>
      <c r="S33" s="164">
        <f t="shared" si="4"/>
        <v>-1967097.9200000004</v>
      </c>
      <c r="T33" s="166">
        <f t="shared" si="5"/>
        <v>-0.37242711938049677</v>
      </c>
    </row>
    <row r="34" spans="1:20">
      <c r="A34" s="150">
        <v>414</v>
      </c>
      <c r="B34" s="536" t="str">
        <f>+VLOOKUP($A34,Master!$D$29:$G$225,4,FALSE)</f>
        <v>Rashodi za usluge</v>
      </c>
      <c r="C34" s="537"/>
      <c r="D34" s="537"/>
      <c r="E34" s="537"/>
      <c r="F34" s="537"/>
      <c r="G34" s="163">
        <f>'2021'!S34</f>
        <v>46852696.340000004</v>
      </c>
      <c r="H34" s="163">
        <f>SUM('2021'!G108:Q108)</f>
        <v>58306157.785283335</v>
      </c>
      <c r="I34" s="164">
        <f t="shared" si="0"/>
        <v>-11453461.445283331</v>
      </c>
      <c r="J34" s="166">
        <f t="shared" si="1"/>
        <v>-0.19643656657091924</v>
      </c>
      <c r="K34" s="163">
        <f>SUM('2020'!G34:Q34)</f>
        <v>64092216.529999994</v>
      </c>
      <c r="L34" s="164">
        <f t="shared" si="7"/>
        <v>-17239520.18999999</v>
      </c>
      <c r="M34" s="166">
        <f t="shared" si="2"/>
        <v>-0.26897993427845635</v>
      </c>
      <c r="N34" s="163">
        <f>'2021'!Q34</f>
        <v>4815770.76</v>
      </c>
      <c r="O34" s="163">
        <f>'2021'!Q108</f>
        <v>4439703.7447166666</v>
      </c>
      <c r="P34" s="164">
        <f t="shared" si="6"/>
        <v>376067.01528333314</v>
      </c>
      <c r="Q34" s="166">
        <f t="shared" si="3"/>
        <v>8.4705430115885605E-2</v>
      </c>
      <c r="R34" s="163">
        <f>'2020'!Q34</f>
        <v>5833602.8700000001</v>
      </c>
      <c r="S34" s="164">
        <f t="shared" si="4"/>
        <v>-1017832.1100000003</v>
      </c>
      <c r="T34" s="166">
        <f t="shared" si="5"/>
        <v>-0.17447744261686438</v>
      </c>
    </row>
    <row r="35" spans="1:20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'2021'!S35</f>
        <v>17087655.800000001</v>
      </c>
      <c r="H35" s="163">
        <f>SUM('2021'!G109:Q109)</f>
        <v>21262841.01121667</v>
      </c>
      <c r="I35" s="164">
        <f t="shared" si="0"/>
        <v>-4175185.2112166695</v>
      </c>
      <c r="J35" s="166">
        <f t="shared" si="1"/>
        <v>-0.19636064668000652</v>
      </c>
      <c r="K35" s="163">
        <f>SUM('2020'!G35:Q35)</f>
        <v>19739809.870000005</v>
      </c>
      <c r="L35" s="164">
        <f t="shared" si="7"/>
        <v>-2652154.070000004</v>
      </c>
      <c r="M35" s="166">
        <f t="shared" si="2"/>
        <v>-0.13435560359832399</v>
      </c>
      <c r="N35" s="163">
        <f>'2021'!Q35</f>
        <v>2052579.1</v>
      </c>
      <c r="O35" s="163">
        <f>'2021'!Q109</f>
        <v>2078633.2887833335</v>
      </c>
      <c r="P35" s="164">
        <f t="shared" si="6"/>
        <v>-26054.188783333404</v>
      </c>
      <c r="Q35" s="166">
        <f t="shared" si="3"/>
        <v>-1.253428823829883E-2</v>
      </c>
      <c r="R35" s="163">
        <f>'2020'!Q35</f>
        <v>1984910.33</v>
      </c>
      <c r="S35" s="164">
        <f t="shared" si="4"/>
        <v>67668.770000000019</v>
      </c>
      <c r="T35" s="166">
        <f t="shared" si="5"/>
        <v>3.409160050066351E-2</v>
      </c>
    </row>
    <row r="36" spans="1:20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'2021'!S36</f>
        <v>87363305.76000002</v>
      </c>
      <c r="H36" s="163">
        <f>SUM('2021'!G110:Q110)</f>
        <v>90612720.234282941</v>
      </c>
      <c r="I36" s="164">
        <f t="shared" si="0"/>
        <v>-3249414.4742829204</v>
      </c>
      <c r="J36" s="166">
        <f t="shared" si="1"/>
        <v>-3.5860467116332284E-2</v>
      </c>
      <c r="K36" s="163">
        <f>SUM('2020'!G36:Q36)</f>
        <v>101924316.22000001</v>
      </c>
      <c r="L36" s="164">
        <f t="shared" si="7"/>
        <v>-14561010.459999993</v>
      </c>
      <c r="M36" s="166">
        <f t="shared" si="2"/>
        <v>-0.14286100706891736</v>
      </c>
      <c r="N36" s="163">
        <f>'2021'!Q36</f>
        <v>6572572.5</v>
      </c>
      <c r="O36" s="163">
        <f>'2021'!Q110</f>
        <v>6605449.4379138006</v>
      </c>
      <c r="P36" s="164">
        <f t="shared" si="6"/>
        <v>-32876.93791380059</v>
      </c>
      <c r="Q36" s="166">
        <f t="shared" si="3"/>
        <v>-4.9772446557677652E-3</v>
      </c>
      <c r="R36" s="163">
        <f>'2020'!Q36</f>
        <v>10001902.91</v>
      </c>
      <c r="S36" s="164">
        <f t="shared" si="4"/>
        <v>-3429330.41</v>
      </c>
      <c r="T36" s="166">
        <f t="shared" si="5"/>
        <v>-0.34286779634416586</v>
      </c>
    </row>
    <row r="37" spans="1:20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'2021'!S37</f>
        <v>8866259.790000001</v>
      </c>
      <c r="H37" s="163">
        <f>SUM('2021'!G111:Q111)</f>
        <v>9877627.3904500008</v>
      </c>
      <c r="I37" s="164">
        <f t="shared" si="0"/>
        <v>-1011367.6004499998</v>
      </c>
      <c r="J37" s="166">
        <f t="shared" si="1"/>
        <v>-0.10238972988876072</v>
      </c>
      <c r="K37" s="163">
        <f>SUM('2020'!G37:Q37)</f>
        <v>9697541.7600000016</v>
      </c>
      <c r="L37" s="164">
        <f t="shared" si="7"/>
        <v>-831281.97000000067</v>
      </c>
      <c r="M37" s="166">
        <f t="shared" si="2"/>
        <v>-8.5720896137703284E-2</v>
      </c>
      <c r="N37" s="163">
        <f>'2021'!Q37</f>
        <v>1013643.73</v>
      </c>
      <c r="O37" s="163">
        <f>'2021'!Q111</f>
        <v>997721.26954999997</v>
      </c>
      <c r="P37" s="164">
        <f t="shared" si="6"/>
        <v>15922.460450000013</v>
      </c>
      <c r="Q37" s="166">
        <f t="shared" si="3"/>
        <v>1.5958826313466679E-2</v>
      </c>
      <c r="R37" s="163">
        <f>'2020'!Q37</f>
        <v>1092565.04</v>
      </c>
      <c r="S37" s="164">
        <f t="shared" si="4"/>
        <v>-78921.310000000056</v>
      </c>
      <c r="T37" s="166">
        <f t="shared" si="5"/>
        <v>-7.2234884982224967E-2</v>
      </c>
    </row>
    <row r="38" spans="1:20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'2021'!S38</f>
        <v>35306527.689999998</v>
      </c>
      <c r="H38" s="163">
        <f>SUM('2021'!G112:Q112)</f>
        <v>46132201.677466676</v>
      </c>
      <c r="I38" s="164">
        <f t="shared" si="0"/>
        <v>-10825673.987466678</v>
      </c>
      <c r="J38" s="166">
        <f t="shared" si="1"/>
        <v>-0.23466631970341212</v>
      </c>
      <c r="K38" s="163">
        <f>SUM('2020'!G38:Q38)</f>
        <v>31454155.670000002</v>
      </c>
      <c r="L38" s="164">
        <f t="shared" si="7"/>
        <v>3852372.0199999958</v>
      </c>
      <c r="M38" s="166">
        <f t="shared" si="2"/>
        <v>0.1224757726901653</v>
      </c>
      <c r="N38" s="163">
        <f>'2021'!Q38</f>
        <v>4749689.82</v>
      </c>
      <c r="O38" s="163">
        <f>'2021'!Q112</f>
        <v>4639246.2625333332</v>
      </c>
      <c r="P38" s="164">
        <f t="shared" si="6"/>
        <v>110443.55746666715</v>
      </c>
      <c r="Q38" s="166">
        <f t="shared" si="3"/>
        <v>2.38063580195369E-2</v>
      </c>
      <c r="R38" s="163">
        <f>'2020'!Q38</f>
        <v>5206660.47</v>
      </c>
      <c r="S38" s="164">
        <f t="shared" si="4"/>
        <v>-456970.64999999944</v>
      </c>
      <c r="T38" s="166">
        <f t="shared" si="5"/>
        <v>-8.776655451858173E-2</v>
      </c>
    </row>
    <row r="39" spans="1:20">
      <c r="A39" s="150">
        <v>419</v>
      </c>
      <c r="B39" s="536" t="str">
        <f>+VLOOKUP($A39,Master!$D$29:$G$225,4,FALSE)</f>
        <v>Ostali izdaci</v>
      </c>
      <c r="C39" s="537"/>
      <c r="D39" s="537"/>
      <c r="E39" s="537"/>
      <c r="F39" s="537"/>
      <c r="G39" s="163">
        <f>'2021'!S39</f>
        <v>29088521.030000001</v>
      </c>
      <c r="H39" s="163">
        <f>SUM('2021'!G113:Q113)</f>
        <v>41500905.78436666</v>
      </c>
      <c r="I39" s="164">
        <f t="shared" si="0"/>
        <v>-12412384.754366659</v>
      </c>
      <c r="J39" s="166">
        <f t="shared" si="1"/>
        <v>-0.29908708062565681</v>
      </c>
      <c r="K39" s="163">
        <f>SUM('2020'!G39:Q39)</f>
        <v>42192308.800000004</v>
      </c>
      <c r="L39" s="164">
        <f t="shared" si="7"/>
        <v>-13103787.770000003</v>
      </c>
      <c r="M39" s="166">
        <f t="shared" si="2"/>
        <v>-0.31057290161850548</v>
      </c>
      <c r="N39" s="163">
        <f>'2021'!Q39</f>
        <v>4025778.87</v>
      </c>
      <c r="O39" s="163">
        <f>'2021'!Q113</f>
        <v>3908855.7156333341</v>
      </c>
      <c r="P39" s="164">
        <f t="shared" si="6"/>
        <v>116923.15436666599</v>
      </c>
      <c r="Q39" s="166">
        <f t="shared" si="3"/>
        <v>2.9912374073833403E-2</v>
      </c>
      <c r="R39" s="163">
        <f>'2020'!Q39</f>
        <v>4290626.6500000004</v>
      </c>
      <c r="S39" s="164">
        <f t="shared" si="4"/>
        <v>-264847.78000000026</v>
      </c>
      <c r="T39" s="166">
        <f t="shared" si="5"/>
        <v>-6.1727062642469743E-2</v>
      </c>
    </row>
    <row r="40" spans="1:20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'2021'!S40</f>
        <v>517254824.69999987</v>
      </c>
      <c r="H40" s="193">
        <f>SUM('2021'!G114:Q114)</f>
        <v>527595723.16178328</v>
      </c>
      <c r="I40" s="194">
        <f t="shared" si="0"/>
        <v>-10340898.461783409</v>
      </c>
      <c r="J40" s="196">
        <f t="shared" si="1"/>
        <v>-1.9600042244111271E-2</v>
      </c>
      <c r="K40" s="193">
        <f>SUM('2020'!G40:Q40)</f>
        <v>509662239.97999996</v>
      </c>
      <c r="L40" s="194">
        <f t="shared" si="7"/>
        <v>7592584.7199999094</v>
      </c>
      <c r="M40" s="196">
        <f t="shared" si="2"/>
        <v>1.4897287113712521E-2</v>
      </c>
      <c r="N40" s="193">
        <f>'2021'!Q40</f>
        <v>47602308.230000004</v>
      </c>
      <c r="O40" s="193">
        <f>'2021'!Q114</f>
        <v>51656098.708216675</v>
      </c>
      <c r="P40" s="194">
        <f t="shared" si="6"/>
        <v>-4053790.4782166705</v>
      </c>
      <c r="Q40" s="196">
        <f t="shared" si="3"/>
        <v>-7.8476512543365073E-2</v>
      </c>
      <c r="R40" s="193">
        <f>'2020'!Q40</f>
        <v>47274132.93</v>
      </c>
      <c r="S40" s="194">
        <f t="shared" si="4"/>
        <v>328175.30000000447</v>
      </c>
      <c r="T40" s="196">
        <f t="shared" si="5"/>
        <v>6.9419633880105636E-3</v>
      </c>
    </row>
    <row r="41" spans="1:20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'2021'!S41</f>
        <v>76569354.540000007</v>
      </c>
      <c r="H41" s="163">
        <f>SUM('2021'!G115:Q115)</f>
        <v>78311970.319999993</v>
      </c>
      <c r="I41" s="164">
        <f t="shared" si="0"/>
        <v>-1742615.7799999863</v>
      </c>
      <c r="J41" s="166">
        <f t="shared" si="1"/>
        <v>-2.2252227505951794E-2</v>
      </c>
      <c r="K41" s="163">
        <f>SUM('2020'!G41:Q41)</f>
        <v>73840291.700000003</v>
      </c>
      <c r="L41" s="164">
        <f t="shared" si="7"/>
        <v>2729062.8400000036</v>
      </c>
      <c r="M41" s="166">
        <f t="shared" si="2"/>
        <v>3.6958993215894909E-2</v>
      </c>
      <c r="N41" s="163">
        <f>'2021'!Q41</f>
        <v>8108140.6100000003</v>
      </c>
      <c r="O41" s="163">
        <f>'2021'!Q115</f>
        <v>10126529.68</v>
      </c>
      <c r="P41" s="164">
        <f t="shared" si="6"/>
        <v>-2018389.0699999994</v>
      </c>
      <c r="Q41" s="166">
        <f t="shared" si="3"/>
        <v>-0.19931695593470078</v>
      </c>
      <c r="R41" s="163">
        <f>'2020'!Q41</f>
        <v>7147001.1699999999</v>
      </c>
      <c r="S41" s="164">
        <f t="shared" si="4"/>
        <v>961139.44000000041</v>
      </c>
      <c r="T41" s="166">
        <f t="shared" si="5"/>
        <v>0.13448150030175521</v>
      </c>
    </row>
    <row r="42" spans="1:20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'2021'!S42</f>
        <v>19862322.57</v>
      </c>
      <c r="H42" s="163">
        <f>SUM('2021'!G116:Q116)</f>
        <v>17228362.432000004</v>
      </c>
      <c r="I42" s="164">
        <f t="shared" si="0"/>
        <v>2633960.1379999965</v>
      </c>
      <c r="J42" s="166">
        <f t="shared" si="1"/>
        <v>0.15288511304520003</v>
      </c>
      <c r="K42" s="163">
        <f>SUM('2020'!G42:Q42)</f>
        <v>16641129.630000001</v>
      </c>
      <c r="L42" s="164">
        <f t="shared" si="7"/>
        <v>3221192.9399999995</v>
      </c>
      <c r="M42" s="166">
        <f t="shared" si="2"/>
        <v>0.19356816584091474</v>
      </c>
      <c r="N42" s="163">
        <f>'2021'!Q42</f>
        <v>1693671.28</v>
      </c>
      <c r="O42" s="163">
        <f>'2021'!Q116</f>
        <v>1331215.5080000004</v>
      </c>
      <c r="P42" s="164">
        <f t="shared" si="6"/>
        <v>362455.77199999965</v>
      </c>
      <c r="Q42" s="166">
        <f t="shared" si="3"/>
        <v>0.27227430105929895</v>
      </c>
      <c r="R42" s="163">
        <f>'2020'!Q42</f>
        <v>1642662.15</v>
      </c>
      <c r="S42" s="164">
        <f t="shared" si="4"/>
        <v>51009.130000000121</v>
      </c>
      <c r="T42" s="166">
        <f t="shared" si="5"/>
        <v>3.105272134017345E-2</v>
      </c>
    </row>
    <row r="43" spans="1:20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'2021'!S43</f>
        <v>395219351.19</v>
      </c>
      <c r="H43" s="163">
        <f>SUM('2021'!G117:Q117)</f>
        <v>407330547.33564991</v>
      </c>
      <c r="I43" s="164">
        <f t="shared" si="0"/>
        <v>-12111196.14564991</v>
      </c>
      <c r="J43" s="166">
        <f t="shared" si="1"/>
        <v>-2.973309079043851E-2</v>
      </c>
      <c r="K43" s="163">
        <f>SUM('2020'!G43:Q43)</f>
        <v>392209287.12000006</v>
      </c>
      <c r="L43" s="164">
        <f t="shared" si="7"/>
        <v>3010064.0699999332</v>
      </c>
      <c r="M43" s="166">
        <f t="shared" si="2"/>
        <v>7.6746374164233799E-3</v>
      </c>
      <c r="N43" s="163">
        <f>'2021'!Q43</f>
        <v>35886030.640000001</v>
      </c>
      <c r="O43" s="163">
        <f>'2021'!Q117</f>
        <v>38123196.594350003</v>
      </c>
      <c r="P43" s="164">
        <f t="shared" si="6"/>
        <v>-2237165.9543500021</v>
      </c>
      <c r="Q43" s="166">
        <f t="shared" si="3"/>
        <v>-5.8682538564501119E-2</v>
      </c>
      <c r="R43" s="163">
        <f>'2020'!Q43</f>
        <v>36217355.229999997</v>
      </c>
      <c r="S43" s="164">
        <f t="shared" si="4"/>
        <v>-331324.58999999613</v>
      </c>
      <c r="T43" s="166">
        <f t="shared" si="5"/>
        <v>-9.1482270832837775E-3</v>
      </c>
    </row>
    <row r="44" spans="1:20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'2021'!S44</f>
        <v>15492949.389999999</v>
      </c>
      <c r="H44" s="163">
        <f>SUM('2021'!G118:Q118)</f>
        <v>14264371.602899998</v>
      </c>
      <c r="I44" s="164">
        <f t="shared" si="0"/>
        <v>1228577.7871000003</v>
      </c>
      <c r="J44" s="166">
        <f t="shared" si="1"/>
        <v>8.6129120952669558E-2</v>
      </c>
      <c r="K44" s="163">
        <f>SUM('2020'!G44:Q44)</f>
        <v>18300183.569999997</v>
      </c>
      <c r="L44" s="164">
        <f t="shared" si="7"/>
        <v>-2807234.1799999978</v>
      </c>
      <c r="M44" s="166">
        <f t="shared" si="2"/>
        <v>-0.15339923609301798</v>
      </c>
      <c r="N44" s="163">
        <f>'2021'!Q44</f>
        <v>925856.6</v>
      </c>
      <c r="O44" s="163">
        <f>'2021'!Q118</f>
        <v>1035628.3971000001</v>
      </c>
      <c r="P44" s="164">
        <f t="shared" si="6"/>
        <v>-109771.79710000008</v>
      </c>
      <c r="Q44" s="166">
        <f t="shared" si="3"/>
        <v>-0.10599535258726644</v>
      </c>
      <c r="R44" s="163">
        <f>'2020'!Q44</f>
        <v>1478440.88</v>
      </c>
      <c r="S44" s="164">
        <f t="shared" si="4"/>
        <v>-552584.27999999991</v>
      </c>
      <c r="T44" s="166">
        <f t="shared" si="5"/>
        <v>-0.37376149934382219</v>
      </c>
    </row>
    <row r="45" spans="1:20">
      <c r="A45" s="150">
        <v>425</v>
      </c>
      <c r="B45" s="536" t="str">
        <f>+VLOOKUP($A45,Master!$D$29:$G$225,4,FALSE)</f>
        <v>Ostala prava iz zdravstvenog osiguranja</v>
      </c>
      <c r="C45" s="537"/>
      <c r="D45" s="537"/>
      <c r="E45" s="537"/>
      <c r="F45" s="537"/>
      <c r="G45" s="163">
        <f>'2021'!S45</f>
        <v>10110847.01</v>
      </c>
      <c r="H45" s="163">
        <f>SUM('2021'!G119:Q119)</f>
        <v>10460471.471233334</v>
      </c>
      <c r="I45" s="164">
        <f t="shared" si="0"/>
        <v>-349624.46123333462</v>
      </c>
      <c r="J45" s="166">
        <f t="shared" si="1"/>
        <v>-3.3423394174422638E-2</v>
      </c>
      <c r="K45" s="163">
        <f>SUM('2020'!G45:Q45)</f>
        <v>8671347.959999999</v>
      </c>
      <c r="L45" s="164">
        <f t="shared" si="7"/>
        <v>1439499.0500000007</v>
      </c>
      <c r="M45" s="166">
        <f t="shared" si="2"/>
        <v>0.16600637601446233</v>
      </c>
      <c r="N45" s="163">
        <f>'2021'!Q45</f>
        <v>988609.1</v>
      </c>
      <c r="O45" s="163">
        <f>'2021'!Q119</f>
        <v>1039528.5287666667</v>
      </c>
      <c r="P45" s="164">
        <f t="shared" si="6"/>
        <v>-50919.428766666679</v>
      </c>
      <c r="Q45" s="166">
        <f t="shared" si="3"/>
        <v>-4.8983195128929569E-2</v>
      </c>
      <c r="R45" s="163">
        <f>'2020'!Q45</f>
        <v>788673.5</v>
      </c>
      <c r="S45" s="164">
        <f t="shared" si="4"/>
        <v>199935.59999999998</v>
      </c>
      <c r="T45" s="166">
        <f t="shared" si="5"/>
        <v>0.25350870797611424</v>
      </c>
    </row>
    <row r="46" spans="1:20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'2021'!S46</f>
        <v>227701758.21000001</v>
      </c>
      <c r="H46" s="175">
        <f>SUM('2021'!G120:Q120)</f>
        <v>239086712.05561662</v>
      </c>
      <c r="I46" s="176">
        <f t="shared" si="0"/>
        <v>-11384953.845616609</v>
      </c>
      <c r="J46" s="178">
        <f t="shared" si="1"/>
        <v>-4.7618513583340571E-2</v>
      </c>
      <c r="K46" s="175">
        <f>SUM('2020'!G46:Q46)</f>
        <v>257063463.05999997</v>
      </c>
      <c r="L46" s="176">
        <f t="shared" si="7"/>
        <v>-29361704.849999964</v>
      </c>
      <c r="M46" s="178">
        <f t="shared" si="2"/>
        <v>-0.1142196736186768</v>
      </c>
      <c r="N46" s="175">
        <f>'2021'!Q46</f>
        <v>27077034.149999999</v>
      </c>
      <c r="O46" s="175">
        <f>'2021'!Q120</f>
        <v>20959047.32438333</v>
      </c>
      <c r="P46" s="176">
        <f t="shared" si="6"/>
        <v>6117986.8256166689</v>
      </c>
      <c r="Q46" s="178">
        <f t="shared" si="3"/>
        <v>0.29190195197942637</v>
      </c>
      <c r="R46" s="175">
        <f>'2020'!Q46</f>
        <v>17496982.879999999</v>
      </c>
      <c r="S46" s="176">
        <f t="shared" si="4"/>
        <v>9580051.2699999996</v>
      </c>
      <c r="T46" s="178">
        <f t="shared" si="5"/>
        <v>0.547525898362198</v>
      </c>
    </row>
    <row r="47" spans="1:20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'2021'!S47</f>
        <v>147660625.00999999</v>
      </c>
      <c r="H47" s="175">
        <f>SUM('2021'!G121:Q121)</f>
        <v>211481608.5424</v>
      </c>
      <c r="I47" s="176">
        <f t="shared" si="0"/>
        <v>-63820983.532400012</v>
      </c>
      <c r="J47" s="178">
        <f t="shared" si="1"/>
        <v>-0.30178030123884048</v>
      </c>
      <c r="K47" s="175">
        <f>SUM('2020'!G47:Q47)</f>
        <v>197055955.01999998</v>
      </c>
      <c r="L47" s="176">
        <f t="shared" si="7"/>
        <v>-49395330.00999999</v>
      </c>
      <c r="M47" s="178">
        <f t="shared" si="2"/>
        <v>-0.2506665175634335</v>
      </c>
      <c r="N47" s="175">
        <f>'2021'!Q47</f>
        <v>19451903.010000002</v>
      </c>
      <c r="O47" s="175">
        <f>'2021'!Q121</f>
        <v>24073116.957600009</v>
      </c>
      <c r="P47" s="176">
        <f t="shared" si="6"/>
        <v>-4621213.9476000071</v>
      </c>
      <c r="Q47" s="178">
        <f t="shared" si="3"/>
        <v>-0.19196574983369841</v>
      </c>
      <c r="R47" s="175">
        <f>'2020'!Q47</f>
        <v>19501124.399999999</v>
      </c>
      <c r="S47" s="176">
        <f t="shared" si="4"/>
        <v>-49221.389999996871</v>
      </c>
      <c r="T47" s="178">
        <f t="shared" si="5"/>
        <v>-2.5240283067984315E-3</v>
      </c>
    </row>
    <row r="48" spans="1:20">
      <c r="A48" s="150">
        <v>451</v>
      </c>
      <c r="B48" s="504" t="str">
        <f>+VLOOKUP($A48,Master!$D$29:$G$225,4,FALSE)</f>
        <v>Pozajmice i krediti</v>
      </c>
      <c r="C48" s="505"/>
      <c r="D48" s="505"/>
      <c r="E48" s="505"/>
      <c r="F48" s="505"/>
      <c r="G48" s="163">
        <f>'2021'!S48</f>
        <v>1151158</v>
      </c>
      <c r="H48" s="163">
        <f>SUM('2021'!G122:Q122)</f>
        <v>1465214.444933333</v>
      </c>
      <c r="I48" s="164">
        <f>G48-H48</f>
        <v>-314056.44493333297</v>
      </c>
      <c r="J48" s="282">
        <f t="shared" si="1"/>
        <v>-0.21434162488592068</v>
      </c>
      <c r="K48" s="163">
        <f>SUM('2020'!G48:Q48)</f>
        <v>1432745</v>
      </c>
      <c r="L48" s="279">
        <f t="shared" si="7"/>
        <v>-281587</v>
      </c>
      <c r="M48" s="282">
        <f t="shared" si="2"/>
        <v>-0.19653671797842598</v>
      </c>
      <c r="N48" s="163">
        <f>'2021'!Q48</f>
        <v>1680</v>
      </c>
      <c r="O48" s="163">
        <f>'2021'!Q122</f>
        <v>88786.555066666639</v>
      </c>
      <c r="P48" s="164">
        <f t="shared" si="6"/>
        <v>-87106.555066666639</v>
      </c>
      <c r="Q48" s="282">
        <f t="shared" si="3"/>
        <v>-0.98107821619232161</v>
      </c>
      <c r="R48" s="163">
        <f>'2020'!Q48</f>
        <v>0</v>
      </c>
      <c r="S48" s="279">
        <f t="shared" si="4"/>
        <v>1680</v>
      </c>
      <c r="T48" s="282" t="str">
        <f t="shared" si="5"/>
        <v>...</v>
      </c>
    </row>
    <row r="49" spans="1:23">
      <c r="A49" s="150">
        <v>47</v>
      </c>
      <c r="B49" s="504" t="str">
        <f>+VLOOKUP($A49,Master!$D$29:$G$225,4,FALSE)</f>
        <v>Rezerve</v>
      </c>
      <c r="C49" s="505"/>
      <c r="D49" s="505"/>
      <c r="E49" s="505"/>
      <c r="F49" s="505"/>
      <c r="G49" s="163">
        <f>'2021'!S49</f>
        <v>66157468.329999998</v>
      </c>
      <c r="H49" s="163">
        <f>SUM('2021'!G123:Q123)</f>
        <v>68171588.036666662</v>
      </c>
      <c r="I49" s="164">
        <f t="shared" ref="I49:I50" si="8">G49-H49</f>
        <v>-2014119.7066666633</v>
      </c>
      <c r="J49" s="283">
        <f t="shared" si="1"/>
        <v>-2.9544855337436893E-2</v>
      </c>
      <c r="K49" s="163">
        <f>SUM('2020'!G49:Q49)</f>
        <v>106877059.48999999</v>
      </c>
      <c r="L49" s="280">
        <f t="shared" si="7"/>
        <v>-40719591.159999996</v>
      </c>
      <c r="M49" s="283">
        <f t="shared" si="2"/>
        <v>-0.38099468075101695</v>
      </c>
      <c r="N49" s="163">
        <f>'2021'!Q49</f>
        <v>5966200</v>
      </c>
      <c r="O49" s="163">
        <f>'2021'!Q123</f>
        <v>3041462.9633333324</v>
      </c>
      <c r="P49" s="164">
        <f t="shared" si="6"/>
        <v>2924737.0366666676</v>
      </c>
      <c r="Q49" s="283">
        <f t="shared" si="3"/>
        <v>0.96162178265069609</v>
      </c>
      <c r="R49" s="163">
        <f>'2020'!Q49</f>
        <v>6000238.46</v>
      </c>
      <c r="S49" s="280">
        <f t="shared" si="4"/>
        <v>-34038.459999999963</v>
      </c>
      <c r="T49" s="283">
        <f t="shared" si="5"/>
        <v>-5.6728512086501315E-3</v>
      </c>
      <c r="W49" s="345"/>
    </row>
    <row r="50" spans="1:23" ht="15.7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f>'2021'!S50</f>
        <v>7711252.0800000001</v>
      </c>
      <c r="H50" s="163">
        <f>SUM('2021'!G124:Q124)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SUM('2020'!G50:Q50)</f>
        <v>0</v>
      </c>
      <c r="L50" s="280">
        <f t="shared" si="7"/>
        <v>7711252.0800000001</v>
      </c>
      <c r="M50" s="284" t="str">
        <f t="shared" si="2"/>
        <v>...</v>
      </c>
      <c r="N50" s="163">
        <f>'2021'!Q50</f>
        <v>0</v>
      </c>
      <c r="O50" s="163">
        <f>'2021'!Q124</f>
        <v>0</v>
      </c>
      <c r="P50" s="164">
        <f t="shared" si="6"/>
        <v>0</v>
      </c>
      <c r="Q50" s="284" t="str">
        <f t="shared" si="3"/>
        <v>...</v>
      </c>
      <c r="R50" s="163">
        <f>'2020'!Q50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Otplata obaveza iz prethodnog perioda</v>
      </c>
      <c r="C51" s="523"/>
      <c r="D51" s="523"/>
      <c r="E51" s="523"/>
      <c r="F51" s="523"/>
      <c r="G51" s="314">
        <f>'2021'!S51</f>
        <v>23407393.449999999</v>
      </c>
      <c r="H51" s="314">
        <f>SUM('2021'!G125:Q125)</f>
        <v>9561650.8808333315</v>
      </c>
      <c r="I51" s="281">
        <f>G51-H51</f>
        <v>13845742.569166668</v>
      </c>
      <c r="J51" s="285">
        <f t="shared" si="1"/>
        <v>1.4480493736621307</v>
      </c>
      <c r="K51" s="314">
        <f>SUM('2020'!G51:Q51)</f>
        <v>15652702.090000002</v>
      </c>
      <c r="L51" s="287">
        <f t="shared" si="7"/>
        <v>7754691.3599999975</v>
      </c>
      <c r="M51" s="285">
        <f t="shared" si="2"/>
        <v>0.49542189683366011</v>
      </c>
      <c r="N51" s="314">
        <f>'2021'!Q51</f>
        <v>1443057.19</v>
      </c>
      <c r="O51" s="314">
        <f>'2021'!Q125</f>
        <v>869240.98916666664</v>
      </c>
      <c r="P51" s="281">
        <f>N51-O51</f>
        <v>573816.20083333331</v>
      </c>
      <c r="Q51" s="285">
        <f t="shared" si="3"/>
        <v>0.66013477043166779</v>
      </c>
      <c r="R51" s="314">
        <f>'2020'!Q51</f>
        <v>1847365.97</v>
      </c>
      <c r="S51" s="287">
        <f>+N51-R51</f>
        <v>-404308.78</v>
      </c>
      <c r="T51" s="285">
        <f t="shared" si="5"/>
        <v>-0.21885689493349281</v>
      </c>
    </row>
    <row r="52" spans="1:23" ht="15.75" thickBot="1">
      <c r="A52" s="144">
        <v>1005</v>
      </c>
      <c r="B52" s="522" t="str">
        <f>+VLOOKUP($A52,Master!$D$29:$G$227,4,FALSE)</f>
        <v>Neto povećanje obaveza</v>
      </c>
      <c r="C52" s="523"/>
      <c r="D52" s="523"/>
      <c r="E52" s="523"/>
      <c r="F52" s="523"/>
      <c r="G52" s="163">
        <f>'2021'!S52</f>
        <v>0</v>
      </c>
      <c r="H52" s="163">
        <f>SUM('2021'!G126:Q126)</f>
        <v>0</v>
      </c>
      <c r="I52" s="281">
        <f>G52-H52</f>
        <v>0</v>
      </c>
      <c r="J52" s="285" t="str">
        <f t="shared" si="1"/>
        <v>...</v>
      </c>
      <c r="K52" s="163">
        <f>SUM('2020'!G52:Q52)</f>
        <v>0</v>
      </c>
      <c r="L52" s="287">
        <f t="shared" si="7"/>
        <v>0</v>
      </c>
      <c r="M52" s="285" t="str">
        <f t="shared" si="2"/>
        <v>...</v>
      </c>
      <c r="N52" s="163">
        <f>'2021'!Q52</f>
        <v>0</v>
      </c>
      <c r="O52" s="163">
        <f>'2021'!Q126</f>
        <v>0</v>
      </c>
      <c r="P52" s="281">
        <f>N52-O52</f>
        <v>0</v>
      </c>
      <c r="Q52" s="285" t="str">
        <f t="shared" si="3"/>
        <v>...</v>
      </c>
      <c r="R52" s="163">
        <f>'2020'!Q52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>'2021'!S53</f>
        <v>-76181840.049999923</v>
      </c>
      <c r="H53" s="151">
        <f>SUM('2021'!G127:Q127)</f>
        <v>-188325534.35474369</v>
      </c>
      <c r="I53" s="321">
        <f>+G53-H53</f>
        <v>112143694.30474377</v>
      </c>
      <c r="J53" s="286">
        <f t="shared" si="1"/>
        <v>-0.59547790313713778</v>
      </c>
      <c r="K53" s="151">
        <f>SUM('2020'!G53:Q53)</f>
        <v>-397252820.21000004</v>
      </c>
      <c r="L53" s="288">
        <f t="shared" si="7"/>
        <v>321070980.16000009</v>
      </c>
      <c r="M53" s="286">
        <f t="shared" si="2"/>
        <v>-0.80822832167754566</v>
      </c>
      <c r="N53" s="151">
        <f>'2021'!Q53</f>
        <v>-13548715.409999967</v>
      </c>
      <c r="O53" s="151">
        <f>'2021'!Q127</f>
        <v>-7354786.6785252094</v>
      </c>
      <c r="P53" s="321">
        <f>N53-O53</f>
        <v>-6193928.7314747572</v>
      </c>
      <c r="Q53" s="286">
        <f t="shared" si="3"/>
        <v>0.84216293445464974</v>
      </c>
      <c r="R53" s="151">
        <f>'2020'!Q53</f>
        <v>-13262386.539999992</v>
      </c>
      <c r="S53" s="288">
        <f t="shared" si="4"/>
        <v>-286328.86999997497</v>
      </c>
      <c r="T53" s="286">
        <f t="shared" si="5"/>
        <v>2.1589543415613255E-2</v>
      </c>
    </row>
    <row r="54" spans="1:23" ht="15.7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151">
        <f>'2021'!S54</f>
        <v>11181465.710000105</v>
      </c>
      <c r="H54" s="151">
        <f>SUM('2021'!G128:Q128)</f>
        <v>-97712814.120460719</v>
      </c>
      <c r="I54" s="206">
        <f t="shared" si="0"/>
        <v>108894279.83046082</v>
      </c>
      <c r="J54" s="208">
        <f t="shared" si="1"/>
        <v>-1.1144319279988759</v>
      </c>
      <c r="K54" s="151">
        <f>SUM('2020'!G54:Q54)</f>
        <v>-295328503.99000001</v>
      </c>
      <c r="L54" s="206">
        <f t="shared" si="7"/>
        <v>306509969.70000011</v>
      </c>
      <c r="M54" s="208">
        <f t="shared" si="2"/>
        <v>-1.0378611124863812</v>
      </c>
      <c r="N54" s="151">
        <f>'2021'!Q54</f>
        <v>-6976142.9099999666</v>
      </c>
      <c r="O54" s="151">
        <f>'2021'!Q128</f>
        <v>-749337.24061140884</v>
      </c>
      <c r="P54" s="206">
        <f t="shared" si="6"/>
        <v>-6226805.6693885578</v>
      </c>
      <c r="Q54" s="208" t="str">
        <f t="shared" si="3"/>
        <v>...</v>
      </c>
      <c r="R54" s="151">
        <f>'2020'!Q54</f>
        <v>-3260483.6299999915</v>
      </c>
      <c r="S54" s="206">
        <f t="shared" si="4"/>
        <v>-3715659.2799999751</v>
      </c>
      <c r="T54" s="208">
        <f t="shared" si="5"/>
        <v>1.1396037219177773</v>
      </c>
    </row>
    <row r="55" spans="1:23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492">
        <f>'2021'!S55</f>
        <v>425536320.31</v>
      </c>
      <c r="H55" s="492">
        <f>SUM('2021'!G129:Q129)</f>
        <v>429154528.85066533</v>
      </c>
      <c r="I55" s="493">
        <f t="shared" si="0"/>
        <v>-3618208.5406653285</v>
      </c>
      <c r="J55" s="494">
        <f t="shared" si="1"/>
        <v>-8.4310156305594797E-3</v>
      </c>
      <c r="K55" s="492">
        <f>SUM('2020'!G55:Q55)</f>
        <v>635857835.48999989</v>
      </c>
      <c r="L55" s="493">
        <f t="shared" si="7"/>
        <v>-210321515.17999989</v>
      </c>
      <c r="M55" s="494">
        <f t="shared" si="2"/>
        <v>-0.33076814256432574</v>
      </c>
      <c r="N55" s="492">
        <f>'2021'!Q55</f>
        <v>17747948.740000002</v>
      </c>
      <c r="O55" s="492">
        <f>'2021'!Q129</f>
        <v>7862765.5356677668</v>
      </c>
      <c r="P55" s="493">
        <f t="shared" si="6"/>
        <v>9885183.2043322362</v>
      </c>
      <c r="Q55" s="494">
        <f t="shared" si="3"/>
        <v>1.2572145461403115</v>
      </c>
      <c r="R55" s="492">
        <f>'2020'!Q55</f>
        <v>89628953.269999996</v>
      </c>
      <c r="S55" s="493">
        <f t="shared" si="4"/>
        <v>-71881004.530000001</v>
      </c>
      <c r="T55" s="494">
        <f t="shared" si="5"/>
        <v>-0.80198420161690676</v>
      </c>
    </row>
    <row r="56" spans="1:23">
      <c r="A56" s="144">
        <v>4611</v>
      </c>
      <c r="B56" s="504" t="str">
        <f>+VLOOKUP($A56,Master!$D$29:$G$225,4,FALSE)</f>
        <v>Otplata hartija od vrijednosti i kredita rezidentima</v>
      </c>
      <c r="C56" s="505"/>
      <c r="D56" s="505"/>
      <c r="E56" s="505"/>
      <c r="F56" s="505"/>
      <c r="G56" s="163">
        <f>'2021'!S56</f>
        <v>82772480.180000007</v>
      </c>
      <c r="H56" s="163">
        <f>SUM('2021'!G130:Q130)</f>
        <v>83357213.350000024</v>
      </c>
      <c r="I56" s="212">
        <f t="shared" si="0"/>
        <v>-584733.17000001669</v>
      </c>
      <c r="J56" s="214">
        <f t="shared" si="1"/>
        <v>-7.0147878809820874E-3</v>
      </c>
      <c r="K56" s="163">
        <f>SUM('2020'!G56:Q56)</f>
        <v>225568149.72</v>
      </c>
      <c r="L56" s="212">
        <f t="shared" si="7"/>
        <v>-142795669.53999999</v>
      </c>
      <c r="M56" s="214">
        <f t="shared" si="2"/>
        <v>-0.6330489021488791</v>
      </c>
      <c r="N56" s="163">
        <f>'2021'!Q56</f>
        <v>8560164.7799999993</v>
      </c>
      <c r="O56" s="163">
        <f>'2021'!Q130</f>
        <v>3741551.76</v>
      </c>
      <c r="P56" s="212">
        <f t="shared" si="6"/>
        <v>4818613.0199999996</v>
      </c>
      <c r="Q56" s="214">
        <f t="shared" si="3"/>
        <v>1.2878648563717849</v>
      </c>
      <c r="R56" s="163">
        <f>'2020'!Q56</f>
        <v>81160000</v>
      </c>
      <c r="S56" s="212">
        <f t="shared" si="4"/>
        <v>-72599835.219999999</v>
      </c>
      <c r="T56" s="214">
        <f t="shared" si="5"/>
        <v>-0.89452729448003943</v>
      </c>
    </row>
    <row r="57" spans="1:23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163">
        <f>'2021'!S57</f>
        <v>342763840.13</v>
      </c>
      <c r="H57" s="163">
        <f>SUM('2021'!G131:Q131)</f>
        <v>345797315.50066537</v>
      </c>
      <c r="I57" s="212">
        <f t="shared" si="0"/>
        <v>-3033475.3706653714</v>
      </c>
      <c r="J57" s="214">
        <f t="shared" si="1"/>
        <v>-8.7724086760861963E-3</v>
      </c>
      <c r="K57" s="163">
        <f>SUM('2020'!G57:Q57)</f>
        <v>410289685.76999998</v>
      </c>
      <c r="L57" s="212">
        <f t="shared" si="7"/>
        <v>-67525845.639999986</v>
      </c>
      <c r="M57" s="214">
        <f t="shared" si="2"/>
        <v>-0.16458089974470769</v>
      </c>
      <c r="N57" s="163">
        <f>'2021'!Q57</f>
        <v>9187783.9600000009</v>
      </c>
      <c r="O57" s="163">
        <f>'2021'!Q131</f>
        <v>4121213.775667767</v>
      </c>
      <c r="P57" s="212">
        <f t="shared" si="6"/>
        <v>5066570.1843322339</v>
      </c>
      <c r="Q57" s="214">
        <f t="shared" si="3"/>
        <v>1.2293878600149273</v>
      </c>
      <c r="R57" s="163">
        <f>'2020'!Q57</f>
        <v>8468953.2699999996</v>
      </c>
      <c r="S57" s="212">
        <f t="shared" si="4"/>
        <v>718830.69000000134</v>
      </c>
      <c r="T57" s="214">
        <f t="shared" si="5"/>
        <v>8.487833939837075E-2</v>
      </c>
    </row>
    <row r="58" spans="1:23" ht="15.75" thickBot="1">
      <c r="A58" s="144">
        <v>4418</v>
      </c>
      <c r="B58" s="532" t="str">
        <f>+VLOOKUP($A58,Master!$D$29:$G$225,4,FALSE)</f>
        <v>Izdaci za kupovinu hartija od vrijednosti</v>
      </c>
      <c r="C58" s="533"/>
      <c r="D58" s="533"/>
      <c r="E58" s="533"/>
      <c r="F58" s="533"/>
      <c r="G58" s="336">
        <f>'2021'!S58</f>
        <v>506343.98</v>
      </c>
      <c r="H58" s="336">
        <f>SUM('2021'!G132:Q132)</f>
        <v>536784</v>
      </c>
      <c r="I58" s="337">
        <f t="shared" ref="I58:I64" si="9">+G58-H58</f>
        <v>-30440.020000000019</v>
      </c>
      <c r="J58" s="338">
        <f t="shared" si="1"/>
        <v>-5.6708135860979447E-2</v>
      </c>
      <c r="K58" s="336">
        <f>SUM('2020'!G58:Q58)</f>
        <v>940769.61</v>
      </c>
      <c r="L58" s="337">
        <f t="shared" ref="L58:L64" si="10">+G58-K58</f>
        <v>-434425.63</v>
      </c>
      <c r="M58" s="338">
        <f t="shared" si="2"/>
        <v>-0.46177685310221706</v>
      </c>
      <c r="N58" s="336">
        <f>'2021'!Q58</f>
        <v>0</v>
      </c>
      <c r="O58" s="336">
        <f>'2021'!Q132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'2020'!Q58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320">
        <f>'2021'!S59</f>
        <v>-502224504.33999997</v>
      </c>
      <c r="H59" s="320">
        <f>SUM('2021'!G133:Q133)</f>
        <v>-618016847.20540893</v>
      </c>
      <c r="I59" s="322">
        <f t="shared" si="9"/>
        <v>115792342.86540896</v>
      </c>
      <c r="J59" s="323">
        <f t="shared" si="1"/>
        <v>-0.18736114296722939</v>
      </c>
      <c r="K59" s="320">
        <f>SUM('2020'!G59:Q59)</f>
        <v>-1034051425.3099999</v>
      </c>
      <c r="L59" s="322">
        <f t="shared" si="10"/>
        <v>531826920.96999997</v>
      </c>
      <c r="M59" s="323">
        <f t="shared" si="2"/>
        <v>-0.51431380292383688</v>
      </c>
      <c r="N59" s="320">
        <f>'2021'!Q59</f>
        <v>-31296664.149999969</v>
      </c>
      <c r="O59" s="320">
        <f>'2021'!Q133</f>
        <v>-15217552.214192975</v>
      </c>
      <c r="P59" s="322">
        <f t="shared" si="11"/>
        <v>-16079111.935806993</v>
      </c>
      <c r="Q59" s="323">
        <f t="shared" si="3"/>
        <v>1.056616183042268</v>
      </c>
      <c r="R59" s="320">
        <f>'2020'!Q59</f>
        <v>-102891339.80999999</v>
      </c>
      <c r="S59" s="322">
        <f t="shared" si="12"/>
        <v>71594675.660000026</v>
      </c>
      <c r="T59" s="323">
        <f t="shared" si="5"/>
        <v>-0.69582800449685411</v>
      </c>
    </row>
    <row r="60" spans="1:23" ht="15.7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'2021'!S60</f>
        <v>502224504.33999997</v>
      </c>
      <c r="H60" s="151">
        <f>SUM('2021'!G134:Q134)</f>
        <v>618016847.20540893</v>
      </c>
      <c r="I60" s="321">
        <f t="shared" si="9"/>
        <v>-115792342.86540896</v>
      </c>
      <c r="J60" s="324">
        <f t="shared" si="1"/>
        <v>-0.18736114296722939</v>
      </c>
      <c r="K60" s="151">
        <f>SUM('2020'!G60:Q60)</f>
        <v>1034051425.3099999</v>
      </c>
      <c r="L60" s="321">
        <f t="shared" si="10"/>
        <v>-531826920.96999997</v>
      </c>
      <c r="M60" s="324">
        <f t="shared" si="2"/>
        <v>-0.51431380292383688</v>
      </c>
      <c r="N60" s="151">
        <f>'2021'!Q60</f>
        <v>31296664.149999969</v>
      </c>
      <c r="O60" s="151">
        <f>'2021'!Q134</f>
        <v>15217552.214192975</v>
      </c>
      <c r="P60" s="321">
        <f t="shared" si="11"/>
        <v>16079111.935806993</v>
      </c>
      <c r="Q60" s="324">
        <f t="shared" si="3"/>
        <v>1.056616183042268</v>
      </c>
      <c r="R60" s="151">
        <f>'2020'!Q60</f>
        <v>102891339.81</v>
      </c>
      <c r="S60" s="321">
        <f t="shared" si="12"/>
        <v>-71594675.660000026</v>
      </c>
      <c r="T60" s="324">
        <f t="shared" si="5"/>
        <v>-0.69582800449685411</v>
      </c>
    </row>
    <row r="61" spans="1:23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484">
        <f>'2021'!S61</f>
        <v>0</v>
      </c>
      <c r="H61" s="484">
        <f>SUM('2021'!G135:Q135)</f>
        <v>0</v>
      </c>
      <c r="I61" s="212">
        <f t="shared" si="9"/>
        <v>0</v>
      </c>
      <c r="J61" s="214" t="str">
        <f t="shared" si="1"/>
        <v>...</v>
      </c>
      <c r="K61" s="163">
        <f>SUM('2020'!G61:Q61)</f>
        <v>167532059.13</v>
      </c>
      <c r="L61" s="212">
        <f t="shared" si="10"/>
        <v>-167532059.13</v>
      </c>
      <c r="M61" s="214">
        <f t="shared" si="2"/>
        <v>-1</v>
      </c>
      <c r="N61" s="163">
        <f>'2021'!Q61</f>
        <v>0</v>
      </c>
      <c r="O61" s="163">
        <f>'2021'!Q135</f>
        <v>0</v>
      </c>
      <c r="P61" s="212">
        <f t="shared" si="11"/>
        <v>0</v>
      </c>
      <c r="Q61" s="214" t="str">
        <f t="shared" si="3"/>
        <v>...</v>
      </c>
      <c r="R61" s="163">
        <f>'2020'!Q61</f>
        <v>28000000</v>
      </c>
      <c r="S61" s="212">
        <f t="shared" si="12"/>
        <v>-28000000</v>
      </c>
      <c r="T61" s="214">
        <f t="shared" si="5"/>
        <v>-1</v>
      </c>
    </row>
    <row r="62" spans="1:23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163">
        <f>'2021'!S62</f>
        <v>104382047.05000001</v>
      </c>
      <c r="H62" s="163">
        <f>SUM('2021'!G136:Q136)</f>
        <v>146100000</v>
      </c>
      <c r="I62" s="212">
        <f t="shared" si="9"/>
        <v>-41717952.949999988</v>
      </c>
      <c r="J62" s="214">
        <f t="shared" si="1"/>
        <v>-0.28554382580424353</v>
      </c>
      <c r="K62" s="163">
        <f>SUM('2020'!G62:Q62)</f>
        <v>422153451.46999997</v>
      </c>
      <c r="L62" s="212">
        <f t="shared" si="10"/>
        <v>-317771404.41999996</v>
      </c>
      <c r="M62" s="214">
        <f t="shared" si="2"/>
        <v>-0.75273908886324037</v>
      </c>
      <c r="N62" s="163">
        <f>'2021'!Q62</f>
        <v>11624768.539999999</v>
      </c>
      <c r="O62" s="163">
        <f>'2021'!Q136</f>
        <v>18900000</v>
      </c>
      <c r="P62" s="212">
        <f t="shared" si="11"/>
        <v>-7275231.4600000009</v>
      </c>
      <c r="Q62" s="214">
        <f t="shared" si="3"/>
        <v>-0.38493288148148153</v>
      </c>
      <c r="R62" s="163">
        <f>'2020'!Q62</f>
        <v>5875847.9400000004</v>
      </c>
      <c r="S62" s="212">
        <f t="shared" si="12"/>
        <v>5748920.5999999987</v>
      </c>
      <c r="T62" s="214">
        <f t="shared" si="5"/>
        <v>0.97839846413724563</v>
      </c>
    </row>
    <row r="63" spans="1:23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163">
        <f>'2021'!S63</f>
        <v>1647352.5000000002</v>
      </c>
      <c r="H63" s="163">
        <f>SUM('2021'!G137:Q137)</f>
        <v>5133797.085</v>
      </c>
      <c r="I63" s="212">
        <f t="shared" si="9"/>
        <v>-3486444.585</v>
      </c>
      <c r="J63" s="214">
        <f t="shared" si="1"/>
        <v>-0.67911616436628208</v>
      </c>
      <c r="K63" s="163">
        <f>SUM('2020'!G63:Q63)</f>
        <v>7816670.6400000006</v>
      </c>
      <c r="L63" s="212">
        <f t="shared" si="10"/>
        <v>-6169318.1400000006</v>
      </c>
      <c r="M63" s="214">
        <f t="shared" si="2"/>
        <v>-0.78925138644449777</v>
      </c>
      <c r="N63" s="163">
        <f>'2021'!Q63</f>
        <v>104172.28</v>
      </c>
      <c r="O63" s="163">
        <f>'2021'!Q137</f>
        <v>866202.91500000004</v>
      </c>
      <c r="P63" s="212">
        <f t="shared" si="11"/>
        <v>-762030.63500000001</v>
      </c>
      <c r="Q63" s="214">
        <f t="shared" si="3"/>
        <v>-0.87973686281118091</v>
      </c>
      <c r="R63" s="163">
        <f>'2020'!Q63</f>
        <v>383181.15</v>
      </c>
      <c r="S63" s="212">
        <f t="shared" si="12"/>
        <v>-279008.87</v>
      </c>
      <c r="T63" s="214">
        <f t="shared" si="5"/>
        <v>-0.72813829699086186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396195104.79000002</v>
      </c>
      <c r="H64" s="318">
        <f>SUM('2021'!G138:Q138)</f>
        <v>466783050.12040895</v>
      </c>
      <c r="I64" s="226">
        <f t="shared" si="9"/>
        <v>-70587945.330408931</v>
      </c>
      <c r="J64" s="228">
        <f t="shared" si="1"/>
        <v>-0.15122216908304709</v>
      </c>
      <c r="K64" s="318">
        <f>SUM('2020'!G64:Q64)</f>
        <v>436549244.06999993</v>
      </c>
      <c r="L64" s="226">
        <f t="shared" si="10"/>
        <v>-40354139.279999912</v>
      </c>
      <c r="M64" s="228">
        <f t="shared" si="2"/>
        <v>-9.2438916864850174E-2</v>
      </c>
      <c r="N64" s="318">
        <f>'2021'!Q64</f>
        <v>19567723.329999968</v>
      </c>
      <c r="O64" s="318">
        <f>'2021'!Q138</f>
        <v>-4548650.7008070238</v>
      </c>
      <c r="P64" s="226">
        <f t="shared" si="11"/>
        <v>24116374.030806992</v>
      </c>
      <c r="Q64" s="228">
        <f t="shared" si="3"/>
        <v>-5.3018742517486022</v>
      </c>
      <c r="R64" s="318">
        <f>'2020'!Q64</f>
        <v>68632310.719999999</v>
      </c>
      <c r="S64" s="226">
        <f t="shared" si="12"/>
        <v>-49064587.39000003</v>
      </c>
      <c r="T64" s="228">
        <f t="shared" si="5"/>
        <v>-0.71489050674935561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cBR4mZk6hMGbQOmkE3NeNvsgOTWWYsa6OQU6i1X2gs1ME1c7lFCC0txW0BjS/AzvowZtKGrKeVi3bFRvMfuDsg==" saltValue="b/zGMCip94VFORHByUDuo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1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158964981.16000003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158634203.05000001</v>
      </c>
      <c r="R10" s="151">
        <f t="shared" si="1"/>
        <v>0</v>
      </c>
      <c r="S10" s="239">
        <f>+SUM(G10:R10)</f>
        <v>1663210181.8</v>
      </c>
      <c r="T10" s="463">
        <f>+S10/$T$7*100</f>
        <v>34.073099006412228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0</v>
      </c>
      <c r="S11" s="241">
        <f>+SUM(G11:R11)</f>
        <v>1066122095.95</v>
      </c>
      <c r="T11" s="464">
        <f t="shared" ref="T11:T64" si="3">+S11/$T$7*100</f>
        <v>21.840945976481677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0</v>
      </c>
      <c r="S12" s="242">
        <f t="shared" ref="S12:S63" si="4">+SUM(G12:R12)</f>
        <v>107686595.3</v>
      </c>
      <c r="T12" s="465">
        <f t="shared" si="3"/>
        <v>2.2061048347776206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0</v>
      </c>
      <c r="S13" s="242">
        <f t="shared" si="4"/>
        <v>71318011.269999996</v>
      </c>
      <c r="T13" s="465">
        <f t="shared" si="3"/>
        <v>1.4610454442464096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0</v>
      </c>
      <c r="S14" s="242">
        <f t="shared" si="4"/>
        <v>1751416.8699999999</v>
      </c>
      <c r="T14" s="465">
        <f t="shared" si="3"/>
        <v>3.5880131727203821E-2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0</v>
      </c>
      <c r="S15" s="242">
        <f t="shared" si="4"/>
        <v>622541014.23000002</v>
      </c>
      <c r="T15" s="465">
        <f t="shared" si="3"/>
        <v>12.753590523631001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0</v>
      </c>
      <c r="S16" s="242">
        <f t="shared" si="4"/>
        <v>226834723.19999996</v>
      </c>
      <c r="T16" s="465">
        <f t="shared" si="3"/>
        <v>4.6470145903755133</v>
      </c>
    </row>
    <row r="17" spans="1:23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0</v>
      </c>
      <c r="S17" s="242">
        <f t="shared" si="4"/>
        <v>25725391.169999998</v>
      </c>
      <c r="T17" s="465">
        <f t="shared" si="3"/>
        <v>0.52701926064777815</v>
      </c>
    </row>
    <row r="18" spans="1:23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0</v>
      </c>
      <c r="S18" s="242">
        <f t="shared" si="4"/>
        <v>10264943.910000002</v>
      </c>
      <c r="T18" s="465">
        <f t="shared" si="3"/>
        <v>0.21029119107614777</v>
      </c>
    </row>
    <row r="19" spans="1:23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0</v>
      </c>
      <c r="S19" s="243">
        <f t="shared" si="4"/>
        <v>467480447.74000001</v>
      </c>
      <c r="T19" s="466">
        <f t="shared" si="3"/>
        <v>9.5769661307438589</v>
      </c>
    </row>
    <row r="20" spans="1:23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0</v>
      </c>
      <c r="S20" s="242">
        <f>+SUM(G20:R20)</f>
        <v>289024312.70000005</v>
      </c>
      <c r="T20" s="465">
        <f t="shared" si="3"/>
        <v>5.9210520291725572</v>
      </c>
    </row>
    <row r="21" spans="1:23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0</v>
      </c>
      <c r="S21" s="242">
        <f t="shared" si="4"/>
        <v>152939371.64000002</v>
      </c>
      <c r="T21" s="465">
        <f t="shared" si="3"/>
        <v>3.1331688615737616</v>
      </c>
    </row>
    <row r="22" spans="1:23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0</v>
      </c>
      <c r="S22" s="242">
        <f t="shared" si="4"/>
        <v>13835662.770000001</v>
      </c>
      <c r="T22" s="465">
        <f t="shared" si="3"/>
        <v>0.28344217257697746</v>
      </c>
    </row>
    <row r="23" spans="1:23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0</v>
      </c>
      <c r="S23" s="242">
        <f t="shared" si="4"/>
        <v>11681100.630000001</v>
      </c>
      <c r="T23" s="465">
        <f t="shared" si="3"/>
        <v>0.23930306742056423</v>
      </c>
      <c r="W23" s="305"/>
    </row>
    <row r="24" spans="1:23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1049502.56</v>
      </c>
      <c r="R24" s="175">
        <v>0</v>
      </c>
      <c r="S24" s="243">
        <f t="shared" si="4"/>
        <v>11393718.9</v>
      </c>
      <c r="T24" s="466">
        <f t="shared" si="3"/>
        <v>0.23341566590867188</v>
      </c>
      <c r="W24" s="305"/>
    </row>
    <row r="25" spans="1:23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0</v>
      </c>
      <c r="S25" s="243">
        <f t="shared" si="4"/>
        <v>38800373.43</v>
      </c>
      <c r="T25" s="466">
        <f t="shared" si="3"/>
        <v>0.79487786921516812</v>
      </c>
    </row>
    <row r="26" spans="1:23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1690115.6199999999</v>
      </c>
      <c r="R26" s="175">
        <v>0</v>
      </c>
      <c r="S26" s="243">
        <f t="shared" si="4"/>
        <v>50039036.43</v>
      </c>
      <c r="T26" s="466">
        <f t="shared" si="3"/>
        <v>1.0251170063302808</v>
      </c>
    </row>
    <row r="27" spans="1:23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0</v>
      </c>
      <c r="S27" s="243">
        <f t="shared" si="4"/>
        <v>7840752.6099999994</v>
      </c>
      <c r="T27" s="466">
        <f t="shared" si="3"/>
        <v>0.16062836969659722</v>
      </c>
    </row>
    <row r="28" spans="1:23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2715280.72</v>
      </c>
      <c r="R28" s="175">
        <v>0</v>
      </c>
      <c r="S28" s="243">
        <f t="shared" si="4"/>
        <v>21533756.739999998</v>
      </c>
      <c r="T28" s="467">
        <f t="shared" si="3"/>
        <v>0.44114798803597405</v>
      </c>
    </row>
    <row r="29" spans="1:23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164546611.34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153688808.73000002</v>
      </c>
      <c r="N29" s="151">
        <f t="shared" si="6"/>
        <v>129254584.69</v>
      </c>
      <c r="O29" s="151">
        <f t="shared" si="6"/>
        <v>178840376.53</v>
      </c>
      <c r="P29" s="151">
        <f t="shared" si="6"/>
        <v>157221317.40000001</v>
      </c>
      <c r="Q29" s="151">
        <f t="shared" si="6"/>
        <v>172182918.45999998</v>
      </c>
      <c r="R29" s="151">
        <f t="shared" si="6"/>
        <v>0</v>
      </c>
      <c r="S29" s="245">
        <f t="shared" si="4"/>
        <v>1739392021.8500001</v>
      </c>
      <c r="T29" s="468">
        <f t="shared" si="3"/>
        <v>35.633786529203284</v>
      </c>
    </row>
    <row r="30" spans="1:23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74936031.789999992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63553958.960000001</v>
      </c>
      <c r="N30" s="187">
        <f t="shared" si="7"/>
        <v>55444242.760000005</v>
      </c>
      <c r="O30" s="187">
        <f t="shared" si="7"/>
        <v>78428347.819999993</v>
      </c>
      <c r="P30" s="187">
        <f t="shared" si="7"/>
        <v>65431162.609999999</v>
      </c>
      <c r="Q30" s="187">
        <f t="shared" si="7"/>
        <v>70640735.879999995</v>
      </c>
      <c r="R30" s="246">
        <f t="shared" si="7"/>
        <v>0</v>
      </c>
      <c r="S30" s="425">
        <f t="shared" si="4"/>
        <v>748347542.06999993</v>
      </c>
      <c r="T30" s="464">
        <f t="shared" si="3"/>
        <v>15.33090656321062</v>
      </c>
      <c r="U30" s="242"/>
    </row>
    <row r="31" spans="1:23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0</v>
      </c>
      <c r="S31" s="242">
        <f t="shared" si="4"/>
        <v>488175774.20000005</v>
      </c>
      <c r="T31" s="465">
        <f t="shared" si="3"/>
        <v>10.00093774609223</v>
      </c>
      <c r="U31" s="242"/>
    </row>
    <row r="32" spans="1:23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0</v>
      </c>
      <c r="S32" s="242">
        <f t="shared" si="4"/>
        <v>9027486.5899999999</v>
      </c>
      <c r="T32" s="465">
        <f t="shared" si="3"/>
        <v>0.18494021244340647</v>
      </c>
      <c r="U32" s="458"/>
    </row>
    <row r="33" spans="1:21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3818905.14</v>
      </c>
      <c r="Q33" s="163">
        <v>3314735.27</v>
      </c>
      <c r="R33" s="163">
        <v>0</v>
      </c>
      <c r="S33" s="242">
        <f t="shared" si="4"/>
        <v>26579314.870000001</v>
      </c>
      <c r="T33" s="465">
        <f t="shared" si="3"/>
        <v>0.54451303689590891</v>
      </c>
      <c r="U33" s="458"/>
    </row>
    <row r="34" spans="1:21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3354555.29</v>
      </c>
      <c r="J34" s="163">
        <v>6158096.0800000001</v>
      </c>
      <c r="K34" s="163">
        <v>5020032.2</v>
      </c>
      <c r="L34" s="163">
        <v>3880469.19</v>
      </c>
      <c r="M34" s="163">
        <v>6407706.4199999999</v>
      </c>
      <c r="N34" s="163">
        <v>4228370.29</v>
      </c>
      <c r="O34" s="163">
        <v>4951521.0199999996</v>
      </c>
      <c r="P34" s="163">
        <v>4361177.68</v>
      </c>
      <c r="Q34" s="163">
        <v>4815770.76</v>
      </c>
      <c r="R34" s="163">
        <v>0</v>
      </c>
      <c r="S34" s="242">
        <f t="shared" si="4"/>
        <v>46852696.340000004</v>
      </c>
      <c r="T34" s="465">
        <f t="shared" si="3"/>
        <v>0.95984054124925744</v>
      </c>
      <c r="U34" s="458"/>
    </row>
    <row r="35" spans="1:21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0</v>
      </c>
      <c r="S35" s="242">
        <f t="shared" si="4"/>
        <v>17087655.800000001</v>
      </c>
      <c r="T35" s="465">
        <f t="shared" si="3"/>
        <v>0.35006362649294248</v>
      </c>
      <c r="U35" s="458"/>
    </row>
    <row r="36" spans="1:21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0</v>
      </c>
      <c r="S36" s="242">
        <f>+SUM(G36:R36)</f>
        <v>87363305.76000002</v>
      </c>
      <c r="T36" s="465">
        <f t="shared" si="3"/>
        <v>1.789754896441522</v>
      </c>
      <c r="U36" s="458"/>
    </row>
    <row r="37" spans="1:21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0</v>
      </c>
      <c r="S37" s="242">
        <f t="shared" si="4"/>
        <v>8866259.790000001</v>
      </c>
      <c r="T37" s="465">
        <f t="shared" si="3"/>
        <v>0.18163726445823861</v>
      </c>
      <c r="U37" s="458"/>
    </row>
    <row r="38" spans="1:21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0</v>
      </c>
      <c r="S38" s="242">
        <f t="shared" si="4"/>
        <v>35306527.689999998</v>
      </c>
      <c r="T38" s="465">
        <f t="shared" si="3"/>
        <v>0.72330173703726464</v>
      </c>
      <c r="U38" s="458"/>
    </row>
    <row r="39" spans="1:21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0</v>
      </c>
      <c r="S39" s="242">
        <f t="shared" si="4"/>
        <v>29088521.030000001</v>
      </c>
      <c r="T39" s="465">
        <f t="shared" si="3"/>
        <v>0.5959175020998505</v>
      </c>
      <c r="U39" s="458"/>
    </row>
    <row r="40" spans="1:21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0</v>
      </c>
      <c r="S40" s="490">
        <f t="shared" si="4"/>
        <v>517254824.69999987</v>
      </c>
      <c r="T40" s="491">
        <f t="shared" si="3"/>
        <v>10.596661231639109</v>
      </c>
      <c r="U40" s="242"/>
    </row>
    <row r="41" spans="1:21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0</v>
      </c>
      <c r="S41" s="242">
        <f t="shared" si="4"/>
        <v>76569354.540000007</v>
      </c>
      <c r="T41" s="465">
        <f t="shared" si="3"/>
        <v>1.5686262786552763</v>
      </c>
      <c r="U41" s="458"/>
    </row>
    <row r="42" spans="1:21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0</v>
      </c>
      <c r="S42" s="242">
        <f t="shared" si="4"/>
        <v>19862322.57</v>
      </c>
      <c r="T42" s="465">
        <f t="shared" si="3"/>
        <v>0.40690640956302621</v>
      </c>
      <c r="U42" s="458"/>
    </row>
    <row r="43" spans="1:21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0</v>
      </c>
      <c r="S43" s="242">
        <f t="shared" si="4"/>
        <v>395219351.19</v>
      </c>
      <c r="T43" s="465">
        <f t="shared" si="3"/>
        <v>8.0966003152848636</v>
      </c>
      <c r="U43" s="458"/>
    </row>
    <row r="44" spans="1:21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0</v>
      </c>
      <c r="S44" s="242">
        <f t="shared" si="4"/>
        <v>15492949.389999999</v>
      </c>
      <c r="T44" s="465">
        <f t="shared" si="3"/>
        <v>0.31739391944768808</v>
      </c>
      <c r="U44" s="458"/>
    </row>
    <row r="45" spans="1:21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0</v>
      </c>
      <c r="S45" s="242">
        <f t="shared" si="4"/>
        <v>10110847.01</v>
      </c>
      <c r="T45" s="465">
        <f t="shared" si="3"/>
        <v>0.20713430868825924</v>
      </c>
      <c r="U45" s="458"/>
    </row>
    <row r="46" spans="1:21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0</v>
      </c>
      <c r="S46" s="243">
        <f t="shared" si="4"/>
        <v>227701758.21000001</v>
      </c>
      <c r="T46" s="466">
        <f t="shared" si="3"/>
        <v>4.6647769694548584</v>
      </c>
      <c r="U46" s="482"/>
    </row>
    <row r="47" spans="1:21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0</v>
      </c>
      <c r="S47" s="243">
        <f t="shared" si="4"/>
        <v>147660625.00999999</v>
      </c>
      <c r="T47" s="466">
        <f t="shared" si="3"/>
        <v>3.0250266324544688</v>
      </c>
      <c r="U47" s="482"/>
    </row>
    <row r="48" spans="1:21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0</v>
      </c>
      <c r="S48" s="242">
        <f t="shared" si="4"/>
        <v>1151158</v>
      </c>
      <c r="T48" s="465">
        <f t="shared" si="3"/>
        <v>2.3583020916559113E-2</v>
      </c>
      <c r="U48" s="482"/>
    </row>
    <row r="49" spans="1:21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0</v>
      </c>
      <c r="S49" s="242">
        <f t="shared" si="4"/>
        <v>66157468.329999998</v>
      </c>
      <c r="T49" s="465">
        <f t="shared" si="3"/>
        <v>1.355324776801262</v>
      </c>
      <c r="U49" s="482"/>
    </row>
    <row r="50" spans="1:21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0.15797537705119538</v>
      </c>
      <c r="U50" s="482"/>
    </row>
    <row r="51" spans="1:21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805119.83</v>
      </c>
      <c r="Q51" s="459">
        <v>1443057.19</v>
      </c>
      <c r="R51" s="460">
        <v>0</v>
      </c>
      <c r="S51" s="426">
        <f>+SUM(G51:R51)</f>
        <v>23407393.449999999</v>
      </c>
      <c r="T51" s="469">
        <f t="shared" si="3"/>
        <v>0.4795319576752094</v>
      </c>
      <c r="U51" s="482"/>
    </row>
    <row r="52" spans="1:21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-10353855.150000006</v>
      </c>
      <c r="J53" s="151">
        <f t="shared" si="9"/>
        <v>-40138158.469999969</v>
      </c>
      <c r="K53" s="151">
        <f t="shared" si="9"/>
        <v>-19589408.75</v>
      </c>
      <c r="L53" s="151">
        <f t="shared" si="9"/>
        <v>3009470.4100000262</v>
      </c>
      <c r="M53" s="151">
        <f t="shared" si="9"/>
        <v>40414495.299999982</v>
      </c>
      <c r="N53" s="151">
        <f t="shared" si="9"/>
        <v>60851396.069999993</v>
      </c>
      <c r="O53" s="151">
        <f t="shared" si="9"/>
        <v>-6557932.2999999821</v>
      </c>
      <c r="P53" s="151">
        <f t="shared" si="9"/>
        <v>2780462.4500000179</v>
      </c>
      <c r="Q53" s="151">
        <f t="shared" si="9"/>
        <v>-13548715.409999967</v>
      </c>
      <c r="R53" s="151">
        <f t="shared" si="9"/>
        <v>0</v>
      </c>
      <c r="S53" s="248">
        <f t="shared" si="4"/>
        <v>-76181840.049999923</v>
      </c>
      <c r="T53" s="471">
        <f t="shared" si="3"/>
        <v>-1.5606875227910582</v>
      </c>
    </row>
    <row r="54" spans="1:21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4434127.4199999943</v>
      </c>
      <c r="J54" s="205">
        <f t="shared" si="10"/>
        <v>-17369646.509999968</v>
      </c>
      <c r="K54" s="205">
        <f t="shared" si="10"/>
        <v>-12889107.91</v>
      </c>
      <c r="L54" s="205">
        <f t="shared" si="10"/>
        <v>8299524.8400000259</v>
      </c>
      <c r="M54" s="205">
        <f t="shared" si="10"/>
        <v>44951266.519999981</v>
      </c>
      <c r="N54" s="205">
        <f t="shared" si="10"/>
        <v>62507869.889999993</v>
      </c>
      <c r="O54" s="205">
        <f t="shared" si="10"/>
        <v>7693115.5200000182</v>
      </c>
      <c r="P54" s="205">
        <f t="shared" si="10"/>
        <v>4038377.6000000178</v>
      </c>
      <c r="Q54" s="205">
        <f t="shared" si="10"/>
        <v>-6976142.9099999666</v>
      </c>
      <c r="R54" s="205">
        <f t="shared" si="10"/>
        <v>0</v>
      </c>
      <c r="S54" s="248">
        <f t="shared" si="4"/>
        <v>11181465.710000105</v>
      </c>
      <c r="T54" s="471">
        <f t="shared" si="3"/>
        <v>0.22906737365046412</v>
      </c>
    </row>
    <row r="55" spans="1:21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0</v>
      </c>
      <c r="S55" s="249">
        <f t="shared" si="4"/>
        <v>425536320.31</v>
      </c>
      <c r="T55" s="472">
        <f t="shared" si="3"/>
        <v>8.7176842298158288</v>
      </c>
    </row>
    <row r="56" spans="1:21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0</v>
      </c>
      <c r="S56" s="250">
        <f t="shared" si="4"/>
        <v>82772480.180000007</v>
      </c>
      <c r="T56" s="473">
        <f t="shared" si="3"/>
        <v>1.6957056558703627</v>
      </c>
    </row>
    <row r="57" spans="1:21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0</v>
      </c>
      <c r="S57" s="250">
        <f t="shared" si="4"/>
        <v>342763840.13</v>
      </c>
      <c r="T57" s="473">
        <f t="shared" si="3"/>
        <v>7.0219785739454661</v>
      </c>
    </row>
    <row r="58" spans="1:21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506343.98</v>
      </c>
      <c r="Q58" s="461">
        <v>0</v>
      </c>
      <c r="R58" s="462">
        <v>0</v>
      </c>
      <c r="S58" s="249">
        <f>SUM(G58:R58)</f>
        <v>506343.98</v>
      </c>
      <c r="T58" s="474">
        <f t="shared" si="3"/>
        <v>1.0373137893593919E-2</v>
      </c>
    </row>
    <row r="59" spans="1:21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-249137626.39000002</v>
      </c>
      <c r="J59" s="217">
        <f t="shared" si="12"/>
        <v>-72991621.729999959</v>
      </c>
      <c r="K59" s="217">
        <f t="shared" si="12"/>
        <v>-35872236.670000002</v>
      </c>
      <c r="L59" s="217">
        <f t="shared" si="12"/>
        <v>-12043413.189999975</v>
      </c>
      <c r="M59" s="217">
        <f t="shared" si="12"/>
        <v>15055820.14999998</v>
      </c>
      <c r="N59" s="217">
        <f t="shared" si="12"/>
        <v>47875345.109999992</v>
      </c>
      <c r="O59" s="217">
        <f t="shared" si="12"/>
        <v>-17894118.78999998</v>
      </c>
      <c r="P59" s="217">
        <f t="shared" si="12"/>
        <v>-5284604.3099999819</v>
      </c>
      <c r="Q59" s="217">
        <f t="shared" si="12"/>
        <v>-31296664.149999969</v>
      </c>
      <c r="R59" s="217">
        <f t="shared" si="12"/>
        <v>0</v>
      </c>
      <c r="S59" s="251">
        <f t="shared" si="4"/>
        <v>-502224504.33999997</v>
      </c>
      <c r="T59" s="475">
        <f t="shared" si="3"/>
        <v>-10.288744890500482</v>
      </c>
    </row>
    <row r="60" spans="1:21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249137626.39000002</v>
      </c>
      <c r="J60" s="151">
        <f t="shared" si="13"/>
        <v>72991621.729999959</v>
      </c>
      <c r="K60" s="151">
        <f t="shared" si="13"/>
        <v>35872236.670000002</v>
      </c>
      <c r="L60" s="151">
        <f t="shared" si="13"/>
        <v>12043413.189999975</v>
      </c>
      <c r="M60" s="151">
        <f t="shared" si="13"/>
        <v>-15055820.14999998</v>
      </c>
      <c r="N60" s="151">
        <f t="shared" si="13"/>
        <v>-47875345.109999992</v>
      </c>
      <c r="O60" s="151">
        <f t="shared" si="13"/>
        <v>17894118.78999998</v>
      </c>
      <c r="P60" s="151">
        <f t="shared" si="13"/>
        <v>5284604.3099999819</v>
      </c>
      <c r="Q60" s="151">
        <f t="shared" si="13"/>
        <v>31296664.149999969</v>
      </c>
      <c r="R60" s="151">
        <f t="shared" si="13"/>
        <v>0</v>
      </c>
      <c r="S60" s="252">
        <f t="shared" si="4"/>
        <v>502224504.33999997</v>
      </c>
      <c r="T60" s="476">
        <f t="shared" si="3"/>
        <v>10.288744890500482</v>
      </c>
    </row>
    <row r="61" spans="1:21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9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0</v>
      </c>
      <c r="S62" s="250">
        <f t="shared" si="4"/>
        <v>104382047.05000001</v>
      </c>
      <c r="T62" s="473">
        <f t="shared" si="3"/>
        <v>2.1384067164484875</v>
      </c>
    </row>
    <row r="63" spans="1:21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0</v>
      </c>
      <c r="S63" s="250">
        <f t="shared" si="4"/>
        <v>1647352.5000000002</v>
      </c>
      <c r="T63" s="473">
        <f t="shared" si="3"/>
        <v>3.3748233052670398E-2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247229354.94000003</v>
      </c>
      <c r="J64" s="225">
        <f t="shared" si="14"/>
        <v>57741525.349999957</v>
      </c>
      <c r="K64" s="225">
        <f t="shared" si="14"/>
        <v>32521945.610000003</v>
      </c>
      <c r="L64" s="225">
        <f t="shared" si="14"/>
        <v>-22519160.620000027</v>
      </c>
      <c r="M64" s="225">
        <f t="shared" si="14"/>
        <v>-20616562.419999979</v>
      </c>
      <c r="N64" s="225">
        <f t="shared" si="14"/>
        <v>-53852176.029999994</v>
      </c>
      <c r="O64" s="225">
        <f t="shared" si="14"/>
        <v>10245616.339999981</v>
      </c>
      <c r="P64" s="225">
        <f t="shared" si="14"/>
        <v>-2448808.9800000181</v>
      </c>
      <c r="Q64" s="225">
        <f t="shared" si="14"/>
        <v>19567723.329999968</v>
      </c>
      <c r="R64" s="225">
        <f t="shared" si="14"/>
        <v>0</v>
      </c>
      <c r="S64" s="253">
        <f>+SUM(G64:R64)</f>
        <v>396195104.79000002</v>
      </c>
      <c r="T64" s="477">
        <f t="shared" si="3"/>
        <v>8.1165899409993241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 ostvarenja budžeta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BDP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Prihodi budžeta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Porezi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Porez na dohodak fizičkih lica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Porez na dobit pravnih lica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>Porez na promet nepokretnosti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Porez na dodatu vrijednost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Akcize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Porez na međunarodnu trgovinu i transakcije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Ostali državni porezi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Doprinosi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Doprinosi za penzijsko i invalidsko osiguranje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Doprinosi za zdravstveno osiguranje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Doprinosi za osiguranje od nezaposlenosti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Ostali doprinosi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Takse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Naknade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Ostali prihodi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Primici od otplate kredita i sredstva prenesena iz prethodne godine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Donacije i transferi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Izdaci budžeta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Tekući izdaci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Bruto zarade i doprinosi na teret poslodavca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Ostala lična primanja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Rashodi za materijal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Rashodi za usluge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Rashodi za tekuće održavanje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Kamate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Renta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Subvencije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Ostali izdaci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Transferi za socijalnu zaštitu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Prava iz oblasti socijalne zaštite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Sredstva za tehnološke viškove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Prava iz oblasti penzijskog i invalidskog osiguranja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Ostala prava iz oblasti zdravstvene zaštite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Ostala prava iz zdravstvenog osiguranja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Transferi institucijama, pojedincima, nevladinom i javnom sektoru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Kapitalni izdaci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Pozajmice i krediti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Rezerve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Otplata garancija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Otplata obaveza iz prethodnog perioda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Neto povećanje obaveza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Suficit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Primarni suficit/deficit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Otplata dugova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Otplata hartija od vrijednosti i kredita rezidentima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Otplata hartija od vrijednosti i kredita nerezidentima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Izdaci za kupovinu hartija od vrijednosti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Nedostajuća sredstva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Finansiranje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Pozajmice i krediti od domaćih izvora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Pozajmice i krediti od inostranih izvora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Primici od prodaje imovine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bqs+S87qalcZN+70jS0NV29+/f7UbaMZd4Kac86ERMvUilEMGmfsl6FKdIJI/K2MRxBZRXG11S42vTZN90V+zg==" saltValue="QaSNpPxzqviMrH4Qp+ta8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topLeftCell="J1" zoomScaleNormal="100" workbookViewId="0">
      <pane ySplit="1" topLeftCell="A44" activePane="bottomLeft" state="frozen"/>
      <selection pane="bottomLeft" activeCell="Q53" sqref="Q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Ostvarenje budžeta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BDP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48" t="str">
        <f>+VLOOKUP($A10,Master!$D$29:$G$225,4,FALSE)</f>
        <v>Prihodi budžeta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50" t="str">
        <f>+VLOOKUP($A11,Master!$D$29:$G$225,4,FALSE)</f>
        <v>Porezi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Porez na dohodak fizičkih lica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36" t="str">
        <f>+VLOOKUP($A13,Master!$D$29:$G$225,4,FALSE)</f>
        <v>Porez na dobit pravnih lica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36" t="str">
        <f>+VLOOKUP($A14,Master!$D$29:$G$225,4,FALSE)</f>
        <v>Porez na promet nepokretnosti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Porez na dodatu vrijednost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Akcize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Porez na međunarodnu trgovinu i transakcije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Ostali državni porezi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Doprinosi za penzijsko i invalidsko osiguranje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Doprinosi za zdravstveno osiguranje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Doprinosi za osiguranje od nezaposlenosti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Ostali doprinosi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Takse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Naknade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Ostali prihodi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Primici od otplate kredita i sredstva prenesena iz prethodne godine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3.5" thickBot="1">
      <c r="A28" s="150">
        <v>74</v>
      </c>
      <c r="B28" s="540" t="str">
        <f>+VLOOKUP($A28,Master!$D$29:$G$225,4,FALSE)</f>
        <v>Donacije i transferi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3.5" thickBot="1">
      <c r="A29" s="150">
        <v>4</v>
      </c>
      <c r="B29" s="526" t="str">
        <f>+VLOOKUP($A29,Master!$D$29:$G$225,4,FALSE)</f>
        <v>Izdaci budžeta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44" t="str">
        <f>+VLOOKUP($A30,Master!$D$29:$G$225,4,FALSE)</f>
        <v>Tekući izdaci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36" t="str">
        <f>+VLOOKUP($A31,Master!$D$29:$G$225,4,FALSE)</f>
        <v>Bruto zarade i doprinosi na teret poslodavca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36" t="str">
        <f>+VLOOKUP($A32,Master!$D$29:$G$225,4,FALSE)</f>
        <v>Ostala lična primanja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Rashodi za materijal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605" t="str">
        <f>+VLOOKUP($A34,Master!$D$29:$G$225,4,FALSE)</f>
        <v>Rashodi za usluge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Rashodi za tekuće održavanje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Kamate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Renta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Subvencije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605" t="str">
        <f>+VLOOKUP($A39,Master!$D$29:$G$225,4,FALSE)</f>
        <v>Ostali izdaci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Transferi za socijalnu zaštitu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Prava iz oblasti socijalne zaštite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Sredstva za tehnološke viškove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Prava iz oblasti penzijskog i invalidskog osiguranja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Ostala prava iz oblasti zdravstvene zaštite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601" t="str">
        <f>+VLOOKUP($A45,Master!$D$29:$G$225,4,FALSE)</f>
        <v>Ostala prava iz zdravstvenog osiguranja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Transferi institucijama, pojedincima, nevladinom i javnom sektoru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Kapitalni izdaci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Pozajmice i krediti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95" t="str">
        <f>+VLOOKUP($A49,Master!$D$29:$G$225,4,FALSE)</f>
        <v>Rezerve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3.5" thickBot="1">
      <c r="A50" s="150">
        <v>462</v>
      </c>
      <c r="B50" s="522" t="str">
        <f>+VLOOKUP($A50,Master!$D$29:$G$225,4,FALSE)</f>
        <v>Otplata garancija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Otplata obaveza iz prethodnog perioda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3.5" thickBot="1">
      <c r="A52" s="70">
        <v>1005</v>
      </c>
      <c r="B52" s="599" t="str">
        <f>+VLOOKUP($A52,Master!$D$29:$G$227,4,FALSE)</f>
        <v>Neto povećanje obaveza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Suficit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Primarni suficit/deficit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Otplata dugova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Otplata hartija od vrijednosti i kredita rezidentima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3.5" thickBot="1">
      <c r="A57" s="144">
        <v>4612</v>
      </c>
      <c r="B57" s="504" t="str">
        <f>+VLOOKUP($A57,Master!$D$29:$G$225,4,FALSE)</f>
        <v>Otplata hartija od vrijednosti i kredita nerezidentima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3.5" thickBot="1">
      <c r="A58" s="144">
        <v>4418</v>
      </c>
      <c r="B58" s="542" t="str">
        <f>+VLOOKUP($A58,Master!$D$29:$G$225,4,FALSE)</f>
        <v>Izdaci za kupovinu hartija od vrijednosti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3.5" thickBot="1">
      <c r="A59" s="144">
        <v>1002</v>
      </c>
      <c r="B59" s="524" t="str">
        <f>+VLOOKUP($A59,Master!$D$29:$G$225,4,FALSE)</f>
        <v>Nedostajuća sredstva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3.5" thickBot="1">
      <c r="A60" s="144">
        <v>1003</v>
      </c>
      <c r="B60" s="526" t="str">
        <f>+VLOOKUP($A60,Master!$D$29:$G$225,4,FALSE)</f>
        <v>Finansiranje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Pozajmice i krediti od domaćih izvora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Pozajmice i krediti od inostranih izvora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04" t="str">
        <f>+VLOOKUP($A63,Master!$D$29:$G$225,4,FALSE)</f>
        <v>Primici od prodaje imovine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 ostvarenja budžeta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Prihodi budžeta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Porezi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Porez na dohodak fizičkih lica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Porez na dobit pravnih lica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>Porez na promet nepokretnosti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Porez na dodatu vrijednost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Akcize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Porez na međunarodnu trgovinu i transakcije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Ostali državni porezi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Doprinosi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Doprinosi za penzijsko i invalidsko osiguranje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Doprinosi za zdravstveno osiguranje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Doprinosi za osiguranje od nezaposlenosti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Ostali doprinosi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Takse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Naknade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Ostali prihodi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Primici od otplate kredita i sredstva prenesena iz prethodne godine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Donacije i transferi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Izdaci budžeta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Tekući izdaci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Bruto zarade i doprinosi na teret poslodavca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Ostala lična primanja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Rashodi za materijal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Rashodi za usluge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Rashodi za tekuće održavanje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Kamate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Renta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Subvencije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Ostali izdaci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Transferi za socijalnu zaštitu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Prava iz oblasti socijalne zaštite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Sredstva za tehnološke viškove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Prava iz oblasti penzijskog i invalidskog osiguranja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Ostala prava iz oblasti zdravstvene zaštite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Ostala prava iz zdravstvenog osiguranja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Transferi institucijama, pojedincima, nevladinom i javnom sektoru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Kapitalni izdaci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Pozajmice i krediti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Rezerve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Otplata garancija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Otplata obaveza iz prethodnog perioda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Neto povećanje obaveza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Suficit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Primarni suficit/deficit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Otplata dugova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Otplata hartija od vrijednosti i kredita rezidentima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Otplata hartija od vrijednosti i kredita nerezidentima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Izdaci za kupovinu hartija od vrijednosti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Nedostajuća sredstva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Finansiranje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Pozajmice i krediti od domaćih izvora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Pozajmice i krediti od inostranih izvora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Primici od prodaje imovine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topLeftCell="L1" zoomScaleNormal="100" workbookViewId="0">
      <pane ySplit="1" topLeftCell="A26" activePane="bottomLeft" state="frozen"/>
      <selection pane="bottomLeft" activeCell="G53" sqref="G53:Q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11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Novembar</v>
      </c>
    </row>
    <row r="245" spans="4:7">
      <c r="D245" s="49"/>
      <c r="E245" s="9"/>
      <c r="F245" s="10"/>
      <c r="G245" s="52" t="str">
        <f>+CONCATENATE("Jan - ",LEFT(G244,3))</f>
        <v>Jan - Nov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Nov</v>
      </c>
      <c r="F253" s="10" t="str">
        <f>+CONCATENATE("Analytics for period ",G245)</f>
        <v>Analytics for period Jan - Nov</v>
      </c>
      <c r="G253" s="52" t="str">
        <f>+IF(ISBLANK(IF($B$2=1,E253,F253)),"",IF($B$2=1,E253,F253))</f>
        <v>Analitika za period Jan - Nov</v>
      </c>
    </row>
    <row r="254" spans="4:7">
      <c r="D254" s="46"/>
      <c r="E254" s="9" t="str">
        <f>+CONCATENATE("Analitika za period ",G244)</f>
        <v>Analitika za period Novembar</v>
      </c>
      <c r="F254" s="10" t="str">
        <f>+CONCATENATE("Analytics for period ",G244)</f>
        <v>Analytics for period Novembar</v>
      </c>
      <c r="G254" s="52" t="str">
        <f>+IF(ISBLANK(IF($B$2=1,E254,F254)),"",IF($B$2=1,E254,F254))</f>
        <v>Analitika za period Novembar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Novembar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Novembar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Novembar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Novembar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Novembar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Novembar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Analitika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2021-12-29T07:51:50Z</cp:lastPrinted>
  <dcterms:created xsi:type="dcterms:W3CDTF">2014-09-15T13:41:17Z</dcterms:created>
  <dcterms:modified xsi:type="dcterms:W3CDTF">2021-12-30T13:57:49Z</dcterms:modified>
</cp:coreProperties>
</file>