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AppData\Local\Microsoft\Windows\Temporary Internet Files\Content.Outlook\BPHVB0TN\"/>
    </mc:Choice>
  </mc:AlternateContent>
  <workbookProtection workbookAlgorithmName="SHA-512" workbookHashValue="Lc7/OZ9/txt6MkKs2RRODRafTjFCs3kewDw53jLTe4+M45KANBrAx3k3T06Px+DxkEe1QjeH0ifXVSocR6KkSg==" workbookSaltValue="CCN9jJlFTX5oS+AuJ+OjFw==" workbookSpinCount="100000" lockStructure="1"/>
  <bookViews>
    <workbookView xWindow="0" yWindow="0" windowWidth="20460" windowHeight="7590" tabRatio="587" firstSheet="1" activeTab="2"/>
  </bookViews>
  <sheets>
    <sheet name="Analitika - 2014" sheetId="3" state="hidden" r:id="rId1"/>
    <sheet name="Pregled" sheetId="1" r:id="rId2"/>
    <sheet name="Analitika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62913"/>
</workbook>
</file>

<file path=xl/calcChain.xml><?xml version="1.0" encoding="utf-8"?>
<calcChain xmlns="http://schemas.openxmlformats.org/spreadsheetml/2006/main"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10" i="11"/>
  <c r="O11" i="11" l="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N10" i="11"/>
  <c r="G5" i="22" l="1"/>
  <c r="H5" i="22"/>
  <c r="I5" i="22"/>
  <c r="J5" i="22"/>
  <c r="K5" i="22"/>
  <c r="L5" i="22"/>
  <c r="M5" i="22"/>
  <c r="P10" i="22" l="1"/>
  <c r="S121" i="22" l="1"/>
  <c r="M129" i="22" l="1"/>
  <c r="G5" i="19" l="1"/>
  <c r="H5" i="19"/>
  <c r="I5" i="19"/>
  <c r="J5" i="19"/>
  <c r="K5" i="19"/>
  <c r="L5" i="19"/>
  <c r="M5" i="19"/>
  <c r="N5" i="19"/>
  <c r="O5" i="19"/>
  <c r="P5" i="19"/>
  <c r="Q5" i="19"/>
  <c r="R5" i="19"/>
  <c r="H17" i="1" l="1"/>
  <c r="H21" i="1" s="1"/>
  <c r="G17" i="1"/>
  <c r="G21" i="1" s="1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11" s="1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N40" i="11" s="1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N30" i="11" s="1"/>
  <c r="M30" i="22"/>
  <c r="K30" i="22"/>
  <c r="I30" i="22"/>
  <c r="G30" i="22"/>
  <c r="S26" i="22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O5" i="22"/>
  <c r="N5" i="22"/>
  <c r="T26" i="22" l="1"/>
  <c r="G26" i="11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N29" i="11" s="1"/>
  <c r="L29" i="22"/>
  <c r="P29" i="22"/>
  <c r="P53" i="22" s="1"/>
  <c r="P54" i="22" s="1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I47" i="11" s="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G61" i="11"/>
  <c r="G62" i="11"/>
  <c r="G63" i="11"/>
  <c r="G27" i="11"/>
  <c r="G28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Q53" i="22" s="1"/>
  <c r="Q54" i="22" s="1"/>
  <c r="J29" i="22"/>
  <c r="N29" i="22"/>
  <c r="R29" i="22"/>
  <c r="S40" i="22"/>
  <c r="T40" i="22" s="1"/>
  <c r="S19" i="22"/>
  <c r="T19" i="22" s="1"/>
  <c r="S30" i="22"/>
  <c r="T30" i="22" s="1"/>
  <c r="P127" i="22" l="1"/>
  <c r="P133" i="22" s="1"/>
  <c r="P138" i="22" s="1"/>
  <c r="P134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L53" i="22"/>
  <c r="L59" i="22" s="1"/>
  <c r="K127" i="22"/>
  <c r="K53" i="22"/>
  <c r="Q29" i="11"/>
  <c r="K54" i="22"/>
  <c r="J127" i="22"/>
  <c r="J128" i="22" s="1"/>
  <c r="I53" i="22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S10" i="22"/>
  <c r="T10" i="22" s="1"/>
  <c r="M53" i="22"/>
  <c r="M54" i="22" s="1"/>
  <c r="R127" i="22"/>
  <c r="R133" i="22" s="1"/>
  <c r="R138" i="22" s="1"/>
  <c r="R134" i="22" s="1"/>
  <c r="N127" i="22"/>
  <c r="N53" i="22"/>
  <c r="S103" i="22"/>
  <c r="R53" i="22"/>
  <c r="R54" i="22" s="1"/>
  <c r="I59" i="22"/>
  <c r="Q59" i="22"/>
  <c r="Q64" i="22" s="1"/>
  <c r="Q60" i="22" s="1"/>
  <c r="P128" i="22"/>
  <c r="O133" i="22"/>
  <c r="O138" i="22" s="1"/>
  <c r="O134" i="22" s="1"/>
  <c r="S84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P59" i="22"/>
  <c r="P64" i="22" s="1"/>
  <c r="P60" i="22" s="1"/>
  <c r="O54" i="22"/>
  <c r="N54" i="11" s="1"/>
  <c r="J53" i="22"/>
  <c r="N54" i="22"/>
  <c r="A145" i="19"/>
  <c r="A144" i="19"/>
  <c r="A151" i="19"/>
  <c r="A157" i="19"/>
  <c r="A152" i="19"/>
  <c r="A153" i="19"/>
  <c r="O59" i="22" l="1"/>
  <c r="N53" i="11"/>
  <c r="N59" i="22"/>
  <c r="G128" i="22"/>
  <c r="L133" i="22"/>
  <c r="Q128" i="22"/>
  <c r="M133" i="22"/>
  <c r="M59" i="22"/>
  <c r="L64" i="22"/>
  <c r="L54" i="22"/>
  <c r="L138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G10" i="1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O64" i="22" l="1"/>
  <c r="N59" i="11"/>
  <c r="N64" i="22"/>
  <c r="G12" i="1"/>
  <c r="H12" i="1" s="1"/>
  <c r="L10" i="11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Q53" i="11"/>
  <c r="P53" i="11"/>
  <c r="G64" i="22"/>
  <c r="J29" i="11"/>
  <c r="I29" i="11"/>
  <c r="G53" i="11"/>
  <c r="S59" i="22"/>
  <c r="T59" i="22" s="1"/>
  <c r="G138" i="22"/>
  <c r="S133" i="22"/>
  <c r="Q54" i="11"/>
  <c r="S128" i="22"/>
  <c r="O60" i="22" l="1"/>
  <c r="N60" i="11" s="1"/>
  <c r="N64" i="11"/>
  <c r="N60" i="22"/>
  <c r="Q59" i="11"/>
  <c r="M134" i="22"/>
  <c r="G54" i="11"/>
  <c r="M60" i="22"/>
  <c r="J60" i="22"/>
  <c r="T128" i="22"/>
  <c r="T133" i="22"/>
  <c r="I134" i="22"/>
  <c r="H60" i="22"/>
  <c r="I53" i="11"/>
  <c r="G20" i="1"/>
  <c r="H20" i="1" s="1"/>
  <c r="S64" i="22"/>
  <c r="T64" i="22" s="1"/>
  <c r="J53" i="11"/>
  <c r="G60" i="22"/>
  <c r="G59" i="11"/>
  <c r="S138" i="22"/>
  <c r="G134" i="22"/>
  <c r="GC35" i="6"/>
  <c r="GC28" i="6"/>
  <c r="GC23" i="6"/>
  <c r="GC18" i="6"/>
  <c r="GC10" i="6"/>
  <c r="I54" i="11" l="1"/>
  <c r="Q64" i="11"/>
  <c r="S60" i="22"/>
  <c r="T60" i="22" s="1"/>
  <c r="J54" i="11"/>
  <c r="T138" i="22"/>
  <c r="G64" i="11"/>
  <c r="J59" i="11"/>
  <c r="I59" i="11"/>
  <c r="S134" i="22"/>
  <c r="Q60" i="11"/>
  <c r="GB35" i="6"/>
  <c r="GB28" i="6"/>
  <c r="GB23" i="6"/>
  <c r="GB18" i="6"/>
  <c r="GB10" i="6"/>
  <c r="G60" i="11" l="1"/>
  <c r="J60" i="11" s="1"/>
  <c r="T134" i="22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H30" i="20" s="1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I30" i="20" l="1"/>
  <c r="P40" i="20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T48" i="11" s="1"/>
  <c r="M48" i="19"/>
  <c r="N48" i="19"/>
  <c r="O48" i="19"/>
  <c r="P48" i="19"/>
  <c r="Q48" i="19"/>
  <c r="R48" i="19"/>
  <c r="H48" i="19"/>
  <c r="G48" i="19"/>
  <c r="M48" i="11" l="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N57" i="21" l="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S10" i="11" l="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<sst xmlns="http://schemas.openxmlformats.org/spreadsheetml/2006/main" count="1728" uniqueCount="828">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</sst>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895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septembar 2021. godine iznosili su 1.344,5 mil. € ili 29,0%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veći su za 7,1 mil. € ili 0,5% od planiranih. U odnosu na isti period prethodne godine prihodi su veći za 178,6 mil. € ili 15,3%.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septembar 2021.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1.409,2 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30,4% BDP-a i manji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89,6 mil. € ili 6,0% u odnosu na isti period prethodne godine. U odnosu na planirane, izdaci su manji za 101,5 mil. € ili 6,7%. U periodu januar - septembar 2021.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64,7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1,4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BDP-a, što je za 108,6 mil. € ili 62,7% manje od planiranog, odnosno za 268,2 mil. € ili 80,6% manje od zabilježenog u istom periodu 2020. godine.</a:t>
          </a: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1</xdr:rowOff>
    </xdr:from>
    <xdr:to>
      <xdr:col>22</xdr:col>
      <xdr:colOff>323849</xdr:colOff>
      <xdr:row>22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5" y="1343026"/>
          <a:ext cx="3657599" cy="287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Rješenjem o privremenom finansiranju budžeta za januar, februar, mart, april, maj i jun 2021. godine, odnosno Zakonom o budžetu za 2021. godinu za period jul - decembar.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2021-09</v>
      </c>
      <c r="O6" s="143" t="str">
        <f>+CONCATENATE(N6,"p")</f>
        <v>2021-09p</v>
      </c>
      <c r="P6" s="130"/>
      <c r="Q6" s="130"/>
      <c r="R6" s="143" t="str">
        <f>+IF(Master!B3-10&gt;=0,CONCATENATE(Master!B4-1,"-",Master!B3),CONCATENATE(Master!B4-1,"-0",Master!B3))</f>
        <v>2020-09</v>
      </c>
      <c r="S6" s="130"/>
      <c r="T6" s="130"/>
    </row>
    <row r="7" spans="1:20">
      <c r="A7" s="144"/>
      <c r="B7" s="506" t="s">
        <v>692</v>
      </c>
      <c r="C7" s="507"/>
      <c r="D7" s="507"/>
      <c r="E7" s="507"/>
      <c r="F7" s="507"/>
      <c r="G7" s="515" t="s">
        <v>691</v>
      </c>
      <c r="H7" s="516"/>
      <c r="I7" s="516"/>
      <c r="J7" s="516"/>
      <c r="K7" s="516"/>
      <c r="L7" s="516"/>
      <c r="M7" s="517"/>
      <c r="N7" s="518" t="str">
        <f>+Master!G242</f>
        <v>Decembar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145" t="str">
        <f>+Master!G25</f>
        <v>Ostvarenje</v>
      </c>
      <c r="H8" s="145" t="str">
        <f>+Master!G24</f>
        <v>Plan</v>
      </c>
      <c r="I8" s="502" t="str">
        <f>+Master!G260</f>
        <v>Odstupanje</v>
      </c>
      <c r="J8" s="502"/>
      <c r="K8" s="145" t="str">
        <f>+CONCATENATE(Master!G245," ",Master!B4-1)</f>
        <v>Jan - Sep 2020</v>
      </c>
      <c r="L8" s="502" t="str">
        <f>+I8</f>
        <v>Odstupanje</v>
      </c>
      <c r="M8" s="514"/>
      <c r="N8" s="146" t="str">
        <f>+G8</f>
        <v>Ostvarenje</v>
      </c>
      <c r="O8" s="145" t="str">
        <f>+H8</f>
        <v>Plan</v>
      </c>
      <c r="P8" s="502" t="str">
        <f>+I8</f>
        <v>Odstupanje</v>
      </c>
      <c r="Q8" s="502"/>
      <c r="R8" s="145" t="str">
        <f>+CONCATENATE(Master!G244," ",Master!B4-1)</f>
        <v>Septembar 2020</v>
      </c>
      <c r="S8" s="502" t="str">
        <f>+P8</f>
        <v>Odstupanje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36" t="e">
        <f>+VLOOKUP($A18,Master!$D$29:$G$225,4,FALSE)</f>
        <v>#N/A</v>
      </c>
      <c r="C18" s="537"/>
      <c r="D18" s="537"/>
      <c r="E18" s="537"/>
      <c r="F18" s="537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36" t="str">
        <f>+VLOOKUP($A19,Master!$D$29:$G$225,4,FALSE)</f>
        <v>Ostali državni porezi</v>
      </c>
      <c r="C19" s="537"/>
      <c r="D19" s="537"/>
      <c r="E19" s="537"/>
      <c r="F19" s="537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46" t="str">
        <f>+VLOOKUP($A20,Master!$D$29:$G$225,4,FALSE)</f>
        <v>Doprinosi</v>
      </c>
      <c r="C20" s="547"/>
      <c r="D20" s="547"/>
      <c r="E20" s="547"/>
      <c r="F20" s="547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36" t="str">
        <f>+VLOOKUP($A21,Master!$D$29:$G$225,4,FALSE)</f>
        <v>Doprinosi za penzijsko i invalidsko osiguranje</v>
      </c>
      <c r="C21" s="537"/>
      <c r="D21" s="537"/>
      <c r="E21" s="537"/>
      <c r="F21" s="537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36" t="str">
        <f>+VLOOKUP($A22,Master!$D$29:$G$225,4,FALSE)</f>
        <v>Doprinosi za zdravstveno osiguranje</v>
      </c>
      <c r="C22" s="537"/>
      <c r="D22" s="537"/>
      <c r="E22" s="537"/>
      <c r="F22" s="537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36" t="str">
        <f>+VLOOKUP($A23,Master!$D$29:$G$225,4,FALSE)</f>
        <v>Doprinosi za osiguranje od nezaposlenosti</v>
      </c>
      <c r="C23" s="537"/>
      <c r="D23" s="537"/>
      <c r="E23" s="537"/>
      <c r="F23" s="537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36" t="str">
        <f>+VLOOKUP($A24,Master!$D$29:$G$225,4,FALSE)</f>
        <v>Ostali doprinosi</v>
      </c>
      <c r="C24" s="537"/>
      <c r="D24" s="537"/>
      <c r="E24" s="537"/>
      <c r="F24" s="537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38" t="str">
        <f>+VLOOKUP($A25,Master!$D$29:$G$225,4,FALSE)</f>
        <v>Takse</v>
      </c>
      <c r="C25" s="539"/>
      <c r="D25" s="539"/>
      <c r="E25" s="539"/>
      <c r="F25" s="539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38" t="str">
        <f>+VLOOKUP($A26,Master!$D$29:$G$225,4,FALSE)</f>
        <v>Naknade</v>
      </c>
      <c r="C26" s="539"/>
      <c r="D26" s="539"/>
      <c r="E26" s="539"/>
      <c r="F26" s="539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38" t="str">
        <f>+VLOOKUP($A27,Master!$D$29:$G$225,4,FALSE)</f>
        <v>Ostali prihodi</v>
      </c>
      <c r="C27" s="539"/>
      <c r="D27" s="539"/>
      <c r="E27" s="539"/>
      <c r="F27" s="539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38" t="str">
        <f>+VLOOKUP($A28,Master!$D$29:$G$225,4,FALSE)</f>
        <v>Primici od otplate kredita i sredstva prenesena iz prethodne godine</v>
      </c>
      <c r="C28" s="539"/>
      <c r="D28" s="539"/>
      <c r="E28" s="539"/>
      <c r="F28" s="539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0" t="str">
        <f>+VLOOKUP($A29,Master!$D$29:$G$225,4,FALSE)</f>
        <v>Donacije i transferi</v>
      </c>
      <c r="C29" s="541"/>
      <c r="D29" s="541"/>
      <c r="E29" s="541"/>
      <c r="F29" s="541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26" t="str">
        <f>+VLOOKUP($A30,Master!$D$29:$G$225,4,FALSE)</f>
        <v>Izdaci budžeta</v>
      </c>
      <c r="C30" s="527"/>
      <c r="D30" s="527"/>
      <c r="E30" s="527"/>
      <c r="F30" s="527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42" t="str">
        <f>+VLOOKUP($A31,Master!$D$29:$G$225,4,FALSE)</f>
        <v>Tekući izdaci</v>
      </c>
      <c r="C31" s="543"/>
      <c r="D31" s="543"/>
      <c r="E31" s="543"/>
      <c r="F31" s="543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44" t="str">
        <f>+VLOOKUP($A32,Master!$D$29:$G$225,4,FALSE)</f>
        <v>Tekuća budžetska potrošnja</v>
      </c>
      <c r="C32" s="545"/>
      <c r="D32" s="545"/>
      <c r="E32" s="545"/>
      <c r="F32" s="545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36" t="str">
        <f>+VLOOKUP($A33,Master!$D$29:$G$225,4,FALSE)</f>
        <v>Bruto zarade i doprinosi na teret poslodavca</v>
      </c>
      <c r="C33" s="537"/>
      <c r="D33" s="537"/>
      <c r="E33" s="537"/>
      <c r="F33" s="537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36" t="str">
        <f>+VLOOKUP($A34,Master!$D$29:$G$225,4,FALSE)</f>
        <v>Ostala lična primanja</v>
      </c>
      <c r="C34" s="537"/>
      <c r="D34" s="537"/>
      <c r="E34" s="537"/>
      <c r="F34" s="537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36" t="str">
        <f>+VLOOKUP($A35,Master!$D$29:$G$225,4,FALSE)</f>
        <v>Rashodi za materijal</v>
      </c>
      <c r="C35" s="537"/>
      <c r="D35" s="537"/>
      <c r="E35" s="537"/>
      <c r="F35" s="537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36" t="str">
        <f>+VLOOKUP($A36,Master!$D$29:$G$225,4,FALSE)</f>
        <v>Rashodi za usluge</v>
      </c>
      <c r="C36" s="537"/>
      <c r="D36" s="537"/>
      <c r="E36" s="537"/>
      <c r="F36" s="537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36" t="str">
        <f>+VLOOKUP($A37,Master!$D$29:$G$225,4,FALSE)</f>
        <v>Rashodi za tekuće održavanje</v>
      </c>
      <c r="C37" s="537"/>
      <c r="D37" s="537"/>
      <c r="E37" s="537"/>
      <c r="F37" s="537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36" t="str">
        <f>+VLOOKUP($A38,Master!$D$29:$G$225,4,FALSE)</f>
        <v>Kamate</v>
      </c>
      <c r="C38" s="537"/>
      <c r="D38" s="537"/>
      <c r="E38" s="537"/>
      <c r="F38" s="537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36" t="str">
        <f>+VLOOKUP($A39,Master!$D$29:$G$225,4,FALSE)</f>
        <v>Renta</v>
      </c>
      <c r="C39" s="537"/>
      <c r="D39" s="537"/>
      <c r="E39" s="537"/>
      <c r="F39" s="537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36" t="str">
        <f>+VLOOKUP($A40,Master!$D$29:$G$225,4,FALSE)</f>
        <v>Subvencije</v>
      </c>
      <c r="C40" s="537"/>
      <c r="D40" s="537"/>
      <c r="E40" s="537"/>
      <c r="F40" s="537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36" t="str">
        <f>+VLOOKUP($A41,Master!$D$29:$G$225,4,FALSE)</f>
        <v>Ostali izdaci</v>
      </c>
      <c r="C41" s="537"/>
      <c r="D41" s="537"/>
      <c r="E41" s="537"/>
      <c r="F41" s="537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36" t="e">
        <f>+VLOOKUP($A42,Master!$D$29:$G$225,4,FALSE)</f>
        <v>#N/A</v>
      </c>
      <c r="C42" s="537"/>
      <c r="D42" s="537"/>
      <c r="E42" s="537"/>
      <c r="F42" s="537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2" t="str">
        <f>+VLOOKUP($A43,Master!$D$29:$G$225,4,FALSE)</f>
        <v>Transferi za socijalnu zaštitu</v>
      </c>
      <c r="C43" s="533"/>
      <c r="D43" s="533"/>
      <c r="E43" s="533"/>
      <c r="F43" s="533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36" t="str">
        <f>+VLOOKUP($A44,Master!$D$29:$G$225,4,FALSE)</f>
        <v>Prava iz oblasti socijalne zaštite</v>
      </c>
      <c r="C44" s="537"/>
      <c r="D44" s="537"/>
      <c r="E44" s="537"/>
      <c r="F44" s="537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36" t="str">
        <f>+VLOOKUP($A45,Master!$D$29:$G$225,4,FALSE)</f>
        <v>Sredstva za tehnološke viškove</v>
      </c>
      <c r="C45" s="537"/>
      <c r="D45" s="537"/>
      <c r="E45" s="537"/>
      <c r="F45" s="537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36" t="str">
        <f>+VLOOKUP($A46,Master!$D$29:$G$225,4,FALSE)</f>
        <v>Prava iz oblasti penzijskog i invalidskog osiguranja</v>
      </c>
      <c r="C46" s="537"/>
      <c r="D46" s="537"/>
      <c r="E46" s="537"/>
      <c r="F46" s="537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36" t="str">
        <f>+VLOOKUP($A47,Master!$D$29:$G$225,4,FALSE)</f>
        <v>Ostala prava iz oblasti zdravstvene zaštite</v>
      </c>
      <c r="C47" s="537"/>
      <c r="D47" s="537"/>
      <c r="E47" s="537"/>
      <c r="F47" s="537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36" t="str">
        <f>+VLOOKUP($A48,Master!$D$29:$G$225,4,FALSE)</f>
        <v>Ostala prava iz zdravstvenog osiguranja</v>
      </c>
      <c r="C48" s="537"/>
      <c r="D48" s="537"/>
      <c r="E48" s="537"/>
      <c r="F48" s="537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4" t="str">
        <f>+VLOOKUP($A49,Master!$D$29:$G$225,4,FALSE)</f>
        <v xml:space="preserve">Transferi institucijama, pojedincima, nevladinom i javnom sektoru </v>
      </c>
      <c r="C49" s="535"/>
      <c r="D49" s="535"/>
      <c r="E49" s="535"/>
      <c r="F49" s="535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4" t="str">
        <f>+VLOOKUP($A50,Master!$D$29:$G$225,4,FALSE)</f>
        <v>Kapitalni izdaci</v>
      </c>
      <c r="C50" s="535"/>
      <c r="D50" s="535"/>
      <c r="E50" s="535"/>
      <c r="F50" s="535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4" t="str">
        <f>+VLOOKUP($A51,Master!$D$29:$G$225,4,FALSE)</f>
        <v>Pozajmice i krediti</v>
      </c>
      <c r="C51" s="505"/>
      <c r="D51" s="505"/>
      <c r="E51" s="505"/>
      <c r="F51" s="505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4" t="str">
        <f>+VLOOKUP($A52,Master!$D$29:$G$225,4,FALSE)</f>
        <v>Rezerve</v>
      </c>
      <c r="C52" s="505"/>
      <c r="D52" s="505"/>
      <c r="E52" s="505"/>
      <c r="F52" s="505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22" t="str">
        <f>+VLOOKUP($A53,Master!$D$29:$G$225,4,FALSE)</f>
        <v>Otplata garancija</v>
      </c>
      <c r="C53" s="523"/>
      <c r="D53" s="523"/>
      <c r="E53" s="523"/>
      <c r="F53" s="523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22" t="str">
        <f>+VLOOKUP($A54,Master!$D$29:$G$225,4,FALSE)</f>
        <v>Otplata obaveza iz prethodnog perioda</v>
      </c>
      <c r="C54" s="523"/>
      <c r="D54" s="523"/>
      <c r="E54" s="523"/>
      <c r="F54" s="523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22" t="str">
        <f>+VLOOKUP($A55,Master!$D$29:$G$227,4,FALSE)</f>
        <v>Neto povećanje obaveza</v>
      </c>
      <c r="C55" s="523"/>
      <c r="D55" s="523"/>
      <c r="E55" s="523"/>
      <c r="F55" s="523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28" t="str">
        <f>+VLOOKUP($A56,Master!$D$29:$G$225,4,FALSE)</f>
        <v>Suficit / deficit</v>
      </c>
      <c r="C56" s="529"/>
      <c r="D56" s="529"/>
      <c r="E56" s="529"/>
      <c r="F56" s="529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0" t="str">
        <f>+VLOOKUP($A57,Master!$D$29:$G$225,4,FALSE)</f>
        <v>Primarni suficit/deficit</v>
      </c>
      <c r="C57" s="531"/>
      <c r="D57" s="531"/>
      <c r="E57" s="531"/>
      <c r="F57" s="531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2" t="str">
        <f>+VLOOKUP($A58,Master!$D$29:$G$225,4,FALSE)</f>
        <v>Otplata dugova</v>
      </c>
      <c r="C58" s="533"/>
      <c r="D58" s="533"/>
      <c r="E58" s="533"/>
      <c r="F58" s="533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0" t="str">
        <f>+VLOOKUP($A59,Master!$D$29:$G$225,4,FALSE)</f>
        <v>Otplata hartija od vrijednosti i kredita rezidentima</v>
      </c>
      <c r="C59" s="521"/>
      <c r="D59" s="521"/>
      <c r="E59" s="521"/>
      <c r="F59" s="521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4" t="str">
        <f>+VLOOKUP($A60,Master!$D$29:$G$225,4,FALSE)</f>
        <v>Otplata hartija od vrijednosti i kredita nerezidentima</v>
      </c>
      <c r="C60" s="505"/>
      <c r="D60" s="505"/>
      <c r="E60" s="505"/>
      <c r="F60" s="505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24" t="str">
        <f>+VLOOKUP($A62,Master!$D$29:$G$225,4,FALSE)</f>
        <v>Nedostajuća sredstva</v>
      </c>
      <c r="C62" s="525"/>
      <c r="D62" s="525"/>
      <c r="E62" s="525"/>
      <c r="F62" s="525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26" t="str">
        <f>+VLOOKUP($A63,Master!$D$29:$G$225,4,FALSE)</f>
        <v>Finansiranje</v>
      </c>
      <c r="C63" s="527"/>
      <c r="D63" s="527"/>
      <c r="E63" s="527"/>
      <c r="F63" s="527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0" t="str">
        <f>+VLOOKUP($A64,Master!$D$29:$G$225,4,FALSE)</f>
        <v>Pozajmice i krediti od domaćih izvora</v>
      </c>
      <c r="C64" s="521"/>
      <c r="D64" s="521"/>
      <c r="E64" s="521"/>
      <c r="F64" s="521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4" t="str">
        <f>+VLOOKUP($A65,Master!$D$29:$G$225,4,FALSE)</f>
        <v>Pozajmice i krediti od inostranih izvora</v>
      </c>
      <c r="C65" s="505"/>
      <c r="D65" s="505"/>
      <c r="E65" s="505"/>
      <c r="F65" s="505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4" t="str">
        <f>+VLOOKUP($A66,Master!$D$29:$G$225,4,FALSE)</f>
        <v>Primici od prodaje imovine</v>
      </c>
      <c r="C66" s="505"/>
      <c r="D66" s="505"/>
      <c r="E66" s="505"/>
      <c r="F66" s="505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H16" sqref="H16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 i socijalnog staranja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Septembar</v>
      </c>
      <c r="E11" s="135"/>
      <c r="F11" s="135"/>
      <c r="G11" s="137" t="str">
        <f>+Master!G273</f>
        <v>Prihodi za period Januar - Septembar</v>
      </c>
      <c r="H11" s="135"/>
      <c r="I11" s="135"/>
      <c r="J11" s="135"/>
      <c r="K11" s="136"/>
    </row>
    <row r="12" spans="3:11">
      <c r="C12" s="134"/>
      <c r="D12" s="138">
        <f>+'Analitika - 2021'!N10</f>
        <v>172242018.37</v>
      </c>
      <c r="E12" s="456">
        <f>+D12/'2021'!T7</f>
        <v>3.7148345419057066E-2</v>
      </c>
      <c r="F12" s="135"/>
      <c r="G12" s="138">
        <f>+'Analitika - 2021'!G10</f>
        <v>1344528414.7200003</v>
      </c>
      <c r="H12" s="456">
        <f>+G12/'2021'!T7</f>
        <v>0.28998154137083215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Septembar</v>
      </c>
      <c r="E15" s="135"/>
      <c r="F15" s="135"/>
      <c r="G15" s="137" t="str">
        <f>+Master!G274</f>
        <v>Rashodi za period Januar - Septembar</v>
      </c>
      <c r="H15" s="135"/>
      <c r="I15" s="135"/>
      <c r="J15" s="135"/>
      <c r="K15" s="136"/>
    </row>
    <row r="16" spans="3:11">
      <c r="C16" s="134"/>
      <c r="D16" s="138">
        <f>+'Analitika - 2021'!N29</f>
        <v>178840676.53</v>
      </c>
      <c r="E16" s="456">
        <f>+D16/'2021'!T7</f>
        <v>3.8571512860716903E-2</v>
      </c>
      <c r="F16" s="135"/>
      <c r="G16" s="138">
        <f>+'Analitika - 2021'!G29</f>
        <v>1409205724.49</v>
      </c>
      <c r="H16" s="456">
        <f>+G16/'2021'!T7</f>
        <v>0.30393083821981626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Septembar</v>
      </c>
      <c r="E19" s="135"/>
      <c r="F19" s="135"/>
      <c r="G19" s="137" t="str">
        <f>+Master!G275</f>
        <v>Suficit/Deficit za period Januar - Septembar</v>
      </c>
      <c r="H19" s="135"/>
      <c r="I19" s="135"/>
      <c r="J19" s="135"/>
      <c r="K19" s="136"/>
    </row>
    <row r="20" spans="3:12">
      <c r="C20" s="134"/>
      <c r="D20" s="138">
        <f>+'Analitika - 2021'!N53</f>
        <v>-6598658.1599999964</v>
      </c>
      <c r="E20" s="456">
        <f>+D20/'2021'!T7</f>
        <v>-1.4231674416598362E-3</v>
      </c>
      <c r="F20" s="135"/>
      <c r="G20" s="138">
        <f>+'Analitika - 2021'!G53</f>
        <v>-64677309.770000011</v>
      </c>
      <c r="H20" s="456">
        <f>+G20/'2021'!T7</f>
        <v>-1.3949296848984171E-2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68bvWtqmYlI7BrfATBrlWh8QGfsF1TIBF+hCfinIqvKidBgdyohOmI22jKjQN4x4C5bghf5D0PsyJd9QMDH0pA==" saltValue="EWSHZll4M5X5oHT8FTwJR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H10" sqref="H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Crna Gora</v>
      </c>
      <c r="G2" s="356"/>
      <c r="I2" s="4"/>
      <c r="P2" s="364"/>
    </row>
    <row r="3" spans="1:20" s="1" customFormat="1">
      <c r="B3" s="163"/>
      <c r="E3" s="4" t="str">
        <f>+Master!G7</f>
        <v>Ministarstvo finansija i socijalnog staranja</v>
      </c>
      <c r="G3" s="356"/>
    </row>
    <row r="4" spans="1:20" s="1" customFormat="1">
      <c r="E4" s="4" t="str">
        <f>+Master!G8</f>
        <v>Direktorat za državni budžet</v>
      </c>
      <c r="G4" s="356"/>
      <c r="H4" s="364"/>
      <c r="I4" s="364"/>
      <c r="J4" s="364"/>
      <c r="P4" s="1">
        <v>0</v>
      </c>
    </row>
    <row r="5" spans="1:20" s="1" customFormat="1">
      <c r="G5" s="356"/>
      <c r="N5" s="485"/>
      <c r="P5" s="485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2021-09</v>
      </c>
      <c r="O6" s="143" t="str">
        <f>+CONCATENATE(N6,"p")</f>
        <v>2021-09p</v>
      </c>
      <c r="P6" s="130"/>
      <c r="Q6" s="130"/>
      <c r="R6" s="143" t="str">
        <f>+IF(Master!B3-10&gt;=0,CONCATENATE(Master!B4-1,"-",Master!B3),CONCATENATE(Master!B4-1,"-0",Master!B3))</f>
        <v>2020-09</v>
      </c>
      <c r="S6" s="130"/>
      <c r="T6" s="130"/>
    </row>
    <row r="7" spans="1:20">
      <c r="A7" s="144"/>
      <c r="B7" s="506" t="str">
        <f>+Master!G253</f>
        <v>Analitika za period Jan - Sep</v>
      </c>
      <c r="C7" s="507"/>
      <c r="D7" s="507"/>
      <c r="E7" s="507"/>
      <c r="F7" s="507"/>
      <c r="G7" s="515" t="str">
        <f>+Master!G245</f>
        <v>Jan - Sep</v>
      </c>
      <c r="H7" s="516"/>
      <c r="I7" s="516"/>
      <c r="J7" s="516"/>
      <c r="K7" s="516"/>
      <c r="L7" s="516"/>
      <c r="M7" s="517"/>
      <c r="N7" s="518" t="str">
        <f>+Master!G244</f>
        <v>Septembar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358" t="str">
        <f>+Master!G25</f>
        <v>Ostvarenje</v>
      </c>
      <c r="H8" s="145" t="str">
        <f>+Master!G24</f>
        <v>Plan</v>
      </c>
      <c r="I8" s="502" t="str">
        <f>+Master!G260</f>
        <v>Odstupanje</v>
      </c>
      <c r="J8" s="502"/>
      <c r="K8" s="145" t="str">
        <f>+CONCATENATE(Master!G245," ",Master!B4-1)</f>
        <v>Jan - Sep 2020</v>
      </c>
      <c r="L8" s="502" t="str">
        <f>+I8</f>
        <v>Odstupanje</v>
      </c>
      <c r="M8" s="514"/>
      <c r="N8" s="146" t="str">
        <f>+G8</f>
        <v>Ostvarenje</v>
      </c>
      <c r="O8" s="145" t="str">
        <f>+H8</f>
        <v>Plan</v>
      </c>
      <c r="P8" s="502" t="str">
        <f>+I8</f>
        <v>Odstupanje</v>
      </c>
      <c r="Q8" s="502"/>
      <c r="R8" s="145" t="str">
        <f>+CONCATENATE(Master!G244," ",Master!B4-1)</f>
        <v>Septembar 2020</v>
      </c>
      <c r="S8" s="502" t="str">
        <f>+P8</f>
        <v>Odstupanje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26" t="str">
        <f>+VLOOKUP($A10,Master!$D$29:$G$225,4,FALSE)</f>
        <v>Prihodi budžeta</v>
      </c>
      <c r="C10" s="527"/>
      <c r="D10" s="527"/>
      <c r="E10" s="527"/>
      <c r="F10" s="527"/>
      <c r="G10" s="151">
        <f>'2021'!S10</f>
        <v>1344528414.7200003</v>
      </c>
      <c r="H10" s="151">
        <f>SUM('2021'!G84:O84)</f>
        <v>1337385739.8890536</v>
      </c>
      <c r="I10" s="152">
        <f>+G10-H10</f>
        <v>7142674.8309466839</v>
      </c>
      <c r="J10" s="154">
        <f>IF(+IF(ISERROR(G10/H10),"…",G10/H10-1)&gt;200%,"...",IF(ISERROR(G10/H10),"…",G10/H10-1))</f>
        <v>5.3407738828883389E-3</v>
      </c>
      <c r="K10" s="151">
        <f>SUM('2020'!G10:O10)</f>
        <v>1165940583.8200002</v>
      </c>
      <c r="L10" s="152">
        <f>+G10-K10</f>
        <v>178587830.9000001</v>
      </c>
      <c r="M10" s="154">
        <f>IF(+IF(ISERROR(G10/K10),"…",G10/K10-1)&gt;200%,"...",IF(ISERROR(G10/K10),"…",G10/K10-1))</f>
        <v>0.15317061038812829</v>
      </c>
      <c r="N10" s="151">
        <f>'2021'!O10</f>
        <v>172242018.37</v>
      </c>
      <c r="O10" s="151">
        <f>'2021'!O84</f>
        <v>170362474.13164854</v>
      </c>
      <c r="P10" s="152">
        <f>+N10-O10</f>
        <v>1879544.2383514643</v>
      </c>
      <c r="Q10" s="154">
        <f>IF(+IF(ISERROR(N10/O10),"…",N10/O10-1)&gt;200%,"...",IF(ISERROR(N10/O10),"…",N10/O10-1))</f>
        <v>1.1032618820145945E-2</v>
      </c>
      <c r="R10" s="151">
        <f>'2020'!O10</f>
        <v>142573225.66999999</v>
      </c>
      <c r="S10" s="152">
        <f>+N10-R10</f>
        <v>29668792.700000018</v>
      </c>
      <c r="T10" s="154">
        <f>IF(+IF(ISERROR(N10/R10),"…",N10/R10-1)&gt;200%,"...",IF(ISERROR(N10/R10),"…",N10/R10-1))</f>
        <v>0.20809512137062414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277">
        <f>'2021'!S11</f>
        <v>861310070.56000006</v>
      </c>
      <c r="H11" s="277">
        <f>SUM('2021'!G85:O85)</f>
        <v>815274898.27652812</v>
      </c>
      <c r="I11" s="158">
        <f t="shared" ref="I11:I57" si="0">+G11-H11</f>
        <v>46035172.283471942</v>
      </c>
      <c r="J11" s="160">
        <f t="shared" ref="J11:J64" si="1">IF(+IF(ISERROR(G11/H11-1),"…",G11/H11-1)&gt;200%,"...",IF(ISERROR(G11/H11-1),"…",G11/H11-1))</f>
        <v>5.6465828128388518E-2</v>
      </c>
      <c r="K11" s="277">
        <f>SUM('2020'!G11:O11)</f>
        <v>723223862.83999991</v>
      </c>
      <c r="L11" s="158">
        <f>+G11-K11</f>
        <v>138086207.72000015</v>
      </c>
      <c r="M11" s="160">
        <f t="shared" ref="M11:M64" si="2">IF(+IF(ISERROR(G11/K11),"…",G11/K11-1)&gt;200%,"...",IF(ISERROR(G11/K11),"…",G11/K11-1))</f>
        <v>0.19093148721303899</v>
      </c>
      <c r="N11" s="277">
        <f>'2021'!O11</f>
        <v>113016911.38000001</v>
      </c>
      <c r="O11" s="277">
        <f>'2021'!O85</f>
        <v>110067248.32933852</v>
      </c>
      <c r="P11" s="158">
        <f>+N11-O11</f>
        <v>2949663.0506614894</v>
      </c>
      <c r="Q11" s="160">
        <f t="shared" ref="Q11:Q64" si="3">IF(+IF(ISERROR(N11/O11),"…",N11/O11-1)&gt;200%,"...",IF(ISERROR(N11/O11),"…",N11/O11-1))</f>
        <v>2.6798735277142827E-2</v>
      </c>
      <c r="R11" s="277">
        <f>'2020'!O11</f>
        <v>80764606.50999999</v>
      </c>
      <c r="S11" s="158">
        <f t="shared" ref="S11:S57" si="4">+N11-R11</f>
        <v>32252304.87000002</v>
      </c>
      <c r="T11" s="160">
        <f t="shared" ref="T11:T64" si="5">IF(+IF(ISERROR(N11/R11),"…",N11/R11-1)&gt;200%,"...",IF(ISERROR(N11/R11),"…",N11/R11-1))</f>
        <v>0.39933711391272175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f>'2021'!S12</f>
        <v>85841899.279999986</v>
      </c>
      <c r="H12" s="163">
        <f>SUM('2021'!G86:O86)</f>
        <v>101331624.92237556</v>
      </c>
      <c r="I12" s="164">
        <f t="shared" si="0"/>
        <v>-15489725.642375574</v>
      </c>
      <c r="J12" s="166">
        <f t="shared" si="1"/>
        <v>-0.15286171177301633</v>
      </c>
      <c r="K12" s="163">
        <f>SUM('2020'!G12:O12)</f>
        <v>82727815.840000004</v>
      </c>
      <c r="L12" s="164">
        <f>+G12-K12</f>
        <v>3114083.4399999827</v>
      </c>
      <c r="M12" s="166">
        <f t="shared" si="2"/>
        <v>3.7642519730277657E-2</v>
      </c>
      <c r="N12" s="163">
        <f>'2021'!O12</f>
        <v>11496389.41</v>
      </c>
      <c r="O12" s="163">
        <f>'2021'!O86</f>
        <v>14758460.999158014</v>
      </c>
      <c r="P12" s="164">
        <f t="shared" ref="P12:P57" si="6">+N12-O12</f>
        <v>-3262071.5891580135</v>
      </c>
      <c r="Q12" s="166">
        <f t="shared" si="3"/>
        <v>-0.22103060673766173</v>
      </c>
      <c r="R12" s="163">
        <f>'2020'!O12</f>
        <v>10038474.75</v>
      </c>
      <c r="S12" s="164">
        <f t="shared" si="4"/>
        <v>1457914.6600000001</v>
      </c>
      <c r="T12" s="166">
        <f t="shared" si="5"/>
        <v>0.14523268686809221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f>'2021'!S13</f>
        <v>69932707.189999998</v>
      </c>
      <c r="H13" s="163">
        <f>SUM('2021'!G87:O87)</f>
        <v>54802619.223931126</v>
      </c>
      <c r="I13" s="164">
        <f t="shared" si="0"/>
        <v>15130087.966068871</v>
      </c>
      <c r="J13" s="166">
        <f t="shared" si="1"/>
        <v>0.27608330003800052</v>
      </c>
      <c r="K13" s="163">
        <f>SUM('2020'!G13:O13)</f>
        <v>73634813.209999993</v>
      </c>
      <c r="L13" s="164">
        <f t="shared" ref="L13:L57" si="7">+G13-K13</f>
        <v>-3702106.0199999958</v>
      </c>
      <c r="M13" s="166">
        <f t="shared" si="2"/>
        <v>-5.0276572433774147E-2</v>
      </c>
      <c r="N13" s="163">
        <f>'2021'!O13</f>
        <v>3090820.1</v>
      </c>
      <c r="O13" s="163">
        <f>'2021'!O87</f>
        <v>1996774.5784048268</v>
      </c>
      <c r="P13" s="164">
        <f t="shared" si="6"/>
        <v>1094045.5215951733</v>
      </c>
      <c r="Q13" s="166">
        <f t="shared" si="3"/>
        <v>0.54790637532514008</v>
      </c>
      <c r="R13" s="163">
        <f>'2020'!O13</f>
        <v>3946291.24</v>
      </c>
      <c r="S13" s="164">
        <f t="shared" si="4"/>
        <v>-855471.14000000013</v>
      </c>
      <c r="T13" s="166">
        <f t="shared" si="5"/>
        <v>-0.21677851125858616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f>'2021'!S14</f>
        <v>1306081.24</v>
      </c>
      <c r="H14" s="163">
        <f>SUM('2021'!G88:O88)</f>
        <v>1128031.9974546391</v>
      </c>
      <c r="I14" s="164">
        <f t="shared" si="0"/>
        <v>178049.24254536093</v>
      </c>
      <c r="J14" s="166">
        <f t="shared" si="1"/>
        <v>0.1578405957872846</v>
      </c>
      <c r="K14" s="163">
        <f>SUM('2020'!G14:O14)</f>
        <v>1092509.47</v>
      </c>
      <c r="L14" s="164">
        <f t="shared" si="7"/>
        <v>213571.77000000002</v>
      </c>
      <c r="M14" s="166">
        <f t="shared" si="2"/>
        <v>0.19548733980310495</v>
      </c>
      <c r="N14" s="163">
        <f>'2021'!O14</f>
        <v>186859.21</v>
      </c>
      <c r="O14" s="163">
        <f>'2021'!O88</f>
        <v>99547.758167691019</v>
      </c>
      <c r="P14" s="164">
        <f t="shared" si="6"/>
        <v>87311.451832308972</v>
      </c>
      <c r="Q14" s="166">
        <f t="shared" si="3"/>
        <v>0.8770810457150664</v>
      </c>
      <c r="R14" s="163">
        <f>'2020'!O14</f>
        <v>136583.79</v>
      </c>
      <c r="S14" s="164">
        <f t="shared" si="4"/>
        <v>50275.419999999984</v>
      </c>
      <c r="T14" s="166">
        <f t="shared" si="5"/>
        <v>0.36809214329167461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f>'2021'!S15</f>
        <v>493556109.44</v>
      </c>
      <c r="H15" s="163">
        <f>SUM('2021'!G89:O89)</f>
        <v>454847577.1782403</v>
      </c>
      <c r="I15" s="164">
        <f t="shared" si="0"/>
        <v>38708532.261759698</v>
      </c>
      <c r="J15" s="166">
        <f t="shared" si="1"/>
        <v>8.5102206110226453E-2</v>
      </c>
      <c r="K15" s="163">
        <f>SUM('2020'!G15:O15)</f>
        <v>388867550.09000003</v>
      </c>
      <c r="L15" s="164">
        <f t="shared" si="7"/>
        <v>104688559.34999996</v>
      </c>
      <c r="M15" s="166">
        <f t="shared" si="2"/>
        <v>0.26921392470462169</v>
      </c>
      <c r="N15" s="163">
        <f>'2021'!O15</f>
        <v>66021485.600000001</v>
      </c>
      <c r="O15" s="163">
        <f>'2021'!O89</f>
        <v>61478153.0051938</v>
      </c>
      <c r="P15" s="164">
        <f t="shared" si="6"/>
        <v>4543332.5948062018</v>
      </c>
      <c r="Q15" s="166">
        <f t="shared" si="3"/>
        <v>7.3901579223148994E-2</v>
      </c>
      <c r="R15" s="163">
        <f>'2020'!O15</f>
        <v>44008916.039999999</v>
      </c>
      <c r="S15" s="164">
        <f t="shared" si="4"/>
        <v>22012569.560000002</v>
      </c>
      <c r="T15" s="166">
        <f t="shared" si="5"/>
        <v>0.50018431583256051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f>'2021'!S16</f>
        <v>181545151.65999997</v>
      </c>
      <c r="H16" s="163">
        <f>SUM('2021'!G90:O90)</f>
        <v>176207099.51983941</v>
      </c>
      <c r="I16" s="164">
        <f t="shared" si="0"/>
        <v>5338052.1401605606</v>
      </c>
      <c r="J16" s="166">
        <f t="shared" si="1"/>
        <v>3.0294194471770064E-2</v>
      </c>
      <c r="K16" s="163">
        <f>SUM('2020'!G16:O16)</f>
        <v>152676294.86000001</v>
      </c>
      <c r="L16" s="164">
        <f t="shared" si="7"/>
        <v>28868856.799999952</v>
      </c>
      <c r="M16" s="166">
        <f t="shared" si="2"/>
        <v>0.18908539027929594</v>
      </c>
      <c r="N16" s="163">
        <f>'2021'!O16</f>
        <v>28556581.329999998</v>
      </c>
      <c r="O16" s="163">
        <f>'2021'!O90</f>
        <v>28530633.155062504</v>
      </c>
      <c r="P16" s="164">
        <f t="shared" si="6"/>
        <v>25948.174937494099</v>
      </c>
      <c r="Q16" s="166">
        <f t="shared" si="3"/>
        <v>9.0948472108798306E-4</v>
      </c>
      <c r="R16" s="163">
        <f>'2020'!O16</f>
        <v>19832898.530000001</v>
      </c>
      <c r="S16" s="164">
        <f t="shared" si="4"/>
        <v>8723682.799999997</v>
      </c>
      <c r="T16" s="166">
        <f t="shared" si="5"/>
        <v>0.43985919591149125</v>
      </c>
    </row>
    <row r="17" spans="1:20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f>'2021'!S17</f>
        <v>20834357.139999997</v>
      </c>
      <c r="H17" s="163">
        <f>SUM('2021'!G91:O91)</f>
        <v>18826165.356375244</v>
      </c>
      <c r="I17" s="164">
        <f t="shared" si="0"/>
        <v>2008191.7836247534</v>
      </c>
      <c r="J17" s="166">
        <f t="shared" si="1"/>
        <v>0.106670250983677</v>
      </c>
      <c r="K17" s="163">
        <f>SUM('2020'!G17:O17)</f>
        <v>16857479.009999998</v>
      </c>
      <c r="L17" s="164">
        <f t="shared" si="7"/>
        <v>3976878.129999999</v>
      </c>
      <c r="M17" s="166">
        <f t="shared" si="2"/>
        <v>0.23591179485621083</v>
      </c>
      <c r="N17" s="163">
        <f>'2021'!O17</f>
        <v>2664634.4500000002</v>
      </c>
      <c r="O17" s="163">
        <f>'2021'!O91</f>
        <v>2187151.8456419916</v>
      </c>
      <c r="P17" s="164">
        <f t="shared" si="6"/>
        <v>477482.6043580086</v>
      </c>
      <c r="Q17" s="166">
        <f t="shared" si="3"/>
        <v>0.21831250779840294</v>
      </c>
      <c r="R17" s="163">
        <f>'2020'!O17</f>
        <v>1871913.59</v>
      </c>
      <c r="S17" s="164">
        <f t="shared" si="4"/>
        <v>792720.8600000001</v>
      </c>
      <c r="T17" s="166">
        <f t="shared" si="5"/>
        <v>0.42348154542753225</v>
      </c>
    </row>
    <row r="18" spans="1:20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f>'2021'!S18</f>
        <v>8293764.6100000013</v>
      </c>
      <c r="H18" s="163">
        <f>SUM('2021'!G92:O92)</f>
        <v>8131780.0783117972</v>
      </c>
      <c r="I18" s="164">
        <f t="shared" si="0"/>
        <v>161984.53168820404</v>
      </c>
      <c r="J18" s="166">
        <f t="shared" si="1"/>
        <v>1.9919935134526279E-2</v>
      </c>
      <c r="K18" s="163">
        <f>SUM('2020'!G18:O18)</f>
        <v>7367400.3600000003</v>
      </c>
      <c r="L18" s="164">
        <f t="shared" si="7"/>
        <v>926364.25000000093</v>
      </c>
      <c r="M18" s="166">
        <f t="shared" si="2"/>
        <v>0.12573828008988519</v>
      </c>
      <c r="N18" s="163">
        <f>'2021'!O18</f>
        <v>1000141.28</v>
      </c>
      <c r="O18" s="163">
        <f>'2021'!O92</f>
        <v>1016526.9877097136</v>
      </c>
      <c r="P18" s="164">
        <f t="shared" si="6"/>
        <v>-16385.707709713606</v>
      </c>
      <c r="Q18" s="166">
        <f t="shared" si="3"/>
        <v>-1.6119304167842574E-2</v>
      </c>
      <c r="R18" s="163">
        <f>'2020'!O18</f>
        <v>929528.57</v>
      </c>
      <c r="S18" s="164">
        <f t="shared" si="4"/>
        <v>70612.710000000079</v>
      </c>
      <c r="T18" s="166">
        <f t="shared" si="5"/>
        <v>7.5966153466374919E-2</v>
      </c>
    </row>
    <row r="19" spans="1:20">
      <c r="A19" s="150">
        <v>712</v>
      </c>
      <c r="B19" s="538" t="str">
        <f>+VLOOKUP($A19,Master!$D$29:$G$225,4,FALSE)</f>
        <v>Doprinosi</v>
      </c>
      <c r="C19" s="539"/>
      <c r="D19" s="539"/>
      <c r="E19" s="539"/>
      <c r="F19" s="539"/>
      <c r="G19" s="169">
        <f>'2021'!S19</f>
        <v>376336390.82999998</v>
      </c>
      <c r="H19" s="169">
        <f>SUM('2021'!G93:O93)</f>
        <v>391957667.49927634</v>
      </c>
      <c r="I19" s="170">
        <f t="shared" si="0"/>
        <v>-15621276.669276357</v>
      </c>
      <c r="J19" s="172">
        <f t="shared" si="1"/>
        <v>-3.9854499515066144E-2</v>
      </c>
      <c r="K19" s="169">
        <f>SUM('2020'!G19:O19)</f>
        <v>359840727.81999999</v>
      </c>
      <c r="L19" s="170">
        <f t="shared" si="7"/>
        <v>16495663.00999999</v>
      </c>
      <c r="M19" s="172">
        <f t="shared" si="2"/>
        <v>4.5841567489968815E-2</v>
      </c>
      <c r="N19" s="169">
        <f>'2021'!O19</f>
        <v>47503080.450000003</v>
      </c>
      <c r="O19" s="169">
        <f>'2021'!O93</f>
        <v>47350397.796793722</v>
      </c>
      <c r="P19" s="170">
        <f t="shared" si="6"/>
        <v>152682.65320628136</v>
      </c>
      <c r="Q19" s="172">
        <f t="shared" si="3"/>
        <v>3.2245273600768343E-3</v>
      </c>
      <c r="R19" s="169">
        <f>'2020'!O19</f>
        <v>42439853.439999998</v>
      </c>
      <c r="S19" s="170">
        <f t="shared" si="4"/>
        <v>5063227.0100000054</v>
      </c>
      <c r="T19" s="172">
        <f t="shared" si="5"/>
        <v>0.11930359319355843</v>
      </c>
    </row>
    <row r="20" spans="1:20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f>'2021'!S20</f>
        <v>232181157.38000003</v>
      </c>
      <c r="H20" s="163">
        <f>SUM('2021'!G94:O94)</f>
        <v>240685756.59929746</v>
      </c>
      <c r="I20" s="164">
        <f t="shared" si="0"/>
        <v>-8504599.2192974389</v>
      </c>
      <c r="J20" s="166">
        <f t="shared" si="1"/>
        <v>-3.5334867087528643E-2</v>
      </c>
      <c r="K20" s="163">
        <f>SUM('2020'!G20:O20)</f>
        <v>223660686.28999999</v>
      </c>
      <c r="L20" s="164">
        <f t="shared" si="7"/>
        <v>8520471.0900000334</v>
      </c>
      <c r="M20" s="166">
        <f t="shared" si="2"/>
        <v>3.8095524212745868E-2</v>
      </c>
      <c r="N20" s="163">
        <f>'2021'!O20</f>
        <v>29243345.5</v>
      </c>
      <c r="O20" s="163">
        <f>'2021'!O94</f>
        <v>29909657.816668883</v>
      </c>
      <c r="P20" s="164">
        <f t="shared" si="6"/>
        <v>-666312.31666888297</v>
      </c>
      <c r="Q20" s="166">
        <f t="shared" si="3"/>
        <v>-2.2277497146675596E-2</v>
      </c>
      <c r="R20" s="163">
        <f>'2020'!O20</f>
        <v>26148502.84</v>
      </c>
      <c r="S20" s="164">
        <f t="shared" si="4"/>
        <v>3094842.66</v>
      </c>
      <c r="T20" s="166">
        <f t="shared" si="5"/>
        <v>0.11835639994140479</v>
      </c>
    </row>
    <row r="21" spans="1:20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f>'2021'!S21</f>
        <v>123513506.99000001</v>
      </c>
      <c r="H21" s="163">
        <f>SUM('2021'!G95:O95)</f>
        <v>129589567.11945789</v>
      </c>
      <c r="I21" s="164">
        <f t="shared" si="0"/>
        <v>-6076060.1294578761</v>
      </c>
      <c r="J21" s="166">
        <f t="shared" si="1"/>
        <v>-4.6886954440220174E-2</v>
      </c>
      <c r="K21" s="163">
        <f>SUM('2020'!G21:O21)</f>
        <v>116602557.88</v>
      </c>
      <c r="L21" s="164">
        <f t="shared" si="7"/>
        <v>6910949.1100000143</v>
      </c>
      <c r="M21" s="166">
        <f t="shared" si="2"/>
        <v>5.9269275354253637E-2</v>
      </c>
      <c r="N21" s="163">
        <f>'2021'!O21</f>
        <v>15676970.460000001</v>
      </c>
      <c r="O21" s="163">
        <f>'2021'!O95</f>
        <v>14769394.052825982</v>
      </c>
      <c r="P21" s="164">
        <f t="shared" si="6"/>
        <v>907576.40717401914</v>
      </c>
      <c r="Q21" s="166">
        <f t="shared" si="3"/>
        <v>6.1449806534233709E-2</v>
      </c>
      <c r="R21" s="163">
        <f>'2020'!O21</f>
        <v>14002830.41</v>
      </c>
      <c r="S21" s="164">
        <f t="shared" si="4"/>
        <v>1674140.0500000007</v>
      </c>
      <c r="T21" s="166">
        <f t="shared" si="5"/>
        <v>0.11955726099520758</v>
      </c>
    </row>
    <row r="22" spans="1:20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f>'2021'!S22</f>
        <v>11173917.140000001</v>
      </c>
      <c r="H22" s="163">
        <f>SUM('2021'!G96:O96)</f>
        <v>11736152.559272366</v>
      </c>
      <c r="I22" s="164">
        <f t="shared" si="0"/>
        <v>-562235.41927236505</v>
      </c>
      <c r="J22" s="166">
        <f t="shared" si="1"/>
        <v>-4.7906280736625284E-2</v>
      </c>
      <c r="K22" s="163">
        <f>SUM('2020'!G22:O22)</f>
        <v>10616496.130000003</v>
      </c>
      <c r="L22" s="164">
        <f t="shared" si="7"/>
        <v>557421.00999999791</v>
      </c>
      <c r="M22" s="166">
        <f t="shared" si="2"/>
        <v>5.2505177148310045E-2</v>
      </c>
      <c r="N22" s="163">
        <f>'2021'!O22</f>
        <v>1381018.38</v>
      </c>
      <c r="O22" s="163">
        <f>'2021'!O96</f>
        <v>1466444.6919858432</v>
      </c>
      <c r="P22" s="164">
        <f t="shared" si="6"/>
        <v>-85426.311985843349</v>
      </c>
      <c r="Q22" s="166">
        <f t="shared" si="3"/>
        <v>-5.8254029253677508E-2</v>
      </c>
      <c r="R22" s="163">
        <f>'2020'!O22</f>
        <v>1223746.3700000001</v>
      </c>
      <c r="S22" s="164">
        <f t="shared" si="4"/>
        <v>157272.00999999978</v>
      </c>
      <c r="T22" s="166">
        <f t="shared" si="5"/>
        <v>0.12851683474247988</v>
      </c>
    </row>
    <row r="23" spans="1:20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f>'2021'!S23</f>
        <v>9467809.3200000003</v>
      </c>
      <c r="H23" s="163">
        <f>SUM('2021'!G97:O97)</f>
        <v>9946191.2212486565</v>
      </c>
      <c r="I23" s="164">
        <f t="shared" si="0"/>
        <v>-478381.90124865621</v>
      </c>
      <c r="J23" s="166">
        <f t="shared" si="1"/>
        <v>-4.8096994176691443E-2</v>
      </c>
      <c r="K23" s="163">
        <f>SUM('2020'!G23:O23)</f>
        <v>8960987.5199999996</v>
      </c>
      <c r="L23" s="164">
        <f t="shared" si="7"/>
        <v>506821.80000000075</v>
      </c>
      <c r="M23" s="166">
        <f t="shared" si="2"/>
        <v>5.6558699459052564E-2</v>
      </c>
      <c r="N23" s="163">
        <f>'2021'!O23</f>
        <v>1201746.1100000001</v>
      </c>
      <c r="O23" s="163">
        <f>'2021'!O97</f>
        <v>1204901.235313016</v>
      </c>
      <c r="P23" s="164">
        <f t="shared" si="6"/>
        <v>-3155.1253130158875</v>
      </c>
      <c r="Q23" s="166">
        <f t="shared" si="3"/>
        <v>-2.618575880367735E-3</v>
      </c>
      <c r="R23" s="163">
        <f>'2020'!O23</f>
        <v>1064773.82</v>
      </c>
      <c r="S23" s="164">
        <f t="shared" si="4"/>
        <v>136972.29000000004</v>
      </c>
      <c r="T23" s="166">
        <f t="shared" si="5"/>
        <v>0.12863979882600796</v>
      </c>
    </row>
    <row r="24" spans="1:20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f>'2021'!S24</f>
        <v>9304436.4100000001</v>
      </c>
      <c r="H24" s="175">
        <f>SUM('2021'!G98:O98)</f>
        <v>9779515.7485937327</v>
      </c>
      <c r="I24" s="176">
        <f t="shared" si="0"/>
        <v>-475079.33859373257</v>
      </c>
      <c r="J24" s="178">
        <f t="shared" si="1"/>
        <v>-4.8579024852232311E-2</v>
      </c>
      <c r="K24" s="175">
        <f>SUM('2020'!G24:O24)</f>
        <v>7445659.7199999997</v>
      </c>
      <c r="L24" s="176">
        <f t="shared" si="7"/>
        <v>1858776.6900000004</v>
      </c>
      <c r="M24" s="178">
        <f t="shared" si="2"/>
        <v>0.24964566739560867</v>
      </c>
      <c r="N24" s="175">
        <f>'2021'!O24</f>
        <v>1238779.54</v>
      </c>
      <c r="O24" s="175">
        <f>'2021'!O98</f>
        <v>1287945.220314126</v>
      </c>
      <c r="P24" s="176">
        <f t="shared" si="6"/>
        <v>-49165.680314125959</v>
      </c>
      <c r="Q24" s="178">
        <f t="shared" si="3"/>
        <v>-3.8173735605101733E-2</v>
      </c>
      <c r="R24" s="175">
        <f>'2020'!O24</f>
        <v>1210136.0899999999</v>
      </c>
      <c r="S24" s="176">
        <f t="shared" si="4"/>
        <v>28643.450000000186</v>
      </c>
      <c r="T24" s="178">
        <f t="shared" si="5"/>
        <v>2.3669610580740796E-2</v>
      </c>
    </row>
    <row r="25" spans="1:20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f>'2021'!S25</f>
        <v>29180509.689999998</v>
      </c>
      <c r="H25" s="175">
        <f>SUM('2021'!G99:O99)</f>
        <v>24908660.482447717</v>
      </c>
      <c r="I25" s="176">
        <f t="shared" si="0"/>
        <v>4271849.2075522803</v>
      </c>
      <c r="J25" s="178">
        <f t="shared" si="1"/>
        <v>0.17150055943644604</v>
      </c>
      <c r="K25" s="175">
        <f>SUM('2020'!G25:O25)</f>
        <v>19024131.440000001</v>
      </c>
      <c r="L25" s="176">
        <f t="shared" si="7"/>
        <v>10156378.249999996</v>
      </c>
      <c r="M25" s="178">
        <f t="shared" si="2"/>
        <v>0.53386817064590231</v>
      </c>
      <c r="N25" s="175">
        <f>'2021'!O25</f>
        <v>3922721.92</v>
      </c>
      <c r="O25" s="175">
        <f>'2021'!O99</f>
        <v>4917603.3211925691</v>
      </c>
      <c r="P25" s="176">
        <f t="shared" si="6"/>
        <v>-994881.40119256917</v>
      </c>
      <c r="Q25" s="178">
        <f t="shared" si="3"/>
        <v>-0.20231021825308604</v>
      </c>
      <c r="R25" s="175">
        <f>'2020'!O25</f>
        <v>2242559.5</v>
      </c>
      <c r="S25" s="176">
        <f t="shared" si="4"/>
        <v>1680162.42</v>
      </c>
      <c r="T25" s="178">
        <f t="shared" si="5"/>
        <v>0.74921642881716188</v>
      </c>
    </row>
    <row r="26" spans="1:20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f>'2021'!S26</f>
        <v>46776383.399999999</v>
      </c>
      <c r="H26" s="175">
        <f>SUM('2021'!G100:O100)</f>
        <v>58907245.096870333</v>
      </c>
      <c r="I26" s="176">
        <f t="shared" si="0"/>
        <v>-12130861.696870334</v>
      </c>
      <c r="J26" s="178">
        <f t="shared" si="1"/>
        <v>-0.20593157389930006</v>
      </c>
      <c r="K26" s="175">
        <f>SUM('2020'!G26:O26)</f>
        <v>30357511.199999996</v>
      </c>
      <c r="L26" s="176">
        <f t="shared" si="7"/>
        <v>16418872.200000003</v>
      </c>
      <c r="M26" s="178">
        <f t="shared" si="2"/>
        <v>0.54085040410032059</v>
      </c>
      <c r="N26" s="175">
        <f>'2021'!O26</f>
        <v>1871519.69</v>
      </c>
      <c r="O26" s="175">
        <f>'2021'!O100</f>
        <v>1839149.1255743168</v>
      </c>
      <c r="P26" s="176">
        <f t="shared" si="6"/>
        <v>32370.564425683115</v>
      </c>
      <c r="Q26" s="178">
        <f t="shared" si="3"/>
        <v>1.7600837243458844E-2</v>
      </c>
      <c r="R26" s="175">
        <f>'2020'!O26</f>
        <v>11550447.479999999</v>
      </c>
      <c r="S26" s="176">
        <f t="shared" si="4"/>
        <v>-9678927.7899999991</v>
      </c>
      <c r="T26" s="178">
        <f t="shared" si="5"/>
        <v>-0.83796994071090314</v>
      </c>
    </row>
    <row r="27" spans="1:20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f>'2021'!S27</f>
        <v>5902964.8300000001</v>
      </c>
      <c r="H27" s="175">
        <f>SUM('2021'!G101:O101)</f>
        <v>5385566.8718645815</v>
      </c>
      <c r="I27" s="176">
        <f t="shared" si="0"/>
        <v>517397.95813541859</v>
      </c>
      <c r="J27" s="178">
        <f t="shared" si="1"/>
        <v>9.607121598255941E-2</v>
      </c>
      <c r="K27" s="175">
        <f>SUM('2020'!G27:O27)</f>
        <v>4952900.55</v>
      </c>
      <c r="L27" s="176">
        <f t="shared" si="7"/>
        <v>950064.28000000026</v>
      </c>
      <c r="M27" s="178">
        <f t="shared" si="2"/>
        <v>0.19181977720105858</v>
      </c>
      <c r="N27" s="175">
        <f>'2021'!O27</f>
        <v>261920.15</v>
      </c>
      <c r="O27" s="175">
        <f>'2021'!O101</f>
        <v>211530.08298020152</v>
      </c>
      <c r="P27" s="176">
        <f t="shared" si="6"/>
        <v>50390.067019798473</v>
      </c>
      <c r="Q27" s="178">
        <f t="shared" si="3"/>
        <v>0.23821702478372697</v>
      </c>
      <c r="R27" s="175">
        <f>'2020'!O27</f>
        <v>139421.26999999999</v>
      </c>
      <c r="S27" s="176">
        <f t="shared" si="4"/>
        <v>122498.88</v>
      </c>
      <c r="T27" s="178">
        <f t="shared" si="5"/>
        <v>0.87862404351932821</v>
      </c>
    </row>
    <row r="28" spans="1:20" ht="15.7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f>'2021'!S28</f>
        <v>15717659</v>
      </c>
      <c r="H28" s="175">
        <f>SUM('2021'!G102:O102)</f>
        <v>31172185.913472705</v>
      </c>
      <c r="I28" s="176">
        <f t="shared" si="0"/>
        <v>-15454526.913472705</v>
      </c>
      <c r="J28" s="178">
        <f t="shared" si="1"/>
        <v>-0.49577937705014186</v>
      </c>
      <c r="K28" s="175">
        <f>SUM('2020'!G28:O28)</f>
        <v>21095790.25</v>
      </c>
      <c r="L28" s="176">
        <f t="shared" si="7"/>
        <v>-5378131.25</v>
      </c>
      <c r="M28" s="178">
        <f t="shared" si="2"/>
        <v>-0.25493860084241216</v>
      </c>
      <c r="N28" s="175">
        <f>'2021'!O28</f>
        <v>4427085.24</v>
      </c>
      <c r="O28" s="175">
        <f>'2021'!O102</f>
        <v>4688600.2554550832</v>
      </c>
      <c r="P28" s="176">
        <f t="shared" si="6"/>
        <v>-261515.01545508299</v>
      </c>
      <c r="Q28" s="178">
        <f t="shared" si="3"/>
        <v>-5.5776777973514768E-2</v>
      </c>
      <c r="R28" s="175">
        <f>'2020'!O28</f>
        <v>4226201.38</v>
      </c>
      <c r="S28" s="176">
        <f t="shared" si="4"/>
        <v>200883.86000000034</v>
      </c>
      <c r="T28" s="178">
        <f t="shared" si="5"/>
        <v>4.7532959728483259E-2</v>
      </c>
    </row>
    <row r="29" spans="1:20" ht="15.7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>'2021'!S29</f>
        <v>1409205724.49</v>
      </c>
      <c r="H29" s="151">
        <f>SUM('2021'!G103:O103)</f>
        <v>1510697120.9699409</v>
      </c>
      <c r="I29" s="152">
        <f t="shared" si="0"/>
        <v>-101491396.47994089</v>
      </c>
      <c r="J29" s="154">
        <f t="shared" si="1"/>
        <v>-6.7181829548187966E-2</v>
      </c>
      <c r="K29" s="151">
        <f>SUM('2020'!G29:O29)</f>
        <v>1498854861.4799998</v>
      </c>
      <c r="L29" s="152">
        <f t="shared" si="7"/>
        <v>-89649136.989999771</v>
      </c>
      <c r="M29" s="154">
        <f t="shared" si="2"/>
        <v>-5.9811753154990877E-2</v>
      </c>
      <c r="N29" s="151">
        <f>'2021'!O29</f>
        <v>178840676.53</v>
      </c>
      <c r="O29" s="151">
        <f>'2021'!O103</f>
        <v>160175734.16545662</v>
      </c>
      <c r="P29" s="152">
        <f t="shared" si="6"/>
        <v>18664942.364543378</v>
      </c>
      <c r="Q29" s="154">
        <f t="shared" si="3"/>
        <v>0.11652790269257052</v>
      </c>
      <c r="R29" s="151">
        <f>'2020'!O29</f>
        <v>164193110.59</v>
      </c>
      <c r="S29" s="152">
        <f t="shared" si="4"/>
        <v>14647565.939999998</v>
      </c>
      <c r="T29" s="154">
        <f t="shared" si="5"/>
        <v>8.9209382095061462E-2</v>
      </c>
    </row>
    <row r="30" spans="1:20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313">
        <f>'2021'!S30</f>
        <v>611493582.08000004</v>
      </c>
      <c r="H30" s="313">
        <f>SUM('2021'!G104:O104)</f>
        <v>647723601.16324115</v>
      </c>
      <c r="I30" s="188">
        <f t="shared" si="0"/>
        <v>-36230019.083241105</v>
      </c>
      <c r="J30" s="190">
        <f t="shared" si="1"/>
        <v>-5.5934381606870476E-2</v>
      </c>
      <c r="K30" s="313">
        <f>SUM('2020'!G30:O30)</f>
        <v>611379285.63999999</v>
      </c>
      <c r="L30" s="188">
        <f t="shared" si="7"/>
        <v>114296.44000005722</v>
      </c>
      <c r="M30" s="190">
        <f t="shared" si="2"/>
        <v>1.8694849937617164E-4</v>
      </c>
      <c r="N30" s="313">
        <f>'2021'!O30</f>
        <v>78428647.819999993</v>
      </c>
      <c r="O30" s="313">
        <f>'2021'!O104</f>
        <v>62614510.347689942</v>
      </c>
      <c r="P30" s="188">
        <f t="shared" si="6"/>
        <v>15814137.472310051</v>
      </c>
      <c r="Q30" s="190">
        <f t="shared" si="3"/>
        <v>0.25256346148035447</v>
      </c>
      <c r="R30" s="313">
        <f>'2020'!O30</f>
        <v>62395523.909999996</v>
      </c>
      <c r="S30" s="188">
        <f t="shared" si="4"/>
        <v>16033123.909999996</v>
      </c>
      <c r="T30" s="190">
        <f t="shared" si="5"/>
        <v>0.25695952057596871</v>
      </c>
    </row>
    <row r="31" spans="1:20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f>'2021'!S31</f>
        <v>400951486.75</v>
      </c>
      <c r="H31" s="163">
        <f>SUM('2021'!G105:O105)</f>
        <v>397384466.41460001</v>
      </c>
      <c r="I31" s="164">
        <f t="shared" si="0"/>
        <v>3567020.3353999853</v>
      </c>
      <c r="J31" s="166">
        <f t="shared" si="1"/>
        <v>8.9762450142638617E-3</v>
      </c>
      <c r="K31" s="163">
        <f>SUM('2020'!G31:O31)</f>
        <v>370997213.16999996</v>
      </c>
      <c r="L31" s="164">
        <f t="shared" si="7"/>
        <v>29954273.580000043</v>
      </c>
      <c r="M31" s="166">
        <f t="shared" si="2"/>
        <v>8.0739888378283498E-2</v>
      </c>
      <c r="N31" s="163">
        <f>'2021'!O31</f>
        <v>43464882.57</v>
      </c>
      <c r="O31" s="163">
        <f>'2021'!O105</f>
        <v>41853667.688466668</v>
      </c>
      <c r="P31" s="164">
        <f>+N31-O31</f>
        <v>1611214.8815333322</v>
      </c>
      <c r="Q31" s="166">
        <f>IF(+IF(ISERROR(N31/O31),"…",N31/O31-1)&gt;200%,"...",IF(ISERROR(N31/O31),"…",N31/O31-1))</f>
        <v>3.8496384439381526E-2</v>
      </c>
      <c r="R31" s="163">
        <f>'2020'!O31</f>
        <v>40276343.780000001</v>
      </c>
      <c r="S31" s="164">
        <f t="shared" si="4"/>
        <v>3188538.7899999991</v>
      </c>
      <c r="T31" s="166">
        <f t="shared" si="5"/>
        <v>7.9166540225613202E-2</v>
      </c>
    </row>
    <row r="32" spans="1:20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f>'2021'!S32</f>
        <v>6951816.6499999994</v>
      </c>
      <c r="H32" s="163">
        <f>SUM('2021'!G106:O106)</f>
        <v>9523450.5019999985</v>
      </c>
      <c r="I32" s="164">
        <f t="shared" si="0"/>
        <v>-2571633.851999999</v>
      </c>
      <c r="J32" s="166">
        <f t="shared" si="1"/>
        <v>-0.27003173392458291</v>
      </c>
      <c r="K32" s="163">
        <f>SUM('2020'!G32:O32)</f>
        <v>8426408.7899999991</v>
      </c>
      <c r="L32" s="164">
        <f t="shared" si="7"/>
        <v>-1474592.1399999997</v>
      </c>
      <c r="M32" s="166">
        <f t="shared" si="2"/>
        <v>-0.17499651117685688</v>
      </c>
      <c r="N32" s="163">
        <f>'2021'!O32</f>
        <v>915237.68</v>
      </c>
      <c r="O32" s="163">
        <f>'2021'!O106</f>
        <v>992187.80600000045</v>
      </c>
      <c r="P32" s="164">
        <f t="shared" si="6"/>
        <v>-76950.126000000397</v>
      </c>
      <c r="Q32" s="166">
        <f t="shared" si="3"/>
        <v>-7.7556008584931502E-2</v>
      </c>
      <c r="R32" s="163">
        <f>'2020'!O32</f>
        <v>1121276.3999999999</v>
      </c>
      <c r="S32" s="164">
        <f t="shared" si="4"/>
        <v>-206038.71999999986</v>
      </c>
      <c r="T32" s="166">
        <f t="shared" si="5"/>
        <v>-0.18375372923214994</v>
      </c>
    </row>
    <row r="33" spans="1:20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f>'2021'!S33</f>
        <v>19445674.460000001</v>
      </c>
      <c r="H33" s="163">
        <f>SUM('2021'!G107:O107)</f>
        <v>25845710.027649999</v>
      </c>
      <c r="I33" s="164">
        <f t="shared" si="0"/>
        <v>-6400035.5676499978</v>
      </c>
      <c r="J33" s="166">
        <f t="shared" si="1"/>
        <v>-0.24762467584768133</v>
      </c>
      <c r="K33" s="163">
        <f>SUM('2020'!G33:O33)</f>
        <v>23248131.900000002</v>
      </c>
      <c r="L33" s="164">
        <f t="shared" si="7"/>
        <v>-3802457.4400000013</v>
      </c>
      <c r="M33" s="166">
        <f t="shared" si="2"/>
        <v>-0.1635596983170936</v>
      </c>
      <c r="N33" s="163">
        <f>'2021'!O33</f>
        <v>2484333.92</v>
      </c>
      <c r="O33" s="163">
        <f>'2021'!O107</f>
        <v>2038155.2507833347</v>
      </c>
      <c r="P33" s="164">
        <f t="shared" si="6"/>
        <v>446178.66921666521</v>
      </c>
      <c r="Q33" s="166">
        <f t="shared" si="3"/>
        <v>0.21891299450578305</v>
      </c>
      <c r="R33" s="163">
        <f>'2020'!O33</f>
        <v>2503728.25</v>
      </c>
      <c r="S33" s="164">
        <f t="shared" si="4"/>
        <v>-19394.330000000075</v>
      </c>
      <c r="T33" s="166">
        <f t="shared" si="5"/>
        <v>-7.7461801215846782E-3</v>
      </c>
    </row>
    <row r="34" spans="1:20">
      <c r="A34" s="150">
        <v>414</v>
      </c>
      <c r="B34" s="536" t="str">
        <f>+VLOOKUP($A34,Master!$D$29:$G$225,4,FALSE)</f>
        <v>Rashodi za usluge</v>
      </c>
      <c r="C34" s="537"/>
      <c r="D34" s="537"/>
      <c r="E34" s="537"/>
      <c r="F34" s="537"/>
      <c r="G34" s="163">
        <f>'2021'!S34</f>
        <v>37615475.609999999</v>
      </c>
      <c r="H34" s="163">
        <f>SUM('2021'!G108:O108)</f>
        <v>49426750.295850001</v>
      </c>
      <c r="I34" s="164">
        <f t="shared" si="0"/>
        <v>-11811274.685850002</v>
      </c>
      <c r="J34" s="166">
        <f t="shared" si="1"/>
        <v>-0.23896522864950942</v>
      </c>
      <c r="K34" s="163">
        <f>SUM('2020'!G34:O34)</f>
        <v>51704886.579999998</v>
      </c>
      <c r="L34" s="164">
        <f t="shared" si="7"/>
        <v>-14089410.969999999</v>
      </c>
      <c r="M34" s="166">
        <f t="shared" si="2"/>
        <v>-0.2724967000594859</v>
      </c>
      <c r="N34" s="163">
        <f>'2021'!O34</f>
        <v>4951821.0199999996</v>
      </c>
      <c r="O34" s="163">
        <f>'2021'!O108</f>
        <v>4439703.7447166666</v>
      </c>
      <c r="P34" s="164">
        <f t="shared" si="6"/>
        <v>512117.27528333291</v>
      </c>
      <c r="Q34" s="166">
        <f t="shared" si="3"/>
        <v>0.11534942526126035</v>
      </c>
      <c r="R34" s="163">
        <f>'2020'!O34</f>
        <v>5316393.49</v>
      </c>
      <c r="S34" s="164">
        <f t="shared" si="4"/>
        <v>-364572.47000000067</v>
      </c>
      <c r="T34" s="166">
        <f t="shared" si="5"/>
        <v>-6.8575147924199387E-2</v>
      </c>
    </row>
    <row r="35" spans="1:20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f>'2021'!S35</f>
        <v>13410729.390000001</v>
      </c>
      <c r="H35" s="163">
        <f>SUM('2021'!G109:O109)</f>
        <v>17105574.433650002</v>
      </c>
      <c r="I35" s="164">
        <f t="shared" si="0"/>
        <v>-3694845.0436500013</v>
      </c>
      <c r="J35" s="166">
        <f t="shared" si="1"/>
        <v>-0.21600239489072759</v>
      </c>
      <c r="K35" s="163">
        <f>SUM('2020'!G35:O35)</f>
        <v>15759451.920000002</v>
      </c>
      <c r="L35" s="164">
        <f t="shared" si="7"/>
        <v>-2348722.5300000012</v>
      </c>
      <c r="M35" s="166">
        <f t="shared" si="2"/>
        <v>-0.14903580035161534</v>
      </c>
      <c r="N35" s="163">
        <f>'2021'!O35</f>
        <v>2494776.16</v>
      </c>
      <c r="O35" s="163">
        <f>'2021'!O109</f>
        <v>2078633.2887833335</v>
      </c>
      <c r="P35" s="164">
        <f t="shared" si="6"/>
        <v>416142.87121666665</v>
      </c>
      <c r="Q35" s="166">
        <f t="shared" si="3"/>
        <v>0.20020023419342214</v>
      </c>
      <c r="R35" s="163">
        <f>'2020'!O35</f>
        <v>2793256.25</v>
      </c>
      <c r="S35" s="164">
        <f t="shared" si="4"/>
        <v>-298480.08999999985</v>
      </c>
      <c r="T35" s="166">
        <f t="shared" si="5"/>
        <v>-0.10685739627361435</v>
      </c>
    </row>
    <row r="36" spans="1:20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f>'2021'!S36</f>
        <v>78811018.110000014</v>
      </c>
      <c r="H36" s="163">
        <f>SUM('2021'!G110:O110)</f>
        <v>70018561.132641032</v>
      </c>
      <c r="I36" s="164">
        <f t="shared" si="0"/>
        <v>8792456.977358982</v>
      </c>
      <c r="J36" s="166">
        <f t="shared" si="1"/>
        <v>0.12557323137079068</v>
      </c>
      <c r="K36" s="163">
        <f>SUM('2020'!G36:O36)</f>
        <v>77699396.940000013</v>
      </c>
      <c r="L36" s="164">
        <f t="shared" si="7"/>
        <v>1111621.1700000018</v>
      </c>
      <c r="M36" s="166">
        <f t="shared" si="2"/>
        <v>1.4306689804277406E-2</v>
      </c>
      <c r="N36" s="163">
        <f>'2021'!O36</f>
        <v>14251047.82</v>
      </c>
      <c r="O36" s="163">
        <f>'2021'!O110</f>
        <v>1666339.3212232694</v>
      </c>
      <c r="P36" s="164">
        <f t="shared" si="6"/>
        <v>12584708.49877673</v>
      </c>
      <c r="Q36" s="166" t="str">
        <f t="shared" si="3"/>
        <v>...</v>
      </c>
      <c r="R36" s="163">
        <f>'2020'!O36</f>
        <v>1552435.29</v>
      </c>
      <c r="S36" s="164">
        <f t="shared" si="4"/>
        <v>12698612.530000001</v>
      </c>
      <c r="T36" s="166" t="str">
        <f t="shared" si="5"/>
        <v>...</v>
      </c>
    </row>
    <row r="37" spans="1:20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f>'2021'!S37</f>
        <v>6896387.8600000013</v>
      </c>
      <c r="H37" s="163">
        <f>SUM('2021'!G111:O111)</f>
        <v>7882184.8513500011</v>
      </c>
      <c r="I37" s="164">
        <f t="shared" si="0"/>
        <v>-985796.99134999979</v>
      </c>
      <c r="J37" s="166">
        <f t="shared" si="1"/>
        <v>-0.12506646443100866</v>
      </c>
      <c r="K37" s="163">
        <f>SUM('2020'!G37:O37)</f>
        <v>7542112.04</v>
      </c>
      <c r="L37" s="164">
        <f t="shared" si="7"/>
        <v>-645724.17999999877</v>
      </c>
      <c r="M37" s="166">
        <f t="shared" si="2"/>
        <v>-8.5615829700668167E-2</v>
      </c>
      <c r="N37" s="163">
        <f>'2021'!O37</f>
        <v>1289567.81</v>
      </c>
      <c r="O37" s="163">
        <f>'2021'!O111</f>
        <v>997721.26954999997</v>
      </c>
      <c r="P37" s="164">
        <f t="shared" si="6"/>
        <v>291846.54045000009</v>
      </c>
      <c r="Q37" s="166">
        <f t="shared" si="3"/>
        <v>0.29251309895561417</v>
      </c>
      <c r="R37" s="163">
        <f>'2020'!O37</f>
        <v>769460.79</v>
      </c>
      <c r="S37" s="164">
        <f t="shared" si="4"/>
        <v>520107.02</v>
      </c>
      <c r="T37" s="166">
        <f t="shared" si="5"/>
        <v>0.6759370025859277</v>
      </c>
    </row>
    <row r="38" spans="1:20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f>'2021'!S38</f>
        <v>25345693.82</v>
      </c>
      <c r="H38" s="163">
        <f>SUM('2021'!G112:O112)</f>
        <v>36853709.152400002</v>
      </c>
      <c r="I38" s="164">
        <f t="shared" si="0"/>
        <v>-11508015.332400002</v>
      </c>
      <c r="J38" s="166">
        <f t="shared" si="1"/>
        <v>-0.3122620652594631</v>
      </c>
      <c r="K38" s="163">
        <f>SUM('2020'!G38:O38)</f>
        <v>22380520.710000001</v>
      </c>
      <c r="L38" s="164">
        <f t="shared" si="7"/>
        <v>2965173.1099999994</v>
      </c>
      <c r="M38" s="166">
        <f t="shared" si="2"/>
        <v>0.13248901347836428</v>
      </c>
      <c r="N38" s="163">
        <f>'2021'!O38</f>
        <v>5015730.92</v>
      </c>
      <c r="O38" s="163">
        <f>'2021'!O112</f>
        <v>4639246.2625333332</v>
      </c>
      <c r="P38" s="164">
        <f t="shared" si="6"/>
        <v>376484.65746666677</v>
      </c>
      <c r="Q38" s="166">
        <f t="shared" si="3"/>
        <v>8.1152117426308346E-2</v>
      </c>
      <c r="R38" s="163">
        <f>'2020'!O38</f>
        <v>4969212.8</v>
      </c>
      <c r="S38" s="164">
        <f t="shared" si="4"/>
        <v>46518.120000000112</v>
      </c>
      <c r="T38" s="166">
        <f t="shared" si="5"/>
        <v>9.3612654302106524E-3</v>
      </c>
    </row>
    <row r="39" spans="1:20">
      <c r="A39" s="150">
        <v>419</v>
      </c>
      <c r="B39" s="536" t="str">
        <f>+VLOOKUP($A39,Master!$D$29:$G$225,4,FALSE)</f>
        <v>Ostali izdaci</v>
      </c>
      <c r="C39" s="537"/>
      <c r="D39" s="537"/>
      <c r="E39" s="537"/>
      <c r="F39" s="537"/>
      <c r="G39" s="163">
        <f>'2021'!S39</f>
        <v>22065299.43</v>
      </c>
      <c r="H39" s="163">
        <f>SUM('2021'!G113:O113)</f>
        <v>33683194.353099994</v>
      </c>
      <c r="I39" s="164">
        <f t="shared" si="0"/>
        <v>-11617894.923099995</v>
      </c>
      <c r="J39" s="166">
        <f t="shared" si="1"/>
        <v>-0.34491666085199413</v>
      </c>
      <c r="K39" s="163">
        <f>SUM('2020'!G39:O39)</f>
        <v>33621163.590000004</v>
      </c>
      <c r="L39" s="164">
        <f t="shared" si="7"/>
        <v>-11555864.160000004</v>
      </c>
      <c r="M39" s="166">
        <f t="shared" si="2"/>
        <v>-0.34370803761940838</v>
      </c>
      <c r="N39" s="163">
        <f>'2021'!O39</f>
        <v>3561249.92</v>
      </c>
      <c r="O39" s="163">
        <f>'2021'!O113</f>
        <v>3908855.7156333341</v>
      </c>
      <c r="P39" s="164">
        <f t="shared" si="6"/>
        <v>-347605.7956333342</v>
      </c>
      <c r="Q39" s="166">
        <f t="shared" si="3"/>
        <v>-8.8927763243625724E-2</v>
      </c>
      <c r="R39" s="163">
        <f>'2020'!O39</f>
        <v>3093416.86</v>
      </c>
      <c r="S39" s="164">
        <f t="shared" si="4"/>
        <v>467833.06000000006</v>
      </c>
      <c r="T39" s="166">
        <f t="shared" si="5"/>
        <v>0.15123505210351773</v>
      </c>
    </row>
    <row r="40" spans="1:20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'2021'!S40</f>
        <v>422331123.44999987</v>
      </c>
      <c r="H40" s="193">
        <f>SUM('2021'!G114:O114)</f>
        <v>427410055.42534995</v>
      </c>
      <c r="I40" s="194">
        <f t="shared" si="0"/>
        <v>-5078931.9753500819</v>
      </c>
      <c r="J40" s="196">
        <f t="shared" si="1"/>
        <v>-1.188304278497998E-2</v>
      </c>
      <c r="K40" s="193">
        <f>SUM('2020'!G40:O40)</f>
        <v>415153764.10999995</v>
      </c>
      <c r="L40" s="194">
        <f t="shared" si="7"/>
        <v>7177359.3399999142</v>
      </c>
      <c r="M40" s="196">
        <f t="shared" si="2"/>
        <v>1.7288436142176344E-2</v>
      </c>
      <c r="N40" s="193">
        <f>'2021'!O40</f>
        <v>47346058.890000001</v>
      </c>
      <c r="O40" s="193">
        <f>'2021'!O114</f>
        <v>48529569.028216675</v>
      </c>
      <c r="P40" s="194">
        <f t="shared" si="6"/>
        <v>-1183510.1382166743</v>
      </c>
      <c r="Q40" s="196">
        <f t="shared" si="3"/>
        <v>-2.4387402606615871E-2</v>
      </c>
      <c r="R40" s="193">
        <f>'2020'!O40</f>
        <v>46669298.210000001</v>
      </c>
      <c r="S40" s="194">
        <f t="shared" si="4"/>
        <v>676760.6799999997</v>
      </c>
      <c r="T40" s="196">
        <f t="shared" si="5"/>
        <v>1.4501196845831066E-2</v>
      </c>
    </row>
    <row r="41" spans="1:20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f>'2021'!S41</f>
        <v>60873295.140000001</v>
      </c>
      <c r="H41" s="163">
        <f>SUM('2021'!G115:O115)</f>
        <v>61185440.640000001</v>
      </c>
      <c r="I41" s="164">
        <f t="shared" si="0"/>
        <v>-312145.5</v>
      </c>
      <c r="J41" s="166">
        <f t="shared" si="1"/>
        <v>-5.1016303345200464E-3</v>
      </c>
      <c r="K41" s="163">
        <f>SUM('2020'!G41:O41)</f>
        <v>59597303.350000001</v>
      </c>
      <c r="L41" s="164">
        <f t="shared" si="7"/>
        <v>1275991.7899999991</v>
      </c>
      <c r="M41" s="166">
        <f t="shared" si="2"/>
        <v>2.1410226944437838E-2</v>
      </c>
      <c r="N41" s="163">
        <f>'2021'!O41</f>
        <v>7012911.9400000004</v>
      </c>
      <c r="O41" s="163">
        <f>'2021'!O115</f>
        <v>7000000</v>
      </c>
      <c r="P41" s="164">
        <f t="shared" si="6"/>
        <v>12911.94000000041</v>
      </c>
      <c r="Q41" s="166">
        <f t="shared" si="3"/>
        <v>1.8445628571428507E-3</v>
      </c>
      <c r="R41" s="163">
        <f>'2020'!O41</f>
        <v>6754872.6500000004</v>
      </c>
      <c r="S41" s="164">
        <f t="shared" si="4"/>
        <v>258039.29000000004</v>
      </c>
      <c r="T41" s="166">
        <f t="shared" si="5"/>
        <v>3.8200467036191954E-2</v>
      </c>
    </row>
    <row r="42" spans="1:20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f>'2021'!S42</f>
        <v>16588610.18</v>
      </c>
      <c r="H42" s="163">
        <f>SUM('2021'!G116:O116)</f>
        <v>14565931.416000001</v>
      </c>
      <c r="I42" s="164">
        <f t="shared" si="0"/>
        <v>2022678.7639999986</v>
      </c>
      <c r="J42" s="166">
        <f t="shared" si="1"/>
        <v>0.13886367484733442</v>
      </c>
      <c r="K42" s="163">
        <f>SUM('2020'!G42:O42)</f>
        <v>12685747.960000001</v>
      </c>
      <c r="L42" s="164">
        <f t="shared" si="7"/>
        <v>3902862.2199999988</v>
      </c>
      <c r="M42" s="166">
        <f t="shared" si="2"/>
        <v>0.30765724120535021</v>
      </c>
      <c r="N42" s="163">
        <f>'2021'!O42</f>
        <v>1946279.26</v>
      </c>
      <c r="O42" s="163">
        <f>'2021'!O116</f>
        <v>1331215.5080000004</v>
      </c>
      <c r="P42" s="164">
        <f t="shared" si="6"/>
        <v>615063.75199999963</v>
      </c>
      <c r="Q42" s="166">
        <f t="shared" si="3"/>
        <v>0.4620316908147073</v>
      </c>
      <c r="R42" s="163">
        <f>'2020'!O42</f>
        <v>2024466.79</v>
      </c>
      <c r="S42" s="164">
        <f t="shared" si="4"/>
        <v>-78187.530000000028</v>
      </c>
      <c r="T42" s="166">
        <f t="shared" si="5"/>
        <v>-3.8621295437501368E-2</v>
      </c>
    </row>
    <row r="43" spans="1:20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f>'2021'!S43</f>
        <v>323490509.56</v>
      </c>
      <c r="H43" s="163">
        <f>SUM('2021'!G117:O117)</f>
        <v>331084154.14694995</v>
      </c>
      <c r="I43" s="164">
        <f t="shared" si="0"/>
        <v>-7593644.5869499445</v>
      </c>
      <c r="J43" s="166">
        <f t="shared" si="1"/>
        <v>-2.2935693212244646E-2</v>
      </c>
      <c r="K43" s="163">
        <f>SUM('2020'!G43:O43)</f>
        <v>320514777.04000002</v>
      </c>
      <c r="L43" s="164">
        <f t="shared" si="7"/>
        <v>2975732.5199999809</v>
      </c>
      <c r="M43" s="166">
        <f t="shared" si="2"/>
        <v>9.2842287880805507E-3</v>
      </c>
      <c r="N43" s="163">
        <f>'2021'!O43</f>
        <v>35868624.289999999</v>
      </c>
      <c r="O43" s="163">
        <f>'2021'!O117</f>
        <v>38123196.594350003</v>
      </c>
      <c r="P43" s="164">
        <f t="shared" si="6"/>
        <v>-2254572.3043500036</v>
      </c>
      <c r="Q43" s="166">
        <f t="shared" si="3"/>
        <v>-5.913912016192624E-2</v>
      </c>
      <c r="R43" s="163">
        <f>'2020'!O43</f>
        <v>35665529.619999997</v>
      </c>
      <c r="S43" s="164">
        <f t="shared" si="4"/>
        <v>203094.67000000179</v>
      </c>
      <c r="T43" s="166">
        <f t="shared" si="5"/>
        <v>5.6944246213046501E-3</v>
      </c>
    </row>
    <row r="44" spans="1:20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f>'2021'!S44</f>
        <v>13588227.629999999</v>
      </c>
      <c r="H44" s="163">
        <f>SUM('2021'!G118:O118)</f>
        <v>12193114.808699999</v>
      </c>
      <c r="I44" s="164">
        <f t="shared" si="0"/>
        <v>1395112.8213</v>
      </c>
      <c r="J44" s="166">
        <f t="shared" si="1"/>
        <v>0.11441808292533784</v>
      </c>
      <c r="K44" s="163">
        <f>SUM('2020'!G44:O44)</f>
        <v>15267988.899999999</v>
      </c>
      <c r="L44" s="164">
        <f t="shared" si="7"/>
        <v>-1679761.2699999996</v>
      </c>
      <c r="M44" s="166">
        <f t="shared" si="2"/>
        <v>-0.11001850217483455</v>
      </c>
      <c r="N44" s="163">
        <f>'2021'!O44</f>
        <v>1755810.82</v>
      </c>
      <c r="O44" s="163">
        <f>'2021'!O118</f>
        <v>1035628.3971000001</v>
      </c>
      <c r="P44" s="164">
        <f t="shared" si="6"/>
        <v>720182.42290000001</v>
      </c>
      <c r="Q44" s="166">
        <f t="shared" si="3"/>
        <v>0.69540621415623405</v>
      </c>
      <c r="R44" s="163">
        <f>'2020'!O44</f>
        <v>1504557.8</v>
      </c>
      <c r="S44" s="164">
        <f t="shared" si="4"/>
        <v>251253.02000000002</v>
      </c>
      <c r="T44" s="166">
        <f t="shared" si="5"/>
        <v>0.16699459469087863</v>
      </c>
    </row>
    <row r="45" spans="1:20">
      <c r="A45" s="150">
        <v>425</v>
      </c>
      <c r="B45" s="536" t="str">
        <f>+VLOOKUP($A45,Master!$D$29:$G$225,4,FALSE)</f>
        <v>Ostala prava iz zdravstvenog osiguranja</v>
      </c>
      <c r="C45" s="537"/>
      <c r="D45" s="537"/>
      <c r="E45" s="537"/>
      <c r="F45" s="537"/>
      <c r="G45" s="163">
        <f>'2021'!S45</f>
        <v>7790480.9400000004</v>
      </c>
      <c r="H45" s="163">
        <f>SUM('2021'!G119:O119)</f>
        <v>8381414.4136999995</v>
      </c>
      <c r="I45" s="164">
        <f t="shared" si="0"/>
        <v>-590933.47369999904</v>
      </c>
      <c r="J45" s="166">
        <f t="shared" si="1"/>
        <v>-7.0505220781599487E-2</v>
      </c>
      <c r="K45" s="163">
        <f>SUM('2020'!G45:O45)</f>
        <v>7087946.8599999994</v>
      </c>
      <c r="L45" s="164">
        <f t="shared" si="7"/>
        <v>702534.08000000101</v>
      </c>
      <c r="M45" s="166">
        <f t="shared" si="2"/>
        <v>9.9116725037072362E-2</v>
      </c>
      <c r="N45" s="163">
        <f>'2021'!O45</f>
        <v>762432.58</v>
      </c>
      <c r="O45" s="163">
        <f>'2021'!O119</f>
        <v>1039528.5287666667</v>
      </c>
      <c r="P45" s="164">
        <f t="shared" si="6"/>
        <v>-277095.9487666667</v>
      </c>
      <c r="Q45" s="166">
        <f t="shared" si="3"/>
        <v>-0.26655925364109356</v>
      </c>
      <c r="R45" s="163">
        <f>'2020'!O45</f>
        <v>719871.35</v>
      </c>
      <c r="S45" s="164">
        <f t="shared" si="4"/>
        <v>42561.229999999981</v>
      </c>
      <c r="T45" s="166">
        <f t="shared" si="5"/>
        <v>5.9123383643480132E-2</v>
      </c>
    </row>
    <row r="46" spans="1:20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f>'2021'!S46</f>
        <v>180169476</v>
      </c>
      <c r="H46" s="175">
        <f>SUM('2021'!G120:O120)</f>
        <v>197168617.40684998</v>
      </c>
      <c r="I46" s="176">
        <f t="shared" si="0"/>
        <v>-16999141.40684998</v>
      </c>
      <c r="J46" s="178">
        <f t="shared" si="1"/>
        <v>-8.6216263168153673E-2</v>
      </c>
      <c r="K46" s="175">
        <f>SUM('2020'!G46:O46)</f>
        <v>218278071.13999999</v>
      </c>
      <c r="L46" s="176">
        <f t="shared" si="7"/>
        <v>-38108595.139999986</v>
      </c>
      <c r="M46" s="178">
        <f t="shared" si="2"/>
        <v>-0.17458737353216647</v>
      </c>
      <c r="N46" s="175">
        <f>'2021'!O46</f>
        <v>26541391.52</v>
      </c>
      <c r="O46" s="175">
        <f>'2021'!O120</f>
        <v>20959047.32438333</v>
      </c>
      <c r="P46" s="176">
        <f t="shared" si="6"/>
        <v>5582344.19561667</v>
      </c>
      <c r="Q46" s="178">
        <f t="shared" si="3"/>
        <v>0.26634532138883449</v>
      </c>
      <c r="R46" s="175">
        <f>'2020'!O46</f>
        <v>29910249.559999999</v>
      </c>
      <c r="S46" s="176">
        <f t="shared" si="4"/>
        <v>-3368858.0399999991</v>
      </c>
      <c r="T46" s="178">
        <f t="shared" si="5"/>
        <v>-0.11263222773324122</v>
      </c>
    </row>
    <row r="47" spans="1:20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f>'2021'!S47</f>
        <v>107755958.25</v>
      </c>
      <c r="H47" s="175">
        <f>SUM('2021'!G121:O121)</f>
        <v>163335374.62720001</v>
      </c>
      <c r="I47" s="176">
        <f t="shared" si="0"/>
        <v>-55579416.377200007</v>
      </c>
      <c r="J47" s="178">
        <f t="shared" si="1"/>
        <v>-0.34027788838796003</v>
      </c>
      <c r="K47" s="175">
        <f>SUM('2020'!G47:O47)</f>
        <v>148774558.20999998</v>
      </c>
      <c r="L47" s="176">
        <f t="shared" si="7"/>
        <v>-41018599.959999979</v>
      </c>
      <c r="M47" s="178">
        <f t="shared" si="2"/>
        <v>-0.27570977493410487</v>
      </c>
      <c r="N47" s="175">
        <f>'2021'!O47</f>
        <v>24684802.260000002</v>
      </c>
      <c r="O47" s="175">
        <f>'2021'!O121</f>
        <v>24073116.957600009</v>
      </c>
      <c r="P47" s="176">
        <f t="shared" si="6"/>
        <v>611685.30239999294</v>
      </c>
      <c r="Q47" s="178">
        <f t="shared" si="3"/>
        <v>2.5409476615652071E-2</v>
      </c>
      <c r="R47" s="175">
        <f>'2020'!O47</f>
        <v>19123751.109999999</v>
      </c>
      <c r="S47" s="176">
        <f t="shared" si="4"/>
        <v>5561051.1500000022</v>
      </c>
      <c r="T47" s="178">
        <f t="shared" si="5"/>
        <v>0.29079290553473447</v>
      </c>
    </row>
    <row r="48" spans="1:20">
      <c r="A48" s="150">
        <v>451</v>
      </c>
      <c r="B48" s="504" t="str">
        <f>+VLOOKUP($A48,Master!$D$29:$G$225,4,FALSE)</f>
        <v>Pozajmice i krediti</v>
      </c>
      <c r="C48" s="505"/>
      <c r="D48" s="505"/>
      <c r="E48" s="505"/>
      <c r="F48" s="505"/>
      <c r="G48" s="163">
        <f>'2021'!S48</f>
        <v>828780</v>
      </c>
      <c r="H48" s="163">
        <f>SUM('2021'!G122:O122)</f>
        <v>1287641.3347999998</v>
      </c>
      <c r="I48" s="164">
        <f>G48-H48</f>
        <v>-458861.33479999984</v>
      </c>
      <c r="J48" s="282">
        <f t="shared" si="1"/>
        <v>-0.35635803418136736</v>
      </c>
      <c r="K48" s="163">
        <f>SUM('2020'!G48:O48)</f>
        <v>1152663</v>
      </c>
      <c r="L48" s="279">
        <f t="shared" si="7"/>
        <v>-323883</v>
      </c>
      <c r="M48" s="282">
        <f t="shared" si="2"/>
        <v>-0.28098672378657075</v>
      </c>
      <c r="N48" s="163">
        <f>'2021'!O48</f>
        <v>0</v>
      </c>
      <c r="O48" s="163">
        <f>'2021'!O122</f>
        <v>88786.555066666639</v>
      </c>
      <c r="P48" s="164">
        <f t="shared" si="6"/>
        <v>-88786.555066666639</v>
      </c>
      <c r="Q48" s="282">
        <f t="shared" si="3"/>
        <v>-1</v>
      </c>
      <c r="R48" s="163">
        <f>'2020'!O48</f>
        <v>322072</v>
      </c>
      <c r="S48" s="279">
        <f t="shared" si="4"/>
        <v>-322072</v>
      </c>
      <c r="T48" s="282">
        <f t="shared" si="5"/>
        <v>-1</v>
      </c>
    </row>
    <row r="49" spans="1:23">
      <c r="A49" s="150">
        <v>47</v>
      </c>
      <c r="B49" s="504" t="str">
        <f>+VLOOKUP($A49,Master!$D$29:$G$225,4,FALSE)</f>
        <v>Rezerve</v>
      </c>
      <c r="C49" s="505"/>
      <c r="D49" s="505"/>
      <c r="E49" s="505"/>
      <c r="F49" s="505"/>
      <c r="G49" s="163">
        <f>'2021'!S49</f>
        <v>57756336.199999996</v>
      </c>
      <c r="H49" s="163">
        <f>SUM('2021'!G123:O123)</f>
        <v>62088662.109999999</v>
      </c>
      <c r="I49" s="164">
        <f t="shared" ref="I49:I50" si="8">G49-H49</f>
        <v>-4332325.9100000039</v>
      </c>
      <c r="J49" s="283">
        <f t="shared" si="1"/>
        <v>-6.9776441668602751E-2</v>
      </c>
      <c r="K49" s="163">
        <f>SUM('2020'!G49:O49)</f>
        <v>91094554.329999998</v>
      </c>
      <c r="L49" s="280">
        <f t="shared" si="7"/>
        <v>-33338218.130000003</v>
      </c>
      <c r="M49" s="283">
        <f t="shared" si="2"/>
        <v>-0.36597377719450341</v>
      </c>
      <c r="N49" s="163">
        <f>'2021'!O49</f>
        <v>862178.99</v>
      </c>
      <c r="O49" s="163">
        <f>'2021'!O123</f>
        <v>3041462.9633333324</v>
      </c>
      <c r="P49" s="164">
        <f t="shared" si="6"/>
        <v>-2179283.9733333327</v>
      </c>
      <c r="Q49" s="283">
        <f t="shared" si="3"/>
        <v>-0.71652490909996702</v>
      </c>
      <c r="R49" s="163">
        <f>'2020'!O49</f>
        <v>5007344.8</v>
      </c>
      <c r="S49" s="280">
        <f t="shared" si="4"/>
        <v>-4145165.8099999996</v>
      </c>
      <c r="T49" s="283">
        <f t="shared" si="5"/>
        <v>-0.82781713174615024</v>
      </c>
      <c r="W49" s="345"/>
    </row>
    <row r="50" spans="1:23" ht="15.7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63">
        <f>'2021'!S50</f>
        <v>7711252.0800000001</v>
      </c>
      <c r="H50" s="163">
        <f>SUM('2021'!G124:O124)</f>
        <v>3860000</v>
      </c>
      <c r="I50" s="164">
        <f t="shared" si="8"/>
        <v>3851252.08</v>
      </c>
      <c r="J50" s="284">
        <f t="shared" si="1"/>
        <v>0.9977336994818653</v>
      </c>
      <c r="K50" s="163">
        <f>SUM('2020'!G50:O50)</f>
        <v>0</v>
      </c>
      <c r="L50" s="280">
        <f t="shared" si="7"/>
        <v>7711252.0800000001</v>
      </c>
      <c r="M50" s="284" t="str">
        <f t="shared" si="2"/>
        <v>...</v>
      </c>
      <c r="N50" s="163">
        <f>'2021'!O50</f>
        <v>0</v>
      </c>
      <c r="O50" s="163">
        <f>'2021'!O124</f>
        <v>0</v>
      </c>
      <c r="P50" s="164">
        <f t="shared" si="6"/>
        <v>0</v>
      </c>
      <c r="Q50" s="284" t="str">
        <f t="shared" si="3"/>
        <v>...</v>
      </c>
      <c r="R50" s="163">
        <f>'2020'!O50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22" t="str">
        <f>+VLOOKUP($A51,Master!$D$29:$G$225,4,FALSE)</f>
        <v>Otplata obaveza iz prethodnog perioda</v>
      </c>
      <c r="C51" s="523"/>
      <c r="D51" s="523"/>
      <c r="E51" s="523"/>
      <c r="F51" s="523"/>
      <c r="G51" s="314">
        <f>'2021'!S51</f>
        <v>21159216.43</v>
      </c>
      <c r="H51" s="314">
        <f>SUM('2021'!G125:O125)</f>
        <v>7823168.9024999999</v>
      </c>
      <c r="I51" s="281">
        <f>G51-H51</f>
        <v>13336047.5275</v>
      </c>
      <c r="J51" s="285">
        <f t="shared" si="1"/>
        <v>1.7046861308642187</v>
      </c>
      <c r="K51" s="314">
        <f>SUM('2020'!G51:O51)</f>
        <v>13021965.050000001</v>
      </c>
      <c r="L51" s="287">
        <f t="shared" si="7"/>
        <v>8137251.379999999</v>
      </c>
      <c r="M51" s="285">
        <f t="shared" si="2"/>
        <v>0.62488659344082631</v>
      </c>
      <c r="N51" s="314">
        <f>'2021'!O51</f>
        <v>977597.05</v>
      </c>
      <c r="O51" s="314">
        <f>'2021'!O125</f>
        <v>869240.98916666664</v>
      </c>
      <c r="P51" s="281">
        <f>N51-O51</f>
        <v>108356.06083333341</v>
      </c>
      <c r="Q51" s="285">
        <f t="shared" si="3"/>
        <v>0.12465594948210312</v>
      </c>
      <c r="R51" s="314">
        <f>'2020'!O51</f>
        <v>764871</v>
      </c>
      <c r="S51" s="287">
        <f>+N51-R51</f>
        <v>212726.05000000005</v>
      </c>
      <c r="T51" s="285">
        <f t="shared" si="5"/>
        <v>0.27812016666862793</v>
      </c>
    </row>
    <row r="52" spans="1:23" ht="15.75" thickBot="1">
      <c r="A52" s="144">
        <v>1005</v>
      </c>
      <c r="B52" s="522" t="str">
        <f>+VLOOKUP($A52,Master!$D$29:$G$227,4,FALSE)</f>
        <v>Neto povećanje obaveza</v>
      </c>
      <c r="C52" s="523"/>
      <c r="D52" s="523"/>
      <c r="E52" s="523"/>
      <c r="F52" s="523"/>
      <c r="G52" s="163">
        <f>'2021'!S52</f>
        <v>0</v>
      </c>
      <c r="H52" s="163">
        <f>SUM('2021'!G126:O126)</f>
        <v>0</v>
      </c>
      <c r="I52" s="281">
        <f>G52-H52</f>
        <v>0</v>
      </c>
      <c r="J52" s="285" t="str">
        <f t="shared" si="1"/>
        <v>...</v>
      </c>
      <c r="K52" s="163">
        <f>SUM('2020'!G52:O52)</f>
        <v>0</v>
      </c>
      <c r="L52" s="287">
        <f t="shared" si="7"/>
        <v>0</v>
      </c>
      <c r="M52" s="285" t="str">
        <f t="shared" si="2"/>
        <v>...</v>
      </c>
      <c r="N52" s="163">
        <f>'2021'!O52</f>
        <v>0</v>
      </c>
      <c r="O52" s="163">
        <f>'2021'!O126</f>
        <v>0</v>
      </c>
      <c r="P52" s="281">
        <f>N52-O52</f>
        <v>0</v>
      </c>
      <c r="Q52" s="285" t="str">
        <f t="shared" si="3"/>
        <v>...</v>
      </c>
      <c r="R52" s="163">
        <f>'2020'!O52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>'2021'!S53</f>
        <v>-64677309.770000011</v>
      </c>
      <c r="H53" s="151">
        <f>SUM('2021'!G127:O127)</f>
        <v>-173311381.08088765</v>
      </c>
      <c r="I53" s="321">
        <f>+G53-H53</f>
        <v>108634071.31088763</v>
      </c>
      <c r="J53" s="286">
        <f t="shared" si="1"/>
        <v>-0.62681441134085758</v>
      </c>
      <c r="K53" s="151">
        <f>SUM('2020'!G53:O53)</f>
        <v>-332914277.66000003</v>
      </c>
      <c r="L53" s="288">
        <f t="shared" si="7"/>
        <v>268236967.89000002</v>
      </c>
      <c r="M53" s="286">
        <f t="shared" si="2"/>
        <v>-0.80572383310020157</v>
      </c>
      <c r="N53" s="151">
        <f>'2021'!O53</f>
        <v>-6598658.1599999964</v>
      </c>
      <c r="O53" s="151">
        <f>'2021'!O127</f>
        <v>10186739.966191918</v>
      </c>
      <c r="P53" s="321">
        <f>N53-O53</f>
        <v>-16785398.126191914</v>
      </c>
      <c r="Q53" s="286">
        <f t="shared" si="3"/>
        <v>-1.6477693729200742</v>
      </c>
      <c r="R53" s="151">
        <f>'2020'!O53</f>
        <v>-21619884.920000017</v>
      </c>
      <c r="S53" s="288">
        <f t="shared" si="4"/>
        <v>15021226.76000002</v>
      </c>
      <c r="T53" s="286">
        <f t="shared" si="5"/>
        <v>-0.69478754468781923</v>
      </c>
    </row>
    <row r="54" spans="1:23" ht="15.7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151">
        <f>'2021'!S54</f>
        <v>14133708.340000018</v>
      </c>
      <c r="H54" s="151">
        <f>SUM('2021'!G128:O128)</f>
        <v>-103292819.94824658</v>
      </c>
      <c r="I54" s="206">
        <f t="shared" si="0"/>
        <v>117426528.2882466</v>
      </c>
      <c r="J54" s="208">
        <f t="shared" si="1"/>
        <v>-1.1368314694775641</v>
      </c>
      <c r="K54" s="151">
        <f>SUM('2020'!G54:O54)</f>
        <v>-255214880.72</v>
      </c>
      <c r="L54" s="206">
        <f t="shared" si="7"/>
        <v>269348589.06</v>
      </c>
      <c r="M54" s="208">
        <f t="shared" si="2"/>
        <v>-1.055379640482274</v>
      </c>
      <c r="N54" s="151">
        <f>'2021'!O54</f>
        <v>7652389.6600000039</v>
      </c>
      <c r="O54" s="151">
        <f>'2021'!O128</f>
        <v>11853079.287415188</v>
      </c>
      <c r="P54" s="206">
        <f t="shared" si="6"/>
        <v>-4200689.6274151839</v>
      </c>
      <c r="Q54" s="208">
        <f t="shared" si="3"/>
        <v>-0.354396484285328</v>
      </c>
      <c r="R54" s="151">
        <f>'2020'!O54</f>
        <v>-20067449.630000018</v>
      </c>
      <c r="S54" s="206">
        <f t="shared" si="4"/>
        <v>27719839.290000021</v>
      </c>
      <c r="T54" s="208">
        <f t="shared" si="5"/>
        <v>-1.3813334430180899</v>
      </c>
    </row>
    <row r="55" spans="1:23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492">
        <f>'2021'!S55</f>
        <v>392129648.79000002</v>
      </c>
      <c r="H55" s="492">
        <f>SUM('2021'!G129:O129)</f>
        <v>413791139.18534708</v>
      </c>
      <c r="I55" s="493">
        <f t="shared" si="0"/>
        <v>-21661490.395347059</v>
      </c>
      <c r="J55" s="494">
        <f t="shared" si="1"/>
        <v>-5.2348850287111559E-2</v>
      </c>
      <c r="K55" s="492">
        <f>SUM('2020'!G55:O55)</f>
        <v>523777795.28999996</v>
      </c>
      <c r="L55" s="493">
        <f t="shared" si="7"/>
        <v>-131648146.49999994</v>
      </c>
      <c r="M55" s="494">
        <f t="shared" si="2"/>
        <v>-0.25134350421844498</v>
      </c>
      <c r="N55" s="492">
        <f>'2021'!O55</f>
        <v>11336186.489999998</v>
      </c>
      <c r="O55" s="492">
        <f>'2021'!O129</f>
        <v>13919038.292649165</v>
      </c>
      <c r="P55" s="493">
        <f t="shared" si="6"/>
        <v>-2582851.8026491664</v>
      </c>
      <c r="Q55" s="494">
        <f t="shared" si="3"/>
        <v>-0.18556251864133499</v>
      </c>
      <c r="R55" s="492">
        <f>'2020'!O55</f>
        <v>9821065.5600000005</v>
      </c>
      <c r="S55" s="493">
        <f t="shared" si="4"/>
        <v>1515120.9299999978</v>
      </c>
      <c r="T55" s="494">
        <f t="shared" si="5"/>
        <v>0.15427256042062276</v>
      </c>
    </row>
    <row r="56" spans="1:23">
      <c r="A56" s="144">
        <v>4611</v>
      </c>
      <c r="B56" s="504" t="str">
        <f>+VLOOKUP($A56,Master!$D$29:$G$225,4,FALSE)</f>
        <v>Otplata hartija od vrijednosti i kredita rezidentima</v>
      </c>
      <c r="C56" s="505"/>
      <c r="D56" s="505"/>
      <c r="E56" s="505"/>
      <c r="F56" s="505"/>
      <c r="G56" s="163">
        <f>'2021'!S56</f>
        <v>70336811.780000001</v>
      </c>
      <c r="H56" s="163">
        <f>SUM('2021'!G130:O130)</f>
        <v>75740157.970000014</v>
      </c>
      <c r="I56" s="212">
        <f t="shared" si="0"/>
        <v>-5403346.1900000125</v>
      </c>
      <c r="J56" s="214">
        <f t="shared" si="1"/>
        <v>-7.1340571961049148E-2</v>
      </c>
      <c r="K56" s="163">
        <f>SUM('2020'!G56:O56)</f>
        <v>125866383.95999999</v>
      </c>
      <c r="L56" s="212">
        <f t="shared" si="7"/>
        <v>-55529572.179999992</v>
      </c>
      <c r="M56" s="214">
        <f t="shared" si="2"/>
        <v>-0.44117873599711221</v>
      </c>
      <c r="N56" s="163">
        <f>'2021'!O56</f>
        <v>2421267.87</v>
      </c>
      <c r="O56" s="163">
        <f>'2021'!O130</f>
        <v>2421267.87</v>
      </c>
      <c r="P56" s="212">
        <f t="shared" si="6"/>
        <v>0</v>
      </c>
      <c r="Q56" s="214">
        <f t="shared" si="3"/>
        <v>0</v>
      </c>
      <c r="R56" s="163">
        <f>'2020'!O56</f>
        <v>1782512.05</v>
      </c>
      <c r="S56" s="212">
        <f t="shared" si="4"/>
        <v>638755.82000000007</v>
      </c>
      <c r="T56" s="214">
        <f t="shared" si="5"/>
        <v>0.3583458636366581</v>
      </c>
    </row>
    <row r="57" spans="1:23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163">
        <f>'2021'!S57</f>
        <v>321792837.00999999</v>
      </c>
      <c r="H57" s="163">
        <f>SUM('2021'!G131:O131)</f>
        <v>338050981.21534705</v>
      </c>
      <c r="I57" s="212">
        <f t="shared" si="0"/>
        <v>-16258144.205347061</v>
      </c>
      <c r="J57" s="214">
        <f t="shared" si="1"/>
        <v>-4.8093764280453977E-2</v>
      </c>
      <c r="K57" s="163">
        <f>SUM('2020'!G57:O57)</f>
        <v>397911411.32999998</v>
      </c>
      <c r="L57" s="212">
        <f t="shared" si="7"/>
        <v>-76118574.319999993</v>
      </c>
      <c r="M57" s="214">
        <f t="shared" si="2"/>
        <v>-0.19129527867918461</v>
      </c>
      <c r="N57" s="163">
        <f>'2021'!O57</f>
        <v>8914918.6199999992</v>
      </c>
      <c r="O57" s="163">
        <f>'2021'!O131</f>
        <v>11497770.422649164</v>
      </c>
      <c r="P57" s="212">
        <f t="shared" si="6"/>
        <v>-2582851.8026491646</v>
      </c>
      <c r="Q57" s="214">
        <f t="shared" si="3"/>
        <v>-0.22463936117225569</v>
      </c>
      <c r="R57" s="163">
        <f>'2020'!O57</f>
        <v>8038553.5099999998</v>
      </c>
      <c r="S57" s="212">
        <f t="shared" si="4"/>
        <v>876365.1099999994</v>
      </c>
      <c r="T57" s="214">
        <f t="shared" si="5"/>
        <v>0.10902024958965528</v>
      </c>
    </row>
    <row r="58" spans="1:23" ht="15.75" thickBot="1">
      <c r="A58" s="144">
        <v>4418</v>
      </c>
      <c r="B58" s="532" t="str">
        <f>+VLOOKUP($A58,Master!$D$29:$G$225,4,FALSE)</f>
        <v>Izdaci za kupovinu hartija od vrijednosti</v>
      </c>
      <c r="C58" s="533"/>
      <c r="D58" s="533"/>
      <c r="E58" s="533"/>
      <c r="F58" s="533"/>
      <c r="G58" s="336">
        <f>'2021'!S58</f>
        <v>0</v>
      </c>
      <c r="H58" s="336">
        <f>SUM('2021'!G132:O132)</f>
        <v>536784</v>
      </c>
      <c r="I58" s="337">
        <f t="shared" ref="I58:I64" si="9">+G58-H58</f>
        <v>-536784</v>
      </c>
      <c r="J58" s="338">
        <f t="shared" si="1"/>
        <v>-1</v>
      </c>
      <c r="K58" s="336">
        <f>SUM('2020'!G58:O58)</f>
        <v>940769.61</v>
      </c>
      <c r="L58" s="337">
        <f t="shared" ref="L58:L64" si="10">+G58-K58</f>
        <v>-940769.61</v>
      </c>
      <c r="M58" s="338">
        <f t="shared" si="2"/>
        <v>-1</v>
      </c>
      <c r="N58" s="336">
        <f>'2021'!O58</f>
        <v>0</v>
      </c>
      <c r="O58" s="336">
        <f>'2021'!O132</f>
        <v>0</v>
      </c>
      <c r="P58" s="337">
        <f t="shared" ref="P58:P64" si="11">+N58-O58</f>
        <v>0</v>
      </c>
      <c r="Q58" s="338" t="str">
        <f t="shared" si="3"/>
        <v>...</v>
      </c>
      <c r="R58" s="336">
        <f>'2020'!O58</f>
        <v>940769.61</v>
      </c>
      <c r="S58" s="337">
        <f t="shared" ref="S58:S64" si="12">+N58-R58</f>
        <v>-940769.61</v>
      </c>
      <c r="T58" s="338">
        <f t="shared" si="5"/>
        <v>-1</v>
      </c>
    </row>
    <row r="59" spans="1:23" ht="15.7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320">
        <f>'2021'!S59</f>
        <v>-456806958.56000012</v>
      </c>
      <c r="H59" s="320">
        <f>SUM('2021'!G133:O133)</f>
        <v>-587639304.26623464</v>
      </c>
      <c r="I59" s="322">
        <f t="shared" si="9"/>
        <v>130832345.70623451</v>
      </c>
      <c r="J59" s="323">
        <f t="shared" si="1"/>
        <v>-0.22264056327818382</v>
      </c>
      <c r="K59" s="320">
        <f>SUM('2020'!G59:O59)</f>
        <v>-857632842.56000006</v>
      </c>
      <c r="L59" s="322">
        <f t="shared" si="10"/>
        <v>400825883.99999994</v>
      </c>
      <c r="M59" s="323">
        <f t="shared" si="2"/>
        <v>-0.46736303008587055</v>
      </c>
      <c r="N59" s="320">
        <f>'2021'!O59</f>
        <v>-17934844.649999995</v>
      </c>
      <c r="O59" s="320">
        <f>'2021'!O133</f>
        <v>-3732298.3264572471</v>
      </c>
      <c r="P59" s="322">
        <f t="shared" si="11"/>
        <v>-14202546.323542748</v>
      </c>
      <c r="Q59" s="323" t="str">
        <f t="shared" si="3"/>
        <v>...</v>
      </c>
      <c r="R59" s="320">
        <f>'2020'!O59</f>
        <v>-32381720.090000018</v>
      </c>
      <c r="S59" s="322">
        <f t="shared" si="12"/>
        <v>14446875.440000024</v>
      </c>
      <c r="T59" s="323">
        <f t="shared" si="5"/>
        <v>-0.44614292878349737</v>
      </c>
    </row>
    <row r="60" spans="1:23" ht="15.7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'2021'!S60</f>
        <v>456806958.56000012</v>
      </c>
      <c r="H60" s="151">
        <f>SUM('2021'!G134:O134)</f>
        <v>587639304.26623464</v>
      </c>
      <c r="I60" s="321">
        <f t="shared" si="9"/>
        <v>-130832345.70623451</v>
      </c>
      <c r="J60" s="324">
        <f t="shared" si="1"/>
        <v>-0.22264056327818382</v>
      </c>
      <c r="K60" s="151">
        <f>SUM('2020'!G60:O60)</f>
        <v>857632842.56000006</v>
      </c>
      <c r="L60" s="321">
        <f t="shared" si="10"/>
        <v>-400825883.99999994</v>
      </c>
      <c r="M60" s="324">
        <f t="shared" si="2"/>
        <v>-0.46736303008587055</v>
      </c>
      <c r="N60" s="151">
        <f>'2021'!O60</f>
        <v>17934844.649999995</v>
      </c>
      <c r="O60" s="151">
        <f>'2021'!O134</f>
        <v>3732298.3264572471</v>
      </c>
      <c r="P60" s="321">
        <f t="shared" si="11"/>
        <v>14202546.323542748</v>
      </c>
      <c r="Q60" s="324" t="str">
        <f t="shared" si="3"/>
        <v>...</v>
      </c>
      <c r="R60" s="151">
        <f>'2020'!O60</f>
        <v>32381720.090000018</v>
      </c>
      <c r="S60" s="321">
        <f t="shared" si="12"/>
        <v>-14446875.440000024</v>
      </c>
      <c r="T60" s="324">
        <f t="shared" si="5"/>
        <v>-0.44614292878349737</v>
      </c>
    </row>
    <row r="61" spans="1:23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484">
        <f>'2021'!S61</f>
        <v>0</v>
      </c>
      <c r="H61" s="484">
        <f>SUM('2021'!G135:O135)</f>
        <v>0</v>
      </c>
      <c r="I61" s="212">
        <f t="shared" si="9"/>
        <v>0</v>
      </c>
      <c r="J61" s="214" t="str">
        <f t="shared" si="1"/>
        <v>...</v>
      </c>
      <c r="K61" s="212">
        <f>SUM('2020'!G61:O61)</f>
        <v>124532059.13</v>
      </c>
      <c r="L61" s="212">
        <f t="shared" si="10"/>
        <v>-124532059.13</v>
      </c>
      <c r="M61" s="214">
        <f t="shared" si="2"/>
        <v>-1</v>
      </c>
      <c r="N61" s="163">
        <f>'2021'!O61</f>
        <v>0</v>
      </c>
      <c r="O61" s="163">
        <f>'2021'!O135</f>
        <v>0</v>
      </c>
      <c r="P61" s="212">
        <f t="shared" si="11"/>
        <v>0</v>
      </c>
      <c r="Q61" s="214" t="str">
        <f t="shared" si="3"/>
        <v>...</v>
      </c>
      <c r="R61" s="163">
        <f>'2020'!O61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163">
        <f>'2021'!S62</f>
        <v>75189184.780000016</v>
      </c>
      <c r="H62" s="163">
        <f>SUM('2021'!G136:O136)</f>
        <v>108300000</v>
      </c>
      <c r="I62" s="212">
        <f t="shared" si="9"/>
        <v>-33110815.219999984</v>
      </c>
      <c r="J62" s="214">
        <f t="shared" si="1"/>
        <v>-0.30573236583564156</v>
      </c>
      <c r="K62" s="163">
        <f>SUM('2020'!G62:O62)</f>
        <v>372660603.56</v>
      </c>
      <c r="L62" s="212">
        <f t="shared" si="10"/>
        <v>-297471418.77999997</v>
      </c>
      <c r="M62" s="214">
        <f t="shared" si="2"/>
        <v>-0.79823682980781141</v>
      </c>
      <c r="N62" s="163">
        <f>'2021'!O62</f>
        <v>4786825.9000000004</v>
      </c>
      <c r="O62" s="163">
        <f>'2021'!O136</f>
        <v>18900000</v>
      </c>
      <c r="P62" s="212">
        <f t="shared" si="11"/>
        <v>-14113174.1</v>
      </c>
      <c r="Q62" s="214">
        <f t="shared" si="3"/>
        <v>-0.7467287883597884</v>
      </c>
      <c r="R62" s="163">
        <f>'2020'!O62</f>
        <v>3867306.65</v>
      </c>
      <c r="S62" s="212">
        <f t="shared" si="12"/>
        <v>919519.25000000047</v>
      </c>
      <c r="T62" s="214">
        <f t="shared" si="5"/>
        <v>0.23776734901536711</v>
      </c>
    </row>
    <row r="63" spans="1:23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163">
        <f>'2021'!S63</f>
        <v>1236923.0100000002</v>
      </c>
      <c r="H63" s="163">
        <f>SUM('2021'!G137:O137)</f>
        <v>3401391.2549999999</v>
      </c>
      <c r="I63" s="212">
        <f t="shared" si="9"/>
        <v>-2164468.2449999996</v>
      </c>
      <c r="J63" s="214">
        <f t="shared" si="1"/>
        <v>-0.63634791846373462</v>
      </c>
      <c r="K63" s="163">
        <f>SUM('2020'!G63:O63)</f>
        <v>6180474.2999999998</v>
      </c>
      <c r="L63" s="212">
        <f t="shared" si="10"/>
        <v>-4943551.2899999991</v>
      </c>
      <c r="M63" s="214">
        <f t="shared" si="2"/>
        <v>-0.79986600542938913</v>
      </c>
      <c r="N63" s="163">
        <f>'2021'!O63</f>
        <v>176272.14</v>
      </c>
      <c r="O63" s="163">
        <f>'2021'!O137</f>
        <v>866202.91500000004</v>
      </c>
      <c r="P63" s="212">
        <f t="shared" si="11"/>
        <v>-689930.77500000002</v>
      </c>
      <c r="Q63" s="214">
        <f t="shared" si="3"/>
        <v>-0.79650017686675645</v>
      </c>
      <c r="R63" s="163">
        <f>'2020'!O63</f>
        <v>257820.89</v>
      </c>
      <c r="S63" s="212">
        <f t="shared" si="12"/>
        <v>-81548.75</v>
      </c>
      <c r="T63" s="214">
        <f t="shared" si="5"/>
        <v>-0.31630000966950345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8">
        <f>'2021'!S64</f>
        <v>380380850.76999998</v>
      </c>
      <c r="H64" s="318">
        <f>SUM('2021'!G138:O138)</f>
        <v>475937913.01123464</v>
      </c>
      <c r="I64" s="226">
        <f t="shared" si="9"/>
        <v>-95557062.24123466</v>
      </c>
      <c r="J64" s="228">
        <f t="shared" si="1"/>
        <v>-0.20077631898801684</v>
      </c>
      <c r="K64" s="318">
        <f>SUM('2020'!G64:O64)</f>
        <v>354259705.56999993</v>
      </c>
      <c r="L64" s="226">
        <f t="shared" si="10"/>
        <v>26121145.200000048</v>
      </c>
      <c r="M64" s="228">
        <f t="shared" si="2"/>
        <v>7.3734451842247806E-2</v>
      </c>
      <c r="N64" s="318">
        <f>'2021'!O64</f>
        <v>12971746.609999996</v>
      </c>
      <c r="O64" s="318">
        <f>'2021'!O138</f>
        <v>-16033904.588542752</v>
      </c>
      <c r="P64" s="226">
        <f t="shared" si="11"/>
        <v>29005651.198542748</v>
      </c>
      <c r="Q64" s="228">
        <f t="shared" si="3"/>
        <v>-1.8090198203667207</v>
      </c>
      <c r="R64" s="318">
        <f>'2020'!O64</f>
        <v>28256592.550000019</v>
      </c>
      <c r="S64" s="226">
        <f t="shared" si="12"/>
        <v>-15284845.940000024</v>
      </c>
      <c r="T64" s="228">
        <f t="shared" si="5"/>
        <v>-0.54093025947673978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oWxkMwqDr8AEa6ydKqMYkvpCxaA9nmB/AaPabFbe933wrd4H7xIcgRFcUdVPalv/5ZjZlQb8ZGFJdZR1L0ccug==" saltValue="bj87uiqf6EzLYn4n0b+25w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6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1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607" t="str">
        <f>+Master!G251</f>
        <v>Ostvarenje budžeta</v>
      </c>
      <c r="C7" s="507"/>
      <c r="D7" s="507"/>
      <c r="E7" s="507"/>
      <c r="F7" s="507"/>
      <c r="G7" s="515">
        <v>2021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BDP</v>
      </c>
      <c r="T7" s="236">
        <v>4636600000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f>+G11+G19+SUM(G24:G28)</f>
        <v>88645433.320000008</v>
      </c>
      <c r="H10" s="151">
        <f t="shared" ref="H10:R10" si="1">+H11+H19+SUM(H24:H28)</f>
        <v>105602053.27</v>
      </c>
      <c r="I10" s="151">
        <f t="shared" si="1"/>
        <v>154194219.88</v>
      </c>
      <c r="J10" s="151">
        <f t="shared" si="1"/>
        <v>144095628.60000002</v>
      </c>
      <c r="K10" s="151">
        <f t="shared" si="1"/>
        <v>136581810.07999998</v>
      </c>
      <c r="L10" s="151">
        <f t="shared" si="1"/>
        <v>158957966.41000003</v>
      </c>
      <c r="M10" s="151">
        <f t="shared" si="1"/>
        <v>194103304.03</v>
      </c>
      <c r="N10" s="151">
        <f t="shared" si="1"/>
        <v>190105980.75999999</v>
      </c>
      <c r="O10" s="151">
        <f t="shared" si="1"/>
        <v>172242018.37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1344528414.7200003</v>
      </c>
      <c r="T10" s="463">
        <f>+S10/$T$7*100</f>
        <v>28.998154137083215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861310070.56000006</v>
      </c>
      <c r="T11" s="464">
        <f t="shared" ref="T11:T64" si="3">+S11/$T$7*100</f>
        <v>18.57632900314886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0</v>
      </c>
      <c r="Q12" s="163">
        <v>0</v>
      </c>
      <c r="R12" s="163">
        <v>0</v>
      </c>
      <c r="S12" s="242">
        <f t="shared" ref="S12:S63" si="4">+SUM(G12:R12)</f>
        <v>85841899.279999986</v>
      </c>
      <c r="T12" s="465">
        <f t="shared" si="3"/>
        <v>1.8513975602812403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0</v>
      </c>
      <c r="Q13" s="163">
        <v>0</v>
      </c>
      <c r="R13" s="163">
        <v>0</v>
      </c>
      <c r="S13" s="242">
        <f t="shared" si="4"/>
        <v>69932707.189999998</v>
      </c>
      <c r="T13" s="465">
        <f t="shared" si="3"/>
        <v>1.5082756155372472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0</v>
      </c>
      <c r="Q14" s="163">
        <v>0</v>
      </c>
      <c r="R14" s="163">
        <v>0</v>
      </c>
      <c r="S14" s="242">
        <f t="shared" si="4"/>
        <v>1306081.24</v>
      </c>
      <c r="T14" s="465">
        <f t="shared" si="3"/>
        <v>2.8168943622481988E-2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0</v>
      </c>
      <c r="Q15" s="163">
        <v>0</v>
      </c>
      <c r="R15" s="163">
        <v>0</v>
      </c>
      <c r="S15" s="242">
        <f t="shared" si="4"/>
        <v>493556109.44</v>
      </c>
      <c r="T15" s="465">
        <f t="shared" si="3"/>
        <v>10.644785175344001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0</v>
      </c>
      <c r="Q16" s="163">
        <v>0</v>
      </c>
      <c r="R16" s="163">
        <v>0</v>
      </c>
      <c r="S16" s="242">
        <f t="shared" si="4"/>
        <v>181545151.65999997</v>
      </c>
      <c r="T16" s="465">
        <f t="shared" si="3"/>
        <v>3.9154801289738161</v>
      </c>
    </row>
    <row r="17" spans="1:23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0</v>
      </c>
      <c r="Q17" s="163">
        <v>0</v>
      </c>
      <c r="R17" s="163">
        <v>0</v>
      </c>
      <c r="S17" s="242">
        <f t="shared" si="4"/>
        <v>20834357.139999997</v>
      </c>
      <c r="T17" s="465">
        <f t="shared" si="3"/>
        <v>0.4493455795194754</v>
      </c>
    </row>
    <row r="18" spans="1:23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0</v>
      </c>
      <c r="Q18" s="163">
        <v>0</v>
      </c>
      <c r="R18" s="163">
        <v>0</v>
      </c>
      <c r="S18" s="242">
        <f t="shared" si="4"/>
        <v>8293764.6100000013</v>
      </c>
      <c r="T18" s="465">
        <f t="shared" si="3"/>
        <v>0.17887599987059488</v>
      </c>
    </row>
    <row r="19" spans="1:23">
      <c r="A19" s="150">
        <v>712</v>
      </c>
      <c r="B19" s="546" t="str">
        <f>+VLOOKUP($A19,Master!$D$29:$G$225,4,FALSE)</f>
        <v>Doprinosi</v>
      </c>
      <c r="C19" s="547"/>
      <c r="D19" s="547"/>
      <c r="E19" s="547"/>
      <c r="F19" s="547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v>0</v>
      </c>
      <c r="Q19" s="169">
        <f t="shared" si="5"/>
        <v>0</v>
      </c>
      <c r="R19" s="169">
        <f t="shared" si="5"/>
        <v>0</v>
      </c>
      <c r="S19" s="243">
        <f t="shared" si="4"/>
        <v>376336390.82999998</v>
      </c>
      <c r="T19" s="466">
        <f t="shared" si="3"/>
        <v>8.1166456202821031</v>
      </c>
    </row>
    <row r="20" spans="1:23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0</v>
      </c>
      <c r="Q20" s="163">
        <v>0</v>
      </c>
      <c r="R20" s="163">
        <v>0</v>
      </c>
      <c r="S20" s="242">
        <f>+SUM(G20:R20)</f>
        <v>232181157.38000003</v>
      </c>
      <c r="T20" s="465">
        <f t="shared" si="3"/>
        <v>5.0075735966009578</v>
      </c>
    </row>
    <row r="21" spans="1:23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0</v>
      </c>
      <c r="Q21" s="163">
        <v>0</v>
      </c>
      <c r="R21" s="163">
        <v>0</v>
      </c>
      <c r="S21" s="242">
        <f t="shared" si="4"/>
        <v>123513506.99000001</v>
      </c>
      <c r="T21" s="465">
        <f t="shared" si="3"/>
        <v>2.6638810117327356</v>
      </c>
    </row>
    <row r="22" spans="1:23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0</v>
      </c>
      <c r="Q22" s="163">
        <v>0</v>
      </c>
      <c r="R22" s="163">
        <v>0</v>
      </c>
      <c r="S22" s="242">
        <f t="shared" si="4"/>
        <v>11173917.140000001</v>
      </c>
      <c r="T22" s="465">
        <f t="shared" si="3"/>
        <v>0.24099377000388217</v>
      </c>
    </row>
    <row r="23" spans="1:23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0</v>
      </c>
      <c r="Q23" s="163">
        <v>0</v>
      </c>
      <c r="R23" s="163">
        <v>0</v>
      </c>
      <c r="S23" s="242">
        <f t="shared" si="4"/>
        <v>9467809.3200000003</v>
      </c>
      <c r="T23" s="465">
        <f t="shared" si="3"/>
        <v>0.20419724194452832</v>
      </c>
      <c r="W23" s="305"/>
    </row>
    <row r="24" spans="1:23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1238779.54</v>
      </c>
      <c r="P24" s="175">
        <v>0</v>
      </c>
      <c r="Q24" s="175">
        <v>0</v>
      </c>
      <c r="R24" s="175">
        <v>0</v>
      </c>
      <c r="S24" s="243">
        <f t="shared" si="4"/>
        <v>9304436.4100000001</v>
      </c>
      <c r="T24" s="466">
        <f t="shared" si="3"/>
        <v>0.20067369214510633</v>
      </c>
      <c r="W24" s="305"/>
    </row>
    <row r="25" spans="1:23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0</v>
      </c>
      <c r="Q25" s="175">
        <v>0</v>
      </c>
      <c r="R25" s="175">
        <v>0</v>
      </c>
      <c r="S25" s="243">
        <f t="shared" si="4"/>
        <v>29180509.689999998</v>
      </c>
      <c r="T25" s="466">
        <f t="shared" si="3"/>
        <v>0.62935145774921275</v>
      </c>
    </row>
    <row r="26" spans="1:23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v>1525776.04</v>
      </c>
      <c r="H26" s="175">
        <v>1791757.35</v>
      </c>
      <c r="I26" s="175">
        <v>1695243.19</v>
      </c>
      <c r="J26" s="175">
        <v>1359110.1400000001</v>
      </c>
      <c r="K26" s="175">
        <v>3754599.58</v>
      </c>
      <c r="L26" s="175">
        <v>2279987.17</v>
      </c>
      <c r="M26" s="175">
        <v>30215055.109999999</v>
      </c>
      <c r="N26" s="175">
        <v>2283335.13</v>
      </c>
      <c r="O26" s="175">
        <v>1871519.69</v>
      </c>
      <c r="P26" s="175">
        <v>0</v>
      </c>
      <c r="Q26" s="175">
        <v>0</v>
      </c>
      <c r="R26" s="175">
        <v>0</v>
      </c>
      <c r="S26" s="243">
        <f t="shared" si="4"/>
        <v>46776383.399999999</v>
      </c>
      <c r="T26" s="466">
        <f t="shared" si="3"/>
        <v>1.0088509554414873</v>
      </c>
    </row>
    <row r="27" spans="1:23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0</v>
      </c>
      <c r="Q27" s="175">
        <v>0</v>
      </c>
      <c r="R27" s="175">
        <v>0</v>
      </c>
      <c r="S27" s="243">
        <f t="shared" si="4"/>
        <v>5902964.8300000001</v>
      </c>
      <c r="T27" s="466">
        <f t="shared" si="3"/>
        <v>0.12731235884052972</v>
      </c>
    </row>
    <row r="28" spans="1:23" ht="13.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2472793.4900000002</v>
      </c>
      <c r="M28" s="175">
        <v>2378622.7000000002</v>
      </c>
      <c r="N28" s="175">
        <v>787553.87</v>
      </c>
      <c r="O28" s="175">
        <v>4427085.24</v>
      </c>
      <c r="P28" s="175">
        <v>0</v>
      </c>
      <c r="Q28" s="175">
        <v>0</v>
      </c>
      <c r="R28" s="175">
        <v>0</v>
      </c>
      <c r="S28" s="243">
        <f t="shared" si="4"/>
        <v>15717659</v>
      </c>
      <c r="T28" s="467">
        <f t="shared" si="3"/>
        <v>0.33899104947590908</v>
      </c>
    </row>
    <row r="29" spans="1:23" ht="13.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>+G30+G40+G46+SUM(G47:G51)</f>
        <v>127396828.25</v>
      </c>
      <c r="H29" s="151">
        <f t="shared" ref="H29:R29" si="6">+H30+H40+H46+SUM(H47:H51)</f>
        <v>159900252.54000002</v>
      </c>
      <c r="I29" s="151">
        <f t="shared" si="6"/>
        <v>164546999.05000001</v>
      </c>
      <c r="J29" s="151">
        <f t="shared" si="6"/>
        <v>184233665.84999999</v>
      </c>
      <c r="K29" s="151">
        <f t="shared" si="6"/>
        <v>156171147.31</v>
      </c>
      <c r="L29" s="151">
        <f t="shared" si="6"/>
        <v>155955510.75</v>
      </c>
      <c r="M29" s="151">
        <f t="shared" si="6"/>
        <v>152906048.73000002</v>
      </c>
      <c r="N29" s="151">
        <f t="shared" si="6"/>
        <v>129254595.47999999</v>
      </c>
      <c r="O29" s="151">
        <f t="shared" si="6"/>
        <v>178840676.53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1409205724.49</v>
      </c>
      <c r="T29" s="468">
        <f t="shared" si="3"/>
        <v>30.393083821981627</v>
      </c>
    </row>
    <row r="30" spans="1:23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187">
        <f t="shared" ref="G30:R30" si="7">+SUM(G31:G39)</f>
        <v>51210284.650000006</v>
      </c>
      <c r="H30" s="187">
        <f t="shared" si="7"/>
        <v>62968222.63000001</v>
      </c>
      <c r="I30" s="187">
        <f t="shared" si="7"/>
        <v>74936419.5</v>
      </c>
      <c r="J30" s="187">
        <f t="shared" si="7"/>
        <v>90501253.180000007</v>
      </c>
      <c r="K30" s="187">
        <f t="shared" si="7"/>
        <v>68135261.49000001</v>
      </c>
      <c r="L30" s="187">
        <f t="shared" si="7"/>
        <v>67098040.299999997</v>
      </c>
      <c r="M30" s="187">
        <f t="shared" si="7"/>
        <v>62771198.960000001</v>
      </c>
      <c r="N30" s="187">
        <f t="shared" si="7"/>
        <v>55444253.550000004</v>
      </c>
      <c r="O30" s="187">
        <f t="shared" si="7"/>
        <v>78428647.819999993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611493582.08000004</v>
      </c>
      <c r="T30" s="464">
        <f t="shared" si="3"/>
        <v>13.188404910494761</v>
      </c>
      <c r="U30" s="242"/>
    </row>
    <row r="31" spans="1:23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v>40605076.340000004</v>
      </c>
      <c r="H31" s="163">
        <v>49306948.350000001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42438944.710000001</v>
      </c>
      <c r="O31" s="163">
        <v>43464882.57</v>
      </c>
      <c r="P31" s="163">
        <v>0</v>
      </c>
      <c r="Q31" s="163">
        <v>0</v>
      </c>
      <c r="R31" s="163">
        <v>0</v>
      </c>
      <c r="S31" s="242">
        <f t="shared" si="4"/>
        <v>400951486.75</v>
      </c>
      <c r="T31" s="465">
        <f t="shared" si="3"/>
        <v>8.647532389035069</v>
      </c>
      <c r="U31" s="242"/>
    </row>
    <row r="32" spans="1:23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0</v>
      </c>
      <c r="Q32" s="163">
        <v>0</v>
      </c>
      <c r="R32" s="163">
        <v>0</v>
      </c>
      <c r="S32" s="242">
        <f t="shared" si="4"/>
        <v>6951816.6499999994</v>
      </c>
      <c r="T32" s="465">
        <f t="shared" si="3"/>
        <v>0.14993349976275719</v>
      </c>
      <c r="U32" s="458"/>
    </row>
    <row r="33" spans="1:21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v>596838.26</v>
      </c>
      <c r="H33" s="163">
        <v>1661848.94</v>
      </c>
      <c r="I33" s="163">
        <v>2846541.08</v>
      </c>
      <c r="J33" s="163">
        <v>2297097.17</v>
      </c>
      <c r="K33" s="163">
        <v>3107844.52</v>
      </c>
      <c r="L33" s="163">
        <v>3282627.05</v>
      </c>
      <c r="M33" s="163">
        <v>1193812.19</v>
      </c>
      <c r="N33" s="163">
        <v>1974731.33</v>
      </c>
      <c r="O33" s="163">
        <v>2484333.92</v>
      </c>
      <c r="P33" s="163">
        <v>0</v>
      </c>
      <c r="Q33" s="163">
        <v>0</v>
      </c>
      <c r="R33" s="163">
        <v>0</v>
      </c>
      <c r="S33" s="242">
        <f t="shared" si="4"/>
        <v>19445674.460000001</v>
      </c>
      <c r="T33" s="465">
        <f t="shared" si="3"/>
        <v>0.41939512703273957</v>
      </c>
      <c r="U33" s="458"/>
    </row>
    <row r="34" spans="1:21" s="362" customFormat="1">
      <c r="A34" s="361">
        <v>414</v>
      </c>
      <c r="B34" s="605" t="str">
        <f>+VLOOKUP($A34,Master!$D$29:$G$225,4,FALSE)</f>
        <v>Rashodi za usluge</v>
      </c>
      <c r="C34" s="606"/>
      <c r="D34" s="606"/>
      <c r="E34" s="606"/>
      <c r="F34" s="606"/>
      <c r="G34" s="163">
        <v>1050676.99</v>
      </c>
      <c r="H34" s="163">
        <v>2624320.42</v>
      </c>
      <c r="I34" s="163">
        <v>3354943</v>
      </c>
      <c r="J34" s="163">
        <v>6158096.0800000001</v>
      </c>
      <c r="K34" s="163">
        <v>5020032.2</v>
      </c>
      <c r="L34" s="163">
        <v>3880469.19</v>
      </c>
      <c r="M34" s="163">
        <v>6346746.4199999999</v>
      </c>
      <c r="N34" s="163">
        <v>4228370.29</v>
      </c>
      <c r="O34" s="163">
        <v>4951821.0199999996</v>
      </c>
      <c r="P34" s="163">
        <v>0</v>
      </c>
      <c r="Q34" s="163">
        <v>0</v>
      </c>
      <c r="R34" s="163">
        <v>0</v>
      </c>
      <c r="S34" s="242">
        <f t="shared" si="4"/>
        <v>37615475.609999999</v>
      </c>
      <c r="T34" s="465">
        <f t="shared" si="3"/>
        <v>0.81127282081697794</v>
      </c>
      <c r="U34" s="458"/>
    </row>
    <row r="35" spans="1:21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1714591.59</v>
      </c>
      <c r="L35" s="163">
        <v>1668289.12</v>
      </c>
      <c r="M35" s="163">
        <v>1676187.06</v>
      </c>
      <c r="N35" s="163">
        <v>627370.31000000006</v>
      </c>
      <c r="O35" s="163">
        <v>2494776.16</v>
      </c>
      <c r="P35" s="163">
        <v>0</v>
      </c>
      <c r="Q35" s="163">
        <v>0</v>
      </c>
      <c r="R35" s="163">
        <v>0</v>
      </c>
      <c r="S35" s="242">
        <f t="shared" si="4"/>
        <v>13410729.390000001</v>
      </c>
      <c r="T35" s="465">
        <f t="shared" si="3"/>
        <v>0.2892362806798085</v>
      </c>
      <c r="U35" s="458"/>
    </row>
    <row r="36" spans="1:21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3814971.22</v>
      </c>
      <c r="N36" s="163">
        <v>1656473.82</v>
      </c>
      <c r="O36" s="163">
        <v>14251047.82</v>
      </c>
      <c r="P36" s="163">
        <v>0</v>
      </c>
      <c r="Q36" s="163">
        <v>0</v>
      </c>
      <c r="R36" s="163">
        <v>0</v>
      </c>
      <c r="S36" s="242">
        <f>+SUM(G36:R36)</f>
        <v>78811018.110000014</v>
      </c>
      <c r="T36" s="465">
        <f t="shared" si="3"/>
        <v>1.6997588342751158</v>
      </c>
      <c r="U36" s="458"/>
    </row>
    <row r="37" spans="1:21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0</v>
      </c>
      <c r="Q37" s="163">
        <v>0</v>
      </c>
      <c r="R37" s="163">
        <v>0</v>
      </c>
      <c r="S37" s="242">
        <f t="shared" si="4"/>
        <v>6896387.8600000013</v>
      </c>
      <c r="T37" s="465">
        <f t="shared" si="3"/>
        <v>0.14873803778630895</v>
      </c>
      <c r="U37" s="458"/>
    </row>
    <row r="38" spans="1:21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1282909.52</v>
      </c>
      <c r="O38" s="163">
        <v>5015730.92</v>
      </c>
      <c r="P38" s="163">
        <v>0</v>
      </c>
      <c r="Q38" s="163">
        <v>0</v>
      </c>
      <c r="R38" s="163">
        <v>0</v>
      </c>
      <c r="S38" s="242">
        <f t="shared" si="4"/>
        <v>25345693.82</v>
      </c>
      <c r="T38" s="465">
        <f t="shared" si="3"/>
        <v>0.54664395936677734</v>
      </c>
      <c r="U38" s="458"/>
    </row>
    <row r="39" spans="1:21" s="362" customFormat="1">
      <c r="A39" s="361">
        <v>419</v>
      </c>
      <c r="B39" s="605" t="str">
        <f>+VLOOKUP($A39,Master!$D$29:$G$225,4,FALSE)</f>
        <v>Ostali izdaci</v>
      </c>
      <c r="C39" s="606"/>
      <c r="D39" s="606"/>
      <c r="E39" s="606"/>
      <c r="F39" s="606"/>
      <c r="G39" s="163">
        <v>792964.83</v>
      </c>
      <c r="H39" s="163">
        <v>2319889.5099999998</v>
      </c>
      <c r="I39" s="163">
        <v>3429558.98</v>
      </c>
      <c r="J39" s="163">
        <v>2708059.43</v>
      </c>
      <c r="K39" s="163">
        <v>2598767.04</v>
      </c>
      <c r="L39" s="163">
        <v>2772575.41</v>
      </c>
      <c r="M39" s="163">
        <v>1915162.21</v>
      </c>
      <c r="N39" s="163">
        <v>1967072.1</v>
      </c>
      <c r="O39" s="163">
        <v>3561249.92</v>
      </c>
      <c r="P39" s="163">
        <v>0</v>
      </c>
      <c r="Q39" s="163">
        <v>0</v>
      </c>
      <c r="R39" s="163">
        <v>0</v>
      </c>
      <c r="S39" s="242">
        <f t="shared" si="4"/>
        <v>22065299.43</v>
      </c>
      <c r="T39" s="465">
        <f t="shared" si="3"/>
        <v>0.47589396173920545</v>
      </c>
      <c r="U39" s="458"/>
    </row>
    <row r="40" spans="1:21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490">
        <f t="shared" si="4"/>
        <v>422331123.44999987</v>
      </c>
      <c r="T40" s="491">
        <f t="shared" si="3"/>
        <v>9.1086383006944711</v>
      </c>
      <c r="U40" s="242"/>
    </row>
    <row r="41" spans="1:21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0</v>
      </c>
      <c r="Q41" s="163">
        <v>0</v>
      </c>
      <c r="R41" s="163">
        <v>0</v>
      </c>
      <c r="S41" s="242">
        <f t="shared" si="4"/>
        <v>60873295.140000001</v>
      </c>
      <c r="T41" s="465">
        <f t="shared" si="3"/>
        <v>1.3128864931199586</v>
      </c>
      <c r="U41" s="458"/>
    </row>
    <row r="42" spans="1:21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0</v>
      </c>
      <c r="Q42" s="163">
        <v>0</v>
      </c>
      <c r="R42" s="163">
        <v>0</v>
      </c>
      <c r="S42" s="242">
        <f t="shared" si="4"/>
        <v>16588610.18</v>
      </c>
      <c r="T42" s="465">
        <f t="shared" si="3"/>
        <v>0.35777531337618079</v>
      </c>
      <c r="U42" s="458"/>
    </row>
    <row r="43" spans="1:21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0</v>
      </c>
      <c r="Q43" s="163">
        <v>0</v>
      </c>
      <c r="R43" s="163">
        <v>0</v>
      </c>
      <c r="S43" s="242">
        <f t="shared" si="4"/>
        <v>323490509.56</v>
      </c>
      <c r="T43" s="465">
        <f t="shared" si="3"/>
        <v>6.9768906000086268</v>
      </c>
      <c r="U43" s="458"/>
    </row>
    <row r="44" spans="1:21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0</v>
      </c>
      <c r="Q44" s="163">
        <v>0</v>
      </c>
      <c r="R44" s="163">
        <v>0</v>
      </c>
      <c r="S44" s="242">
        <f t="shared" si="4"/>
        <v>13588227.629999999</v>
      </c>
      <c r="T44" s="465">
        <f t="shared" si="3"/>
        <v>0.29306447892852516</v>
      </c>
      <c r="U44" s="458"/>
    </row>
    <row r="45" spans="1:21" s="362" customFormat="1">
      <c r="A45" s="361">
        <v>425</v>
      </c>
      <c r="B45" s="601" t="str">
        <f>+VLOOKUP($A45,Master!$D$29:$G$225,4,FALSE)</f>
        <v>Ostala prava iz zdravstvenog osiguranja</v>
      </c>
      <c r="C45" s="602"/>
      <c r="D45" s="602"/>
      <c r="E45" s="602"/>
      <c r="F45" s="602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0</v>
      </c>
      <c r="Q45" s="163">
        <v>0</v>
      </c>
      <c r="R45" s="163">
        <v>0</v>
      </c>
      <c r="S45" s="242">
        <f t="shared" si="4"/>
        <v>7790480.9400000004</v>
      </c>
      <c r="T45" s="465">
        <f t="shared" si="3"/>
        <v>0.16802141526118278</v>
      </c>
      <c r="U45" s="458"/>
    </row>
    <row r="46" spans="1:21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v>12392775.73</v>
      </c>
      <c r="H46" s="175">
        <v>21090087.879999999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18907470.68</v>
      </c>
      <c r="N46" s="175">
        <v>16083684.529999999</v>
      </c>
      <c r="O46" s="175">
        <v>26541391.52</v>
      </c>
      <c r="P46" s="175">
        <v>0</v>
      </c>
      <c r="Q46" s="175">
        <v>0</v>
      </c>
      <c r="R46" s="175">
        <v>0</v>
      </c>
      <c r="S46" s="243">
        <f t="shared" si="4"/>
        <v>180169476</v>
      </c>
      <c r="T46" s="466">
        <f t="shared" si="3"/>
        <v>3.8858102057542165</v>
      </c>
      <c r="U46" s="482"/>
    </row>
    <row r="47" spans="1:21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0</v>
      </c>
      <c r="Q47" s="175">
        <v>0</v>
      </c>
      <c r="R47" s="175">
        <v>0</v>
      </c>
      <c r="S47" s="243">
        <f t="shared" si="4"/>
        <v>107755958.25</v>
      </c>
      <c r="T47" s="466">
        <f t="shared" si="3"/>
        <v>2.324029639175258</v>
      </c>
      <c r="U47" s="482"/>
    </row>
    <row r="48" spans="1:21">
      <c r="A48" s="150">
        <v>451</v>
      </c>
      <c r="B48" s="603" t="str">
        <f>+VLOOKUP($A48,Master!$D$29:$G$225,4,FALSE)</f>
        <v>Pozajmice i krediti</v>
      </c>
      <c r="C48" s="604"/>
      <c r="D48" s="604"/>
      <c r="E48" s="604"/>
      <c r="F48" s="604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828780</v>
      </c>
      <c r="T48" s="465">
        <f t="shared" si="3"/>
        <v>1.7874735797782856E-2</v>
      </c>
      <c r="U48" s="482"/>
    </row>
    <row r="49" spans="1:21" s="362" customFormat="1">
      <c r="A49" s="361">
        <v>47</v>
      </c>
      <c r="B49" s="595" t="str">
        <f>+VLOOKUP($A49,Master!$D$29:$G$225,4,FALSE)</f>
        <v>Rezerve</v>
      </c>
      <c r="C49" s="596"/>
      <c r="D49" s="596"/>
      <c r="E49" s="596"/>
      <c r="F49" s="596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0</v>
      </c>
      <c r="Q49" s="163">
        <v>0</v>
      </c>
      <c r="R49" s="163">
        <v>0</v>
      </c>
      <c r="S49" s="242">
        <f t="shared" si="4"/>
        <v>57756336.199999996</v>
      </c>
      <c r="T49" s="465">
        <f t="shared" si="3"/>
        <v>1.2456613941250054</v>
      </c>
      <c r="U49" s="482"/>
    </row>
    <row r="50" spans="1:21" ht="13.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5">
        <f t="shared" si="3"/>
        <v>0.16631264461027476</v>
      </c>
      <c r="U50" s="482"/>
    </row>
    <row r="51" spans="1:21" ht="13.5" thickBot="1">
      <c r="A51" s="144">
        <v>4630</v>
      </c>
      <c r="B51" s="597" t="str">
        <f>+VLOOKUP($A51,Master!$D$29:$G$225,4,TRUE)</f>
        <v>Otplata obaveza iz prethodnog perioda</v>
      </c>
      <c r="C51" s="598"/>
      <c r="D51" s="598"/>
      <c r="E51" s="598"/>
      <c r="F51" s="598"/>
      <c r="G51" s="459">
        <v>1018944.7</v>
      </c>
      <c r="H51" s="459">
        <v>1642283.23</v>
      </c>
      <c r="I51" s="459">
        <v>1594695.57</v>
      </c>
      <c r="J51" s="459">
        <v>1366097.79</v>
      </c>
      <c r="K51" s="459">
        <v>11033574.689999999</v>
      </c>
      <c r="L51" s="459">
        <v>1293176.52</v>
      </c>
      <c r="M51" s="459">
        <v>1500471</v>
      </c>
      <c r="N51" s="459">
        <v>732375.88</v>
      </c>
      <c r="O51" s="459">
        <v>977597.05</v>
      </c>
      <c r="P51" s="459">
        <v>0</v>
      </c>
      <c r="Q51" s="459">
        <v>0</v>
      </c>
      <c r="R51" s="460">
        <v>0</v>
      </c>
      <c r="S51" s="426">
        <f>+SUM(G51:R51)</f>
        <v>21159216.43</v>
      </c>
      <c r="T51" s="469">
        <f t="shared" si="3"/>
        <v>0.45635199132985377</v>
      </c>
      <c r="U51" s="482"/>
    </row>
    <row r="52" spans="1:21" ht="13.5" thickBot="1">
      <c r="A52" s="70">
        <v>1005</v>
      </c>
      <c r="B52" s="599" t="str">
        <f>+VLOOKUP($A52,Master!$D$29:$G$227,4,FALSE)</f>
        <v>Neto povećanje obaveza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9">+G10-G29</f>
        <v>-38751394.929999992</v>
      </c>
      <c r="H53" s="151">
        <f t="shared" si="9"/>
        <v>-54298199.270000026</v>
      </c>
      <c r="I53" s="151">
        <f t="shared" si="9"/>
        <v>-10352779.170000017</v>
      </c>
      <c r="J53" s="151">
        <f t="shared" si="9"/>
        <v>-40138037.24999997</v>
      </c>
      <c r="K53" s="151">
        <f t="shared" si="9"/>
        <v>-19589337.230000019</v>
      </c>
      <c r="L53" s="151">
        <f t="shared" si="9"/>
        <v>3002455.6600000262</v>
      </c>
      <c r="M53" s="151">
        <f t="shared" si="9"/>
        <v>41197255.299999982</v>
      </c>
      <c r="N53" s="151">
        <f t="shared" si="9"/>
        <v>60851385.280000001</v>
      </c>
      <c r="O53" s="151">
        <f t="shared" si="9"/>
        <v>-6598658.1599999964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-64677309.770000011</v>
      </c>
      <c r="T53" s="471">
        <f t="shared" si="3"/>
        <v>-1.3949296848984172</v>
      </c>
    </row>
    <row r="54" spans="1:21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10">+G53+G36</f>
        <v>-31173909.859999992</v>
      </c>
      <c r="H54" s="205">
        <f t="shared" si="10"/>
        <v>-52334008.890000023</v>
      </c>
      <c r="I54" s="205">
        <f t="shared" si="10"/>
        <v>4435203.3999999836</v>
      </c>
      <c r="J54" s="205">
        <f t="shared" si="10"/>
        <v>-17369525.289999969</v>
      </c>
      <c r="K54" s="205">
        <f t="shared" si="10"/>
        <v>-12889036.390000019</v>
      </c>
      <c r="L54" s="205">
        <f t="shared" si="10"/>
        <v>8292510.0900000259</v>
      </c>
      <c r="M54" s="205">
        <f t="shared" si="10"/>
        <v>45012226.519999981</v>
      </c>
      <c r="N54" s="205">
        <f t="shared" si="10"/>
        <v>62507859.100000001</v>
      </c>
      <c r="O54" s="205">
        <f t="shared" si="10"/>
        <v>7652389.6600000039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14133708.340000018</v>
      </c>
      <c r="T54" s="471">
        <f t="shared" si="3"/>
        <v>0.30482914937669886</v>
      </c>
    </row>
    <row r="55" spans="1:21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4876050.96</v>
      </c>
      <c r="O55" s="193">
        <f t="shared" si="11"/>
        <v>11336186.489999998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392129648.79000002</v>
      </c>
      <c r="T55" s="472">
        <f t="shared" si="3"/>
        <v>8.4572671524392877</v>
      </c>
    </row>
    <row r="56" spans="1:21">
      <c r="A56" s="144">
        <v>4611</v>
      </c>
      <c r="B56" s="520" t="str">
        <f>+VLOOKUP($A56,Master!$D$29:$G$225,4,FALSE)</f>
        <v>Otplata hartija od vrijednosti i kredita rezidentima</v>
      </c>
      <c r="C56" s="521"/>
      <c r="D56" s="521"/>
      <c r="E56" s="521"/>
      <c r="F56" s="521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0</v>
      </c>
      <c r="Q56" s="211">
        <v>0</v>
      </c>
      <c r="R56" s="211">
        <v>0</v>
      </c>
      <c r="S56" s="250">
        <f t="shared" si="4"/>
        <v>70336811.780000001</v>
      </c>
      <c r="T56" s="473">
        <f t="shared" si="3"/>
        <v>1.5169911525686925</v>
      </c>
    </row>
    <row r="57" spans="1:21" ht="13.5" thickBot="1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3126003.21</v>
      </c>
      <c r="O57" s="211">
        <v>8914918.6199999992</v>
      </c>
      <c r="P57" s="211">
        <v>0</v>
      </c>
      <c r="Q57" s="211">
        <v>0</v>
      </c>
      <c r="R57" s="211">
        <v>0</v>
      </c>
      <c r="S57" s="250">
        <f t="shared" si="4"/>
        <v>321792837.00999999</v>
      </c>
      <c r="T57" s="473">
        <f t="shared" si="3"/>
        <v>6.940275999870595</v>
      </c>
    </row>
    <row r="58" spans="1:21" ht="13.5" thickBot="1">
      <c r="A58" s="144">
        <v>4418</v>
      </c>
      <c r="B58" s="542" t="str">
        <f>+VLOOKUP($A58,Master!$D$29:$G$225,4,FALSE)</f>
        <v>Izdaci za kupovinu hartija od vrijednosti</v>
      </c>
      <c r="C58" s="543"/>
      <c r="D58" s="543"/>
      <c r="E58" s="543"/>
      <c r="F58" s="543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217">
        <f>+G53-G55-G58</f>
        <v>-62082163.749999993</v>
      </c>
      <c r="H59" s="217">
        <f t="shared" ref="H59:R59" si="12">+H53-H55-H58</f>
        <v>-78553220.620000035</v>
      </c>
      <c r="I59" s="217">
        <f t="shared" si="12"/>
        <v>-249136550.41000003</v>
      </c>
      <c r="J59" s="217">
        <f t="shared" si="12"/>
        <v>-72991500.509999961</v>
      </c>
      <c r="K59" s="217">
        <f t="shared" si="12"/>
        <v>-35872165.150000021</v>
      </c>
      <c r="L59" s="217">
        <f t="shared" si="12"/>
        <v>-12050427.939999975</v>
      </c>
      <c r="M59" s="217">
        <f t="shared" si="12"/>
        <v>15838580.14999998</v>
      </c>
      <c r="N59" s="217">
        <f t="shared" si="12"/>
        <v>55975334.32</v>
      </c>
      <c r="O59" s="217">
        <f t="shared" si="12"/>
        <v>-17934844.649999995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-456806958.56000012</v>
      </c>
      <c r="T59" s="475">
        <f t="shared" si="3"/>
        <v>-9.852196837337706</v>
      </c>
    </row>
    <row r="60" spans="1:21" ht="13.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+SUM(G61:G64)</f>
        <v>62082163.749999993</v>
      </c>
      <c r="H60" s="151">
        <f t="shared" ref="H60:R60" si="13">+SUM(H61:H64)</f>
        <v>78553220.620000035</v>
      </c>
      <c r="I60" s="151">
        <f t="shared" si="13"/>
        <v>249136550.41000003</v>
      </c>
      <c r="J60" s="151">
        <f t="shared" si="13"/>
        <v>72991500.509999961</v>
      </c>
      <c r="K60" s="151">
        <f t="shared" si="13"/>
        <v>35872165.150000021</v>
      </c>
      <c r="L60" s="151">
        <f t="shared" si="13"/>
        <v>12050427.939999975</v>
      </c>
      <c r="M60" s="151">
        <f t="shared" si="13"/>
        <v>-15838580.14999998</v>
      </c>
      <c r="N60" s="151">
        <f t="shared" si="13"/>
        <v>-55975334.32</v>
      </c>
      <c r="O60" s="151">
        <f t="shared" si="13"/>
        <v>17934844.649999995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456806958.56000012</v>
      </c>
      <c r="T60" s="476">
        <f t="shared" si="3"/>
        <v>9.852196837337706</v>
      </c>
    </row>
    <row r="61" spans="1:21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211">
        <v>8076079.9500000002</v>
      </c>
      <c r="H62" s="211">
        <v>4169340.21</v>
      </c>
      <c r="I62" s="211">
        <v>1548064.41</v>
      </c>
      <c r="J62" s="211">
        <v>15210844.41</v>
      </c>
      <c r="K62" s="211">
        <v>1564528.45</v>
      </c>
      <c r="L62" s="211">
        <v>33570334.609999999</v>
      </c>
      <c r="M62" s="489">
        <v>4696156.91</v>
      </c>
      <c r="N62" s="211">
        <v>1567009.93</v>
      </c>
      <c r="O62" s="211">
        <v>4786825.9000000004</v>
      </c>
      <c r="P62" s="211">
        <v>0</v>
      </c>
      <c r="Q62" s="211">
        <v>0</v>
      </c>
      <c r="R62" s="211">
        <v>0</v>
      </c>
      <c r="S62" s="250">
        <f t="shared" si="4"/>
        <v>75189184.780000016</v>
      </c>
      <c r="T62" s="473">
        <f t="shared" si="3"/>
        <v>1.6216448427727217</v>
      </c>
    </row>
    <row r="63" spans="1:21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9">
        <v>183425.54</v>
      </c>
      <c r="N63" s="211">
        <v>207661.26</v>
      </c>
      <c r="O63" s="211">
        <v>176272.14</v>
      </c>
      <c r="P63" s="211">
        <v>0</v>
      </c>
      <c r="Q63" s="211">
        <v>0</v>
      </c>
      <c r="R63" s="211">
        <v>0</v>
      </c>
      <c r="S63" s="250">
        <f t="shared" si="4"/>
        <v>1236923.0100000002</v>
      </c>
      <c r="T63" s="473">
        <f t="shared" si="3"/>
        <v>2.6677371565371186E-2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53971335.18999999</v>
      </c>
      <c r="H64" s="225">
        <f t="shared" ref="H64:R64" si="14">-H59-SUM(H61:H63)</f>
        <v>74354312.080000028</v>
      </c>
      <c r="I64" s="225">
        <f t="shared" si="14"/>
        <v>247536321.61000001</v>
      </c>
      <c r="J64" s="225">
        <f t="shared" si="14"/>
        <v>57741404.129999958</v>
      </c>
      <c r="K64" s="225">
        <f t="shared" si="14"/>
        <v>34010485.130000018</v>
      </c>
      <c r="L64" s="225">
        <f t="shared" si="14"/>
        <v>-21736585.870000027</v>
      </c>
      <c r="M64" s="225">
        <f t="shared" si="14"/>
        <v>-20718162.599999979</v>
      </c>
      <c r="N64" s="225">
        <f t="shared" si="14"/>
        <v>-57750005.509999998</v>
      </c>
      <c r="O64" s="225">
        <f t="shared" si="14"/>
        <v>12971746.609999996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380380850.76999998</v>
      </c>
      <c r="T64" s="477">
        <f t="shared" si="3"/>
        <v>8.2038746229996118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84" t="str">
        <f>+Master!G252</f>
        <v>Plan ostvarenja budžeta</v>
      </c>
      <c r="C81" s="585"/>
      <c r="D81" s="585"/>
      <c r="E81" s="585"/>
      <c r="F81" s="585"/>
      <c r="G81" s="592">
        <v>2021</v>
      </c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4"/>
      <c r="S81" s="107" t="str">
        <f>+S7</f>
        <v>BDP</v>
      </c>
      <c r="T81" s="108">
        <v>4636600000</v>
      </c>
    </row>
    <row r="82" spans="1:21" ht="15.75" customHeight="1">
      <c r="B82" s="586"/>
      <c r="C82" s="587"/>
      <c r="D82" s="587"/>
      <c r="E82" s="587"/>
      <c r="F82" s="588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92" t="str">
        <f>+Master!G246</f>
        <v>Jan - Dec</v>
      </c>
      <c r="T82" s="594">
        <f>+T8</f>
        <v>0</v>
      </c>
    </row>
    <row r="83" spans="1:21" ht="13.5" thickBot="1">
      <c r="B83" s="589"/>
      <c r="C83" s="590"/>
      <c r="D83" s="590"/>
      <c r="E83" s="590"/>
      <c r="F83" s="591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80" t="str">
        <f>+VLOOKUP(LEFT($A84,LEN(A84)-1)*1,Master!$D$29:$G$225,4,FALSE)</f>
        <v>Prihodi budžeta</v>
      </c>
      <c r="C84" s="581"/>
      <c r="D84" s="581"/>
      <c r="E84" s="581"/>
      <c r="F84" s="581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4">
        <f>+SUM(G84:R84)</f>
        <v>1880205845.3399</v>
      </c>
      <c r="T84" s="478">
        <f>+S84/$T$81*100</f>
        <v>40.551392083421042</v>
      </c>
      <c r="U84" s="257"/>
    </row>
    <row r="85" spans="1:21">
      <c r="A85" s="116" t="str">
        <f t="shared" si="17"/>
        <v>711p</v>
      </c>
      <c r="B85" s="582" t="str">
        <f>+VLOOKUP(LEFT($A85,LEN(A85)-1)*1,Master!$D$29:$G$225,4,FALSE)</f>
        <v>Porezi</v>
      </c>
      <c r="C85" s="583"/>
      <c r="D85" s="583"/>
      <c r="E85" s="583"/>
      <c r="F85" s="583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4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0" t="str">
        <f>+VLOOKUP(LEFT($A86,LEN(A86)-1)*1,Master!$D$29:$G$228,4,FALSE)</f>
        <v>Porez na dohodak fizičkih lica</v>
      </c>
      <c r="C86" s="571"/>
      <c r="D86" s="571"/>
      <c r="E86" s="571"/>
      <c r="F86" s="571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5">
        <f t="shared" si="21"/>
        <v>3.342095146967782</v>
      </c>
    </row>
    <row r="87" spans="1:21">
      <c r="A87" s="116" t="str">
        <f t="shared" si="17"/>
        <v>7112p</v>
      </c>
      <c r="B87" s="570" t="str">
        <f>+VLOOKUP(LEFT($A87,LEN(A87)-1)*1,Master!$D$29:$G$228,4,FALSE)</f>
        <v>Porez na dobit pravnih lica</v>
      </c>
      <c r="C87" s="571"/>
      <c r="D87" s="571"/>
      <c r="E87" s="571"/>
      <c r="F87" s="571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5">
        <f t="shared" si="21"/>
        <v>1.2943922881014109</v>
      </c>
    </row>
    <row r="88" spans="1:21">
      <c r="A88" s="116" t="str">
        <f t="shared" si="17"/>
        <v>7113p</v>
      </c>
      <c r="B88" s="570" t="str">
        <f>+VLOOKUP(LEFT($A88,LEN(A88)-1)*1,Master!$D$29:$G$228,4,FALSE)</f>
        <v>Porez na promet nepokretnosti</v>
      </c>
      <c r="C88" s="571"/>
      <c r="D88" s="571"/>
      <c r="E88" s="571"/>
      <c r="F88" s="571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5">
        <f t="shared" si="21"/>
        <v>3.4703770606910232E-2</v>
      </c>
    </row>
    <row r="89" spans="1:21">
      <c r="A89" s="116" t="str">
        <f t="shared" si="17"/>
        <v>7114p</v>
      </c>
      <c r="B89" s="570" t="str">
        <f>+VLOOKUP(LEFT($A89,LEN(A89)-1)*1,Master!$D$29:$G$228,4,FALSE)</f>
        <v>Porez na dodatu vrijednost</v>
      </c>
      <c r="C89" s="571"/>
      <c r="D89" s="571"/>
      <c r="E89" s="571"/>
      <c r="F89" s="571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5">
        <f t="shared" si="21"/>
        <v>13.195240452948015</v>
      </c>
    </row>
    <row r="90" spans="1:21">
      <c r="A90" s="116" t="str">
        <f t="shared" si="17"/>
        <v>7115p</v>
      </c>
      <c r="B90" s="570" t="str">
        <f>+VLOOKUP(LEFT($A90,LEN(A90)-1)*1,Master!$D$29:$G$228,4,FALSE)</f>
        <v>Akcize</v>
      </c>
      <c r="C90" s="571"/>
      <c r="D90" s="571"/>
      <c r="E90" s="571"/>
      <c r="F90" s="571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5">
        <f t="shared" si="21"/>
        <v>5.1970907056571622</v>
      </c>
    </row>
    <row r="91" spans="1:21">
      <c r="A91" s="116" t="str">
        <f t="shared" si="17"/>
        <v>7116p</v>
      </c>
      <c r="B91" s="570" t="str">
        <f>+VLOOKUP(LEFT($A91,LEN(A91)-1)*1,Master!$D$29:$G$228,4,FALSE)</f>
        <v>Porez na međunarodnu trgovinu i transakcije</v>
      </c>
      <c r="C91" s="571"/>
      <c r="D91" s="571"/>
      <c r="E91" s="571"/>
      <c r="F91" s="571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5">
        <f t="shared" si="21"/>
        <v>0.53454626393521121</v>
      </c>
    </row>
    <row r="92" spans="1:21">
      <c r="A92" s="116" t="str">
        <f t="shared" si="17"/>
        <v>7118p</v>
      </c>
      <c r="B92" s="570" t="str">
        <f>+VLOOKUP(LEFT($A92,LEN(A92)-1)*1,Master!$D$29:$G$228,4,FALSE)</f>
        <v>Ostali državni porezi</v>
      </c>
      <c r="C92" s="571"/>
      <c r="D92" s="571"/>
      <c r="E92" s="571"/>
      <c r="F92" s="571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5">
        <f t="shared" si="21"/>
        <v>0.23596029916404263</v>
      </c>
    </row>
    <row r="93" spans="1:21">
      <c r="A93" s="116" t="str">
        <f t="shared" si="17"/>
        <v>712p</v>
      </c>
      <c r="B93" s="578" t="str">
        <f>+VLOOKUP(LEFT($A93,LEN(A93)-1)*1,Master!$D$29:$G$228,4,FALSE)</f>
        <v>Doprinosi</v>
      </c>
      <c r="C93" s="579"/>
      <c r="D93" s="579"/>
      <c r="E93" s="579"/>
      <c r="F93" s="579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6">
        <f t="shared" si="21"/>
        <v>12.548878564749469</v>
      </c>
    </row>
    <row r="94" spans="1:21">
      <c r="A94" s="116" t="str">
        <f t="shared" si="17"/>
        <v>7121p</v>
      </c>
      <c r="B94" s="570" t="str">
        <f>+VLOOKUP(LEFT($A94,LEN(A94)-1)*1,Master!$D$29:$G$228,4,FALSE)</f>
        <v>Doprinosi za penzijsko i invalidsko osiguranje</v>
      </c>
      <c r="C94" s="571"/>
      <c r="D94" s="571"/>
      <c r="E94" s="571"/>
      <c r="F94" s="571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5">
        <f t="shared" si="21"/>
        <v>7.8081986886007</v>
      </c>
    </row>
    <row r="95" spans="1:21">
      <c r="A95" s="116" t="str">
        <f t="shared" si="17"/>
        <v>7122p</v>
      </c>
      <c r="B95" s="570" t="str">
        <f>+VLOOKUP(LEFT($A95,LEN(A95)-1)*1,Master!$D$29:$G$228,4,FALSE)</f>
        <v>Doprinosi za zdravstveno osiguranje</v>
      </c>
      <c r="C95" s="571"/>
      <c r="D95" s="571"/>
      <c r="E95" s="571"/>
      <c r="F95" s="571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5">
        <f t="shared" si="21"/>
        <v>4.0418037813006764</v>
      </c>
    </row>
    <row r="96" spans="1:21">
      <c r="A96" s="116" t="str">
        <f t="shared" si="17"/>
        <v>7123p</v>
      </c>
      <c r="B96" s="570" t="str">
        <f>+VLOOKUP(LEFT($A96,LEN(A96)-1)*1,Master!$D$29:$G$228,4,FALSE)</f>
        <v>Doprinosi za osiguranje od nezaposlenosti</v>
      </c>
      <c r="C96" s="571"/>
      <c r="D96" s="571"/>
      <c r="E96" s="571"/>
      <c r="F96" s="571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5">
        <f t="shared" si="21"/>
        <v>0.37739904074144265</v>
      </c>
    </row>
    <row r="97" spans="1:23">
      <c r="A97" s="116" t="str">
        <f t="shared" si="17"/>
        <v>7124p</v>
      </c>
      <c r="B97" s="570" t="str">
        <f>+VLOOKUP(LEFT($A97,LEN(A97)-1)*1,Master!$D$29:$G$228,4,FALSE)</f>
        <v>Ostali doprinosi</v>
      </c>
      <c r="C97" s="571"/>
      <c r="D97" s="571"/>
      <c r="E97" s="571"/>
      <c r="F97" s="571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5">
        <f t="shared" si="21"/>
        <v>0.32147705410665273</v>
      </c>
    </row>
    <row r="98" spans="1:23">
      <c r="A98" s="116" t="str">
        <f t="shared" si="17"/>
        <v>713p</v>
      </c>
      <c r="B98" s="576" t="str">
        <f>+VLOOKUP(LEFT($A98,LEN(A98)-1)*1,Master!$D$29:$G$228,4,FALSE)</f>
        <v>Takse</v>
      </c>
      <c r="C98" s="577"/>
      <c r="D98" s="577"/>
      <c r="E98" s="577"/>
      <c r="F98" s="577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6">
        <f t="shared" si="21"/>
        <v>0.27557339372126122</v>
      </c>
    </row>
    <row r="99" spans="1:23">
      <c r="A99" s="116" t="str">
        <f t="shared" si="17"/>
        <v>714p</v>
      </c>
      <c r="B99" s="576" t="str">
        <f>+VLOOKUP(LEFT($A99,LEN(A99)-1)*1,Master!$D$29:$G$228,4,FALSE)</f>
        <v>Naknade</v>
      </c>
      <c r="C99" s="577"/>
      <c r="D99" s="577"/>
      <c r="E99" s="577"/>
      <c r="F99" s="577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6">
        <f t="shared" si="21"/>
        <v>0.87442029964197865</v>
      </c>
    </row>
    <row r="100" spans="1:23">
      <c r="A100" s="116" t="str">
        <f t="shared" si="17"/>
        <v>715p</v>
      </c>
      <c r="B100" s="576" t="str">
        <f>+VLOOKUP(LEFT($A100,LEN(A100)-1)*1,Master!$D$29:$G$228,4,FALSE)</f>
        <v>Ostali prihodi</v>
      </c>
      <c r="C100" s="577"/>
      <c r="D100" s="577"/>
      <c r="E100" s="577"/>
      <c r="F100" s="577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6">
        <f t="shared" si="21"/>
        <v>1.4196769637950202</v>
      </c>
    </row>
    <row r="101" spans="1:23">
      <c r="A101" s="116" t="str">
        <f t="shared" si="17"/>
        <v>73p</v>
      </c>
      <c r="B101" s="576" t="str">
        <f>+VLOOKUP(LEFT($A101,LEN(A101)-1)*1,Master!$D$29:$G$228,4,FALSE)</f>
        <v>Primici od otplate kredita i sredstva prenesena iz prethodne godine</v>
      </c>
      <c r="C101" s="577"/>
      <c r="D101" s="577"/>
      <c r="E101" s="577"/>
      <c r="F101" s="577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6">
        <f t="shared" si="21"/>
        <v>0.19907921041280252</v>
      </c>
    </row>
    <row r="102" spans="1:23" ht="13.5" thickBot="1">
      <c r="A102" s="116" t="str">
        <f t="shared" si="17"/>
        <v>74p</v>
      </c>
      <c r="B102" s="572" t="str">
        <f>+VLOOKUP(LEFT($A102,LEN(A102)-1)*1,Master!$D$29:$G$228,4,FALSE)</f>
        <v>Donacije i transferi</v>
      </c>
      <c r="C102" s="573"/>
      <c r="D102" s="573"/>
      <c r="E102" s="573"/>
      <c r="F102" s="573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7">
        <f t="shared" si="21"/>
        <v>1.3997347237199673</v>
      </c>
    </row>
    <row r="103" spans="1:23" ht="13.5" thickBot="1">
      <c r="A103" s="116" t="str">
        <f t="shared" si="17"/>
        <v>4p</v>
      </c>
      <c r="B103" s="554" t="str">
        <f>+VLOOKUP(LEFT($A103,LEN(A103)-1)*1,Master!$D$29:$G$228,4,FALSE)</f>
        <v>Izdaci budžeta</v>
      </c>
      <c r="C103" s="555"/>
      <c r="D103" s="555"/>
      <c r="E103" s="555"/>
      <c r="F103" s="555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2">
        <f>+SUM(G103:R103)</f>
        <v>2055535193.0642829</v>
      </c>
      <c r="T103" s="479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74" t="str">
        <f>+VLOOKUP(LEFT($A104,LEN(A104)-1)*1,Master!$D$29:$G$228,4,FALSE)</f>
        <v>Tekući izdaci</v>
      </c>
      <c r="C104" s="575"/>
      <c r="D104" s="575"/>
      <c r="E104" s="575"/>
      <c r="F104" s="575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4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0" t="str">
        <f>+VLOOKUP(LEFT($A105,LEN(A105)-1)*1,Master!$D$29:$G$228,4,FALSE)</f>
        <v>Bruto zarade i doprinosi na teret poslodavca</v>
      </c>
      <c r="C105" s="571"/>
      <c r="D105" s="571"/>
      <c r="E105" s="571"/>
      <c r="F105" s="571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5">
        <f t="shared" si="21"/>
        <v>11.278641018850019</v>
      </c>
    </row>
    <row r="106" spans="1:23">
      <c r="A106" s="116" t="str">
        <f t="shared" si="17"/>
        <v>412p</v>
      </c>
      <c r="B106" s="570" t="str">
        <f>+VLOOKUP(LEFT($A106,LEN(A106)-1)*1,Master!$D$29:$G$228,4,FALSE)</f>
        <v>Ostala lična primanja</v>
      </c>
      <c r="C106" s="571"/>
      <c r="D106" s="571"/>
      <c r="E106" s="571"/>
      <c r="F106" s="571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5">
        <f t="shared" si="21"/>
        <v>0.26959439934434715</v>
      </c>
    </row>
    <row r="107" spans="1:23">
      <c r="A107" s="116" t="str">
        <f t="shared" si="17"/>
        <v>413p</v>
      </c>
      <c r="B107" s="570" t="str">
        <f>+VLOOKUP(LEFT($A107,LEN(A107)-1)*1,Master!$D$29:$G$228,4,FALSE)</f>
        <v>Rashodi za materijal</v>
      </c>
      <c r="C107" s="571"/>
      <c r="D107" s="571"/>
      <c r="E107" s="571"/>
      <c r="F107" s="571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5">
        <f t="shared" si="21"/>
        <v>0.6893019837812191</v>
      </c>
    </row>
    <row r="108" spans="1:23">
      <c r="A108" s="116" t="str">
        <f t="shared" si="17"/>
        <v>414p</v>
      </c>
      <c r="B108" s="570" t="str">
        <f>+VLOOKUP(LEFT($A108,LEN(A108)-1)*1,Master!$D$29:$G$228,4,FALSE)</f>
        <v>Rashodi za usluge</v>
      </c>
      <c r="C108" s="571"/>
      <c r="D108" s="571"/>
      <c r="E108" s="571"/>
      <c r="F108" s="571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5">
        <f t="shared" si="21"/>
        <v>1.3532731210369666</v>
      </c>
    </row>
    <row r="109" spans="1:23">
      <c r="A109" s="116" t="str">
        <f t="shared" si="17"/>
        <v>415p</v>
      </c>
      <c r="B109" s="570" t="str">
        <f>+VLOOKUP(LEFT($A109,LEN(A109)-1)*1,Master!$D$29:$G$228,4,FALSE)</f>
        <v>Rashodi za tekuće održavanje</v>
      </c>
      <c r="C109" s="571"/>
      <c r="D109" s="571"/>
      <c r="E109" s="571"/>
      <c r="F109" s="571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5">
        <f t="shared" si="21"/>
        <v>0.50341789889142918</v>
      </c>
    </row>
    <row r="110" spans="1:23">
      <c r="A110" s="116" t="str">
        <f t="shared" si="17"/>
        <v>416p</v>
      </c>
      <c r="B110" s="570" t="str">
        <f>+VLOOKUP(LEFT($A110,LEN(A110)-1)*1,Master!$D$29:$G$228,4,FALSE)</f>
        <v>Kamate</v>
      </c>
      <c r="C110" s="571"/>
      <c r="D110" s="571"/>
      <c r="E110" s="571"/>
      <c r="F110" s="571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5">
        <f t="shared" si="21"/>
        <v>2.4387566176569671</v>
      </c>
    </row>
    <row r="111" spans="1:23">
      <c r="A111" s="116" t="str">
        <f t="shared" si="17"/>
        <v>417p</v>
      </c>
      <c r="B111" s="570" t="str">
        <f>+VLOOKUP(LEFT($A111,LEN(A111)-1)*1,Master!$D$29:$G$228,4,FALSE)</f>
        <v>Renta</v>
      </c>
      <c r="C111" s="571"/>
      <c r="D111" s="571"/>
      <c r="E111" s="571"/>
      <c r="F111" s="571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5">
        <f t="shared" si="21"/>
        <v>0.23455438597247985</v>
      </c>
    </row>
    <row r="112" spans="1:23">
      <c r="A112" s="116" t="str">
        <f t="shared" si="17"/>
        <v>418p</v>
      </c>
      <c r="B112" s="570" t="str">
        <f>+VLOOKUP(LEFT($A112,LEN(A112)-1)*1,Master!$D$29:$G$228,4,FALSE)</f>
        <v>Subvencije</v>
      </c>
      <c r="C112" s="571"/>
      <c r="D112" s="571"/>
      <c r="E112" s="571"/>
      <c r="F112" s="571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5">
        <f t="shared" si="21"/>
        <v>1.095014621489885</v>
      </c>
    </row>
    <row r="113" spans="1:22">
      <c r="A113" s="116" t="str">
        <f t="shared" si="17"/>
        <v>419p</v>
      </c>
      <c r="B113" s="570" t="str">
        <f>+VLOOKUP(LEFT($A113,LEN(A113)-1)*1,Master!$D$29:$G$228,4,FALSE)</f>
        <v>Ostali izdaci</v>
      </c>
      <c r="C113" s="571"/>
      <c r="D113" s="571"/>
      <c r="E113" s="571"/>
      <c r="F113" s="571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5">
        <f t="shared" si="21"/>
        <v>0.97937629944355764</v>
      </c>
    </row>
    <row r="114" spans="1:22">
      <c r="A114" s="116" t="str">
        <f t="shared" si="17"/>
        <v>42p</v>
      </c>
      <c r="B114" s="566" t="str">
        <f>+VLOOKUP(LEFT($A114,LEN(A114)-1)*1,Master!$D$29:$G$228,4,FALSE)</f>
        <v>Transferi za socijalnu zaštitu</v>
      </c>
      <c r="C114" s="567"/>
      <c r="D114" s="567"/>
      <c r="E114" s="567"/>
      <c r="F114" s="567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6">
        <f t="shared" si="21"/>
        <v>12.924380405253846</v>
      </c>
    </row>
    <row r="115" spans="1:22">
      <c r="A115" s="116" t="str">
        <f t="shared" si="17"/>
        <v>421p</v>
      </c>
      <c r="B115" s="570" t="str">
        <f>+VLOOKUP(LEFT($A115,LEN(A115)-1)*1,Master!$D$29:$G$228,4,FALSE)</f>
        <v>Prava iz oblasti socijalne zaštite</v>
      </c>
      <c r="C115" s="571"/>
      <c r="D115" s="571"/>
      <c r="E115" s="571"/>
      <c r="F115" s="571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5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0" t="str">
        <f>+VLOOKUP(LEFT($A116,LEN(A116)-1)*1,Master!$D$29:$G$228,4,FALSE)</f>
        <v>Sredstva za tehnološke viškove</v>
      </c>
      <c r="C116" s="571"/>
      <c r="D116" s="571"/>
      <c r="E116" s="571"/>
      <c r="F116" s="571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5">
        <f t="shared" si="21"/>
        <v>0.40028421558900928</v>
      </c>
    </row>
    <row r="117" spans="1:22">
      <c r="A117" s="116" t="str">
        <f t="shared" si="26"/>
        <v>423p</v>
      </c>
      <c r="B117" s="570" t="str">
        <f>+VLOOKUP(LEFT($A117,LEN(A117)-1)*1,Master!$D$29:$G$228,4,FALSE)</f>
        <v>Prava iz oblasti penzijskog i invalidskog osiguranja</v>
      </c>
      <c r="C117" s="571"/>
      <c r="D117" s="571"/>
      <c r="E117" s="571"/>
      <c r="F117" s="571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5">
        <f t="shared" si="21"/>
        <v>9.6073360637104752</v>
      </c>
    </row>
    <row r="118" spans="1:22">
      <c r="A118" s="116" t="str">
        <f t="shared" si="26"/>
        <v>424p</v>
      </c>
      <c r="B118" s="570" t="str">
        <f>+VLOOKUP(LEFT($A118,LEN(A118)-1)*1,Master!$D$29:$G$228,4,FALSE)</f>
        <v>Ostala prava iz oblasti zdravstvene zaštite</v>
      </c>
      <c r="C118" s="571"/>
      <c r="D118" s="571"/>
      <c r="E118" s="571"/>
      <c r="F118" s="571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5">
        <f t="shared" si="21"/>
        <v>0.32998317732821458</v>
      </c>
    </row>
    <row r="119" spans="1:22">
      <c r="A119" s="116" t="str">
        <f t="shared" si="26"/>
        <v>425p</v>
      </c>
      <c r="B119" s="570" t="str">
        <f>+VLOOKUP(LEFT($A119,LEN(A119)-1)*1,Master!$D$29:$G$228,4,FALSE)</f>
        <v>Ostala prava iz zdravstvenog osiguranja</v>
      </c>
      <c r="C119" s="571"/>
      <c r="D119" s="571"/>
      <c r="E119" s="571"/>
      <c r="F119" s="571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5">
        <f t="shared" si="21"/>
        <v>0.24802657119440971</v>
      </c>
    </row>
    <row r="120" spans="1:22">
      <c r="A120" s="116" t="str">
        <f t="shared" si="26"/>
        <v>43p</v>
      </c>
      <c r="B120" s="568" t="str">
        <f>+VLOOKUP(LEFT($A120,LEN(A120)-1)*1,Master!$D$29:$G$228,4,FALSE)</f>
        <v xml:space="preserve">Transferi institucijama, pojedincima, nevladinom i javnom sektoru </v>
      </c>
      <c r="C120" s="569"/>
      <c r="D120" s="569"/>
      <c r="E120" s="569"/>
      <c r="F120" s="569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6">
        <f t="shared" si="21"/>
        <v>5.6085441784928598</v>
      </c>
    </row>
    <row r="121" spans="1:22">
      <c r="A121" s="116" t="str">
        <f t="shared" si="26"/>
        <v>44p</v>
      </c>
      <c r="B121" s="568" t="str">
        <f>+VLOOKUP(LEFT($A121,LEN(A121)-1)*1,Master!$D$29:$G$228,4,FALSE)</f>
        <v>Kapitalni izdaci</v>
      </c>
      <c r="C121" s="569"/>
      <c r="D121" s="569"/>
      <c r="E121" s="569"/>
      <c r="F121" s="569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6">
        <f t="shared" si="21"/>
        <v>5.0803331212526421</v>
      </c>
    </row>
    <row r="122" spans="1:22">
      <c r="A122" s="116" t="str">
        <f t="shared" si="26"/>
        <v>451p</v>
      </c>
      <c r="B122" s="560" t="str">
        <f>+VLOOKUP(LEFT($A122,LEN(A122)-1)*1,Master!$D$29:$G$228,4,FALSE)</f>
        <v>Pozajmice i krediti</v>
      </c>
      <c r="C122" s="561"/>
      <c r="D122" s="561"/>
      <c r="E122" s="561"/>
      <c r="F122" s="561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5">
        <f t="shared" si="21"/>
        <v>3.3515959970668155E-2</v>
      </c>
    </row>
    <row r="123" spans="1:22">
      <c r="A123" s="116" t="str">
        <f t="shared" si="26"/>
        <v>47p</v>
      </c>
      <c r="B123" s="560" t="str">
        <f>+VLOOKUP(LEFT($A123,LEN(A123)-1)*1,Master!$D$29:$G$228,4,FALSE)</f>
        <v>Rezerve</v>
      </c>
      <c r="C123" s="561"/>
      <c r="D123" s="561"/>
      <c r="E123" s="561"/>
      <c r="F123" s="561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5">
        <f t="shared" si="21"/>
        <v>1.535889466419359</v>
      </c>
    </row>
    <row r="124" spans="1:22">
      <c r="A124" s="116" t="str">
        <f t="shared" si="26"/>
        <v>462p</v>
      </c>
      <c r="B124" s="560" t="str">
        <f>+VLOOKUP(LEFT($A124,LEN(A124)-1)*1,Master!$D$29:$G$228,4,FALSE)</f>
        <v>Otplata garancija</v>
      </c>
      <c r="C124" s="561"/>
      <c r="D124" s="561"/>
      <c r="E124" s="561"/>
      <c r="F124" s="561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5">
        <f t="shared" si="21"/>
        <v>8.3250657809601863E-2</v>
      </c>
    </row>
    <row r="125" spans="1:22">
      <c r="A125" s="117" t="str">
        <f t="shared" si="26"/>
        <v>4630p</v>
      </c>
      <c r="B125" s="560" t="str">
        <f>+VLOOKUP(LEFT($A125,LEN(A125)-1)*1,Master!$D$29:$G$228,4,FALSE)</f>
        <v>Otplata obaveza iz prethodnog perioda</v>
      </c>
      <c r="C125" s="561"/>
      <c r="D125" s="561"/>
      <c r="E125" s="561"/>
      <c r="F125" s="561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3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60" t="str">
        <f>+VLOOKUP(LEFT($A126,LEN(A126)-1)*1,Master!$D$29:$G$228,4,FALSE)</f>
        <v>Neto povećanje obaveza</v>
      </c>
      <c r="C126" s="561"/>
      <c r="D126" s="561"/>
      <c r="E126" s="561"/>
      <c r="F126" s="56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2" ht="13.5" thickBot="1">
      <c r="A127" s="117" t="str">
        <f t="shared" si="26"/>
        <v>1000p</v>
      </c>
      <c r="B127" s="562" t="str">
        <f>+VLOOKUP(LEFT($A127,LEN(A127)-1)*1,Master!$D$29:$G$225,4,FALSE)</f>
        <v>Suficit / deficit</v>
      </c>
      <c r="C127" s="563"/>
      <c r="D127" s="563"/>
      <c r="E127" s="563"/>
      <c r="F127" s="563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1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64" t="str">
        <f>+VLOOKUP(LEFT($A128,LEN(A128)-1)*1,Master!$D$29:$G$225,4,FALSE)</f>
        <v>Primarni suficit/deficit</v>
      </c>
      <c r="C128" s="565"/>
      <c r="D128" s="565"/>
      <c r="E128" s="565"/>
      <c r="F128" s="565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1">
        <f t="shared" si="21"/>
        <v>-1.3426639863283505</v>
      </c>
    </row>
    <row r="129" spans="1:22">
      <c r="A129" s="117" t="str">
        <f t="shared" si="26"/>
        <v>46p</v>
      </c>
      <c r="B129" s="566" t="str">
        <f>+VLOOKUP(LEFT($A129,LEN(A129)-1)*1,Master!$D$29:$G$225,4,FALSE)</f>
        <v>Otplata dugova</v>
      </c>
      <c r="C129" s="567"/>
      <c r="D129" s="567"/>
      <c r="E129" s="567"/>
      <c r="F129" s="567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7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2">
        <f t="shared" si="21"/>
        <v>9.4014988176105767</v>
      </c>
    </row>
    <row r="130" spans="1:22">
      <c r="A130" s="117" t="str">
        <f t="shared" si="26"/>
        <v>4611p</v>
      </c>
      <c r="B130" s="558" t="str">
        <f>+VLOOKUP(LEFT($A130,LEN(A130)-1)*1,Master!$D$29:$G$225,4,FALSE)</f>
        <v>Otplata hartija od vrijednosti i kredita rezidentima</v>
      </c>
      <c r="C130" s="559"/>
      <c r="D130" s="559"/>
      <c r="E130" s="559"/>
      <c r="F130" s="559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6">
        <v>294018.01</v>
      </c>
      <c r="N130" s="486">
        <v>1750047.75</v>
      </c>
      <c r="O130" s="486">
        <v>2421267.87</v>
      </c>
      <c r="P130" s="486">
        <v>3875503.62</v>
      </c>
      <c r="Q130" s="486">
        <v>3741551.76</v>
      </c>
      <c r="R130" s="486">
        <v>2536618.6</v>
      </c>
      <c r="S130" s="103">
        <f t="shared" si="20"/>
        <v>85893831.950000018</v>
      </c>
      <c r="T130" s="473">
        <f t="shared" si="21"/>
        <v>1.8525176195919428</v>
      </c>
    </row>
    <row r="131" spans="1:22" ht="13.5" thickBot="1">
      <c r="A131" s="117" t="str">
        <f t="shared" si="26"/>
        <v>4612p</v>
      </c>
      <c r="B131" s="560" t="str">
        <f>+VLOOKUP(LEFT($A131,LEN(A131)-1)*1,Master!$D$29:$G$225,4,FALSE)</f>
        <v>Otplata hartija od vrijednosti i kredita nerezidentima</v>
      </c>
      <c r="C131" s="561"/>
      <c r="D131" s="561"/>
      <c r="E131" s="561"/>
      <c r="F131" s="561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6">
        <v>25464619.924741425</v>
      </c>
      <c r="N131" s="486">
        <v>3126864.3779565003</v>
      </c>
      <c r="O131" s="486">
        <v>11497770.422649164</v>
      </c>
      <c r="P131" s="486">
        <v>3625120.5096505</v>
      </c>
      <c r="Q131" s="486">
        <v>4121213.775667767</v>
      </c>
      <c r="R131" s="486">
        <v>4218746.7266666656</v>
      </c>
      <c r="S131" s="103">
        <f t="shared" si="20"/>
        <v>350016062.22733206</v>
      </c>
      <c r="T131" s="473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54" t="str">
        <f>+VLOOKUP(LEFT($A132,LEN(A132)-1)*1,Master!$D$29:$G$225,4,FALSE)</f>
        <v>Izdaci za kupovinu hartija od vrijednosti</v>
      </c>
      <c r="C132" s="555"/>
      <c r="D132" s="555"/>
      <c r="E132" s="555"/>
      <c r="F132" s="555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50">
        <f t="shared" si="20"/>
        <v>590000</v>
      </c>
      <c r="T132" s="480">
        <f t="shared" si="21"/>
        <v>1.2724841478669716E-2</v>
      </c>
    </row>
    <row r="133" spans="1:22" ht="13.5" thickBot="1">
      <c r="A133" s="117" t="str">
        <f t="shared" si="26"/>
        <v>1002p</v>
      </c>
      <c r="B133" s="556" t="str">
        <f>+VLOOKUP(LEFT($A133,LEN(A133)-1)*1,Master!$D$29:$G$225,4,FALSE)</f>
        <v>Nedostajuća sredstva</v>
      </c>
      <c r="C133" s="557"/>
      <c r="D133" s="557"/>
      <c r="E133" s="557"/>
      <c r="F133" s="557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5">
        <f t="shared" si="21"/>
        <v>-13.195644263074563</v>
      </c>
    </row>
    <row r="134" spans="1:22" ht="13.5" thickBot="1">
      <c r="A134" s="117" t="str">
        <f t="shared" si="26"/>
        <v>1003p</v>
      </c>
      <c r="B134" s="554" t="str">
        <f>+VLOOKUP(LEFT($A134,LEN(A134)-1)*1,Master!$D$29:$G$225,4,FALSE)</f>
        <v>Finansiranje</v>
      </c>
      <c r="C134" s="555"/>
      <c r="D134" s="555"/>
      <c r="E134" s="555"/>
      <c r="F134" s="555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6">
        <f t="shared" si="21"/>
        <v>13.195644263074563</v>
      </c>
    </row>
    <row r="135" spans="1:22">
      <c r="A135" s="117" t="str">
        <f t="shared" si="26"/>
        <v>7511p</v>
      </c>
      <c r="B135" s="558" t="str">
        <f>+VLOOKUP(LEFT($A135,LEN(A135)-1)*1,Master!$D$29:$G$225,4,FALSE)</f>
        <v>Pozajmice i krediti od domaćih izvora</v>
      </c>
      <c r="C135" s="559"/>
      <c r="D135" s="559"/>
      <c r="E135" s="559"/>
      <c r="F135" s="559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2">
      <c r="A136" s="117" t="str">
        <f t="shared" si="26"/>
        <v>7512p</v>
      </c>
      <c r="B136" s="560" t="str">
        <f>+VLOOKUP(LEFT($A136,LEN(A136)-1)*1,Master!$D$29:$G$225,4,FALSE)</f>
        <v>Pozajmice i krediti od inostranih izvora</v>
      </c>
      <c r="C136" s="561"/>
      <c r="D136" s="561"/>
      <c r="E136" s="561"/>
      <c r="F136" s="561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3">
        <f t="shared" si="21"/>
        <v>3.5586421084415303</v>
      </c>
    </row>
    <row r="137" spans="1:22">
      <c r="A137" s="117" t="str">
        <f t="shared" si="26"/>
        <v>72p</v>
      </c>
      <c r="B137" s="560" t="str">
        <f>+VLOOKUP(LEFT($A137,LEN(A137)-1)*1,Master!$D$29:$G$225,4,FALSE)</f>
        <v>Primici od prodaje imovine</v>
      </c>
      <c r="C137" s="561"/>
      <c r="D137" s="561"/>
      <c r="E137" s="561"/>
      <c r="F137" s="561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3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7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8"/>
    </row>
    <row r="145" spans="19:19">
      <c r="S145" s="311"/>
    </row>
    <row r="146" spans="19:19">
      <c r="S146" s="311"/>
    </row>
  </sheetData>
  <sheetProtection algorithmName="SHA-512" hashValue="JInpS7EkCHLNYRV6kkMRiOhQamQz8dOpARtZAqu17wO9yqCPjue1HQSUCaqCIr8piqlpuFrCE/sUC3iz3IlTKA==" saltValue="RBKEvVSvNPb+l82u7fruTw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topLeftCell="M1" zoomScaleNormal="100" workbookViewId="0">
      <pane ySplit="1" topLeftCell="A2" activePane="bottomLeft" state="frozen"/>
      <selection pane="bottomLeft" activeCell="T7" sqref="T7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607" t="str">
        <f>+Master!G251</f>
        <v>Ostvarenje budžeta</v>
      </c>
      <c r="C7" s="507"/>
      <c r="D7" s="507"/>
      <c r="E7" s="507"/>
      <c r="F7" s="507"/>
      <c r="G7" s="515">
        <v>2020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BDP</v>
      </c>
      <c r="T7" s="236">
        <v>4185600000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5">
        <f>+S10/$T$7*100</f>
        <v>39.146813852016443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23.081609190558101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2.827361163990826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1.8736944908734712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3.6875256116207955E-2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12.657215500525613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4.9071243733276004</v>
      </c>
    </row>
    <row r="17" spans="1:25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0.5408522474675076</v>
      </c>
    </row>
    <row r="18" spans="1:25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0.23848615825688071</v>
      </c>
    </row>
    <row r="19" spans="1:25">
      <c r="A19" s="150">
        <v>712</v>
      </c>
      <c r="B19" s="546" t="str">
        <f>+VLOOKUP($A19,Master!$D$29:$G$225,4,FALSE)</f>
        <v>Doprinosi</v>
      </c>
      <c r="C19" s="547"/>
      <c r="D19" s="547"/>
      <c r="E19" s="547"/>
      <c r="F19" s="547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12.686844691083715</v>
      </c>
    </row>
    <row r="20" spans="1:25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7.9034619619648323</v>
      </c>
    </row>
    <row r="21" spans="1:25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4.0988543831230881</v>
      </c>
    </row>
    <row r="22" spans="1:25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0.3683970890672783</v>
      </c>
    </row>
    <row r="23" spans="1:25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0.31613125692851679</v>
      </c>
      <c r="Y23" s="305"/>
    </row>
    <row r="24" spans="1:25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0.25411990754013764</v>
      </c>
      <c r="Y24" s="305"/>
    </row>
    <row r="25" spans="1:25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0.66463075926987769</v>
      </c>
      <c r="W25" s="292"/>
    </row>
    <row r="26" spans="1:25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8">
        <f t="shared" si="4"/>
        <v>0.89869098313264495</v>
      </c>
      <c r="W26" s="311"/>
    </row>
    <row r="27" spans="1:25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8">
        <f t="shared" si="4"/>
        <v>0.17715297090022936</v>
      </c>
    </row>
    <row r="28" spans="1:25" ht="13.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9">
        <f t="shared" si="4"/>
        <v>1.3837653495317279</v>
      </c>
    </row>
    <row r="29" spans="1:25" ht="13.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40">
        <f t="shared" si="4"/>
        <v>49.328204113627663</v>
      </c>
    </row>
    <row r="30" spans="1:25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5">
        <f t="shared" si="3"/>
        <v>858015865.80999994</v>
      </c>
      <c r="T30" s="436">
        <f t="shared" si="4"/>
        <v>20.499232268014143</v>
      </c>
    </row>
    <row r="31" spans="1:25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7">
        <f t="shared" si="4"/>
        <v>11.92533854405581</v>
      </c>
    </row>
    <row r="32" spans="1:25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0.30866892512423549</v>
      </c>
    </row>
    <row r="33" spans="1:23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7">
        <f t="shared" si="4"/>
        <v>0.95395377293577988</v>
      </c>
      <c r="V33" s="291"/>
    </row>
    <row r="34" spans="1:23" s="362" customFormat="1">
      <c r="A34" s="361">
        <v>414</v>
      </c>
      <c r="B34" s="605" t="str">
        <f>+VLOOKUP($A34,Master!$D$29:$G$225,4,FALSE)</f>
        <v>Rashodi za usluge</v>
      </c>
      <c r="C34" s="606"/>
      <c r="D34" s="606"/>
      <c r="E34" s="606"/>
      <c r="F34" s="606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7">
        <f t="shared" si="4"/>
        <v>1.7738425862480884</v>
      </c>
      <c r="U34" s="258"/>
    </row>
    <row r="35" spans="1:23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0.58208342388188083</v>
      </c>
    </row>
    <row r="36" spans="1:23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7">
        <f t="shared" si="4"/>
        <v>2.6545515183008415</v>
      </c>
    </row>
    <row r="37" spans="1:23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0.27163620030581043</v>
      </c>
    </row>
    <row r="38" spans="1:23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0.86783859709480116</v>
      </c>
    </row>
    <row r="39" spans="1:23" s="362" customFormat="1">
      <c r="A39" s="361">
        <v>419</v>
      </c>
      <c r="B39" s="605" t="str">
        <f>+VLOOKUP($A39,Master!$D$29:$G$225,4,FALSE)</f>
        <v>Ostali izdaci</v>
      </c>
      <c r="C39" s="606"/>
      <c r="D39" s="606"/>
      <c r="E39" s="606"/>
      <c r="F39" s="606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7">
        <f t="shared" si="4"/>
        <v>1.1613187000668961</v>
      </c>
      <c r="U39" s="258"/>
    </row>
    <row r="40" spans="1:23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13.347643551701072</v>
      </c>
      <c r="U40" s="242"/>
      <c r="W40" s="309"/>
    </row>
    <row r="41" spans="1:23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1.9227658534021408</v>
      </c>
      <c r="U41" s="242"/>
    </row>
    <row r="42" spans="1:23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0.48018163704128441</v>
      </c>
      <c r="U42" s="242"/>
    </row>
    <row r="43" spans="1:23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10.22724545775994</v>
      </c>
      <c r="U43" s="242"/>
    </row>
    <row r="44" spans="1:23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0.48311802370030571</v>
      </c>
      <c r="U44" s="242"/>
    </row>
    <row r="45" spans="1:23" s="362" customFormat="1">
      <c r="A45" s="361">
        <v>425</v>
      </c>
      <c r="B45" s="601" t="str">
        <f>+VLOOKUP($A45,Master!$D$29:$G$225,4,FALSE)</f>
        <v>Ostala prava iz zdravstvenog osiguranja</v>
      </c>
      <c r="C45" s="602"/>
      <c r="D45" s="602"/>
      <c r="E45" s="602"/>
      <c r="F45" s="602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0.23433257979740058</v>
      </c>
      <c r="U45" s="242"/>
    </row>
    <row r="46" spans="1:23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8">
        <f t="shared" si="4"/>
        <v>6.7194405222668205</v>
      </c>
      <c r="U46" s="242"/>
    </row>
    <row r="47" spans="1:23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8">
        <f t="shared" si="4"/>
        <v>5.4935233579415135</v>
      </c>
      <c r="U47" s="242"/>
    </row>
    <row r="48" spans="1:23">
      <c r="A48" s="150">
        <v>451</v>
      </c>
      <c r="B48" s="603" t="str">
        <f>+VLOOKUP($A48,Master!$D$29:$G$225,4,FALSE)</f>
        <v>Pozajmice i krediti</v>
      </c>
      <c r="C48" s="604"/>
      <c r="D48" s="604"/>
      <c r="E48" s="604"/>
      <c r="F48" s="604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3.8500262805810398E-2</v>
      </c>
      <c r="U48" s="242"/>
    </row>
    <row r="49" spans="1:22" s="362" customFormat="1">
      <c r="A49" s="361">
        <v>47</v>
      </c>
      <c r="B49" s="595" t="str">
        <f>+VLOOKUP($A49,Master!$D$29:$G$225,4,FALSE)</f>
        <v>Rezerve</v>
      </c>
      <c r="C49" s="596"/>
      <c r="D49" s="596"/>
      <c r="E49" s="596"/>
      <c r="F49" s="596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2.7812908352446479</v>
      </c>
      <c r="U49" s="242"/>
    </row>
    <row r="50" spans="1:22" ht="13.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97" t="str">
        <f>+VLOOKUP($A51,Master!$D$29:$G$225,4,TRUE)</f>
        <v>Otplata obaveza iz prethodnog perioda</v>
      </c>
      <c r="C51" s="598"/>
      <c r="D51" s="598"/>
      <c r="E51" s="598"/>
      <c r="F51" s="598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0.44857331565366981</v>
      </c>
      <c r="U51" s="242"/>
    </row>
    <row r="52" spans="1:22" ht="13.5" thickBot="1">
      <c r="A52" s="70">
        <v>1005</v>
      </c>
      <c r="B52" s="599" t="str">
        <f>+VLOOKUP($A52,Master!$D$29:$G$227,4,FALSE)</f>
        <v>Neto povećanje obaveza</v>
      </c>
      <c r="C52" s="600"/>
      <c r="D52" s="600"/>
      <c r="E52" s="600"/>
      <c r="F52" s="600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3">
        <f t="shared" si="4"/>
        <v>-10.181390261611241</v>
      </c>
    </row>
    <row r="54" spans="1:22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3">
        <f t="shared" si="4"/>
        <v>-7.5268387433103978</v>
      </c>
    </row>
    <row r="55" spans="1:22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15.90801867426414</v>
      </c>
      <c r="V55" s="309"/>
    </row>
    <row r="56" spans="1:22">
      <c r="A56" s="144">
        <v>4611</v>
      </c>
      <c r="B56" s="520" t="str">
        <f>+VLOOKUP($A56,Master!$D$29:$G$225,4,FALSE)</f>
        <v>Otplata hartija od vrijednosti i kredita rezidentima</v>
      </c>
      <c r="C56" s="521"/>
      <c r="D56" s="521"/>
      <c r="E56" s="521"/>
      <c r="F56" s="521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5.8341507953459475</v>
      </c>
      <c r="V56" s="354"/>
    </row>
    <row r="57" spans="1:22" ht="13.5" thickBot="1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10.073867878918195</v>
      </c>
      <c r="V57" s="319"/>
    </row>
    <row r="58" spans="1:22" ht="13.5" thickBot="1">
      <c r="A58" s="144">
        <v>4418</v>
      </c>
      <c r="B58" s="542" t="str">
        <f>+VLOOKUP($A58,Master!$D$29:$G$225,4,FALSE)</f>
        <v>Izdaci za kupovinu hartija od vrijednosti</v>
      </c>
      <c r="C58" s="543"/>
      <c r="D58" s="543"/>
      <c r="E58" s="543"/>
      <c r="F58" s="543"/>
      <c r="G58" s="461">
        <f>+INDEX(DataEx!$1:$1048576,MATCH('2020'!$A58,DataEx!$D:$D,0),MATCH('2020'!G$6,DataEx!$7:$7,0))</f>
        <v>0</v>
      </c>
      <c r="H58" s="461">
        <f>+INDEX(DataEx!$1:$1048576,MATCH('2020'!$A58,DataEx!$D:$D,0),MATCH('2020'!H$6,DataEx!$7:$7,0))</f>
        <v>0</v>
      </c>
      <c r="I58" s="461">
        <f>+INDEX(DataEx!$1:$1048576,MATCH('2020'!$A58,DataEx!$D:$D,0),MATCH('2020'!I$6,DataEx!$7:$7,0))</f>
        <v>0</v>
      </c>
      <c r="J58" s="461">
        <f>+INDEX(DataEx!$1:$1048576,MATCH('2020'!$A58,DataEx!$D:$D,0),MATCH('2020'!J$6,DataEx!$7:$7,0))</f>
        <v>0</v>
      </c>
      <c r="K58" s="461">
        <f>+INDEX(DataEx!$1:$1048576,MATCH('2020'!$A58,DataEx!$D:$D,0),MATCH('2020'!K$6,DataEx!$7:$7,0))</f>
        <v>0</v>
      </c>
      <c r="L58" s="461">
        <f>+INDEX(DataEx!$1:$1048576,MATCH('2020'!$A58,DataEx!$D:$D,0),MATCH('2020'!L$6,DataEx!$7:$7,0))</f>
        <v>0</v>
      </c>
      <c r="M58" s="461">
        <f>+INDEX(DataEx!$1:$1048576,MATCH('2020'!$A58,DataEx!$D:$D,0),MATCH('2020'!M$6,DataEx!$7:$7,0))</f>
        <v>0</v>
      </c>
      <c r="N58" s="461">
        <f>+INDEX(DataEx!$1:$1048576,MATCH('2020'!$A58,DataEx!$D:$D,0),MATCH('2020'!N$6,DataEx!$7:$7,0))</f>
        <v>0</v>
      </c>
      <c r="O58" s="461">
        <f>+INDEX(DataEx!$1:$1048576,MATCH('2020'!$A58,DataEx!$D:$D,0),MATCH('2020'!O$6,DataEx!$7:$7,0))</f>
        <v>940769.61</v>
      </c>
      <c r="P58" s="461">
        <f>+INDEX(DataEx!$1:$1048576,MATCH('2020'!$A58,DataEx!$D:$D,0),MATCH('2020'!P$6,DataEx!$7:$7,0))</f>
        <v>0</v>
      </c>
      <c r="Q58" s="461">
        <f>+INDEX(DataEx!$1:$1048576,MATCH('2020'!$A58,DataEx!$D:$D,0),MATCH('2020'!Q$6,DataEx!$7:$7,0))</f>
        <v>0</v>
      </c>
      <c r="R58" s="462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2.2476338159403669E-2</v>
      </c>
      <c r="V58" s="319"/>
    </row>
    <row r="59" spans="1:22" ht="13.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7">
        <f t="shared" si="4"/>
        <v>-26.111885274034783</v>
      </c>
    </row>
    <row r="60" spans="1:22" ht="13.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8">
        <f t="shared" si="4"/>
        <v>26.111885274034783</v>
      </c>
    </row>
    <row r="61" spans="1:22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4.0025816879300455</v>
      </c>
    </row>
    <row r="62" spans="1:22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28.329148839353973</v>
      </c>
    </row>
    <row r="63" spans="1:22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0.20420611047400611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9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84" t="str">
        <f>+Master!G252</f>
        <v>Plan ostvarenja budžeta</v>
      </c>
      <c r="C100" s="585"/>
      <c r="D100" s="585"/>
      <c r="E100" s="585"/>
      <c r="F100" s="585"/>
      <c r="G100" s="592">
        <v>2020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BDP</v>
      </c>
      <c r="T100" s="108">
        <v>4607300000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2" t="str">
        <f>+Master!G246</f>
        <v>Jan - Dec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80" t="str">
        <f>+VLOOKUP(LEFT($A103,LEN(A103)-1)*1,Master!$D$29:$G$225,4,FALSE)</f>
        <v>Prihodi budžeta</v>
      </c>
      <c r="C103" s="581"/>
      <c r="D103" s="581"/>
      <c r="E103" s="581"/>
      <c r="F103" s="581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82" t="str">
        <f>+VLOOKUP(LEFT($A104,LEN(A104)-1)*1,Master!$D$29:$G$225,4,FALSE)</f>
        <v>Porezi</v>
      </c>
      <c r="C104" s="583"/>
      <c r="D104" s="583"/>
      <c r="E104" s="583"/>
      <c r="F104" s="583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0" t="str">
        <f>+VLOOKUP(LEFT($A105,LEN(A105)-1)*1,Master!$D$29:$G$228,4,FALSE)</f>
        <v>Porez na dohodak fizičkih lica</v>
      </c>
      <c r="C105" s="571"/>
      <c r="D105" s="571"/>
      <c r="E105" s="571"/>
      <c r="F105" s="571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70" t="str">
        <f>+VLOOKUP(LEFT($A106,LEN(A106)-1)*1,Master!$D$29:$G$228,4,FALSE)</f>
        <v>Porez na dobit pravnih lica</v>
      </c>
      <c r="C106" s="571"/>
      <c r="D106" s="571"/>
      <c r="E106" s="571"/>
      <c r="F106" s="571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70" t="str">
        <f>+VLOOKUP(LEFT($A107,LEN(A107)-1)*1,Master!$D$29:$G$228,4,FALSE)</f>
        <v>Porez na promet nepokretnosti</v>
      </c>
      <c r="C107" s="571"/>
      <c r="D107" s="571"/>
      <c r="E107" s="571"/>
      <c r="F107" s="571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70" t="str">
        <f>+VLOOKUP(LEFT($A108,LEN(A108)-1)*1,Master!$D$29:$G$228,4,FALSE)</f>
        <v>Porez na dodatu vrijednost</v>
      </c>
      <c r="C108" s="571"/>
      <c r="D108" s="571"/>
      <c r="E108" s="571"/>
      <c r="F108" s="571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70" t="str">
        <f>+VLOOKUP(LEFT($A109,LEN(A109)-1)*1,Master!$D$29:$G$228,4,FALSE)</f>
        <v>Akcize</v>
      </c>
      <c r="C109" s="571"/>
      <c r="D109" s="571"/>
      <c r="E109" s="571"/>
      <c r="F109" s="571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70" t="str">
        <f>+VLOOKUP(LEFT($A110,LEN(A110)-1)*1,Master!$D$29:$G$228,4,FALSE)</f>
        <v>Porez na međunarodnu trgovinu i transakcije</v>
      </c>
      <c r="C110" s="571"/>
      <c r="D110" s="571"/>
      <c r="E110" s="571"/>
      <c r="F110" s="571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70" t="str">
        <f>+VLOOKUP(LEFT($A111,LEN(A111)-1)*1,Master!$D$29:$G$228,4,FALSE)</f>
        <v>Ostali državni porezi</v>
      </c>
      <c r="C111" s="571"/>
      <c r="D111" s="571"/>
      <c r="E111" s="571"/>
      <c r="F111" s="571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78" t="str">
        <f>+VLOOKUP(LEFT($A112,LEN(A112)-1)*1,Master!$D$29:$G$228,4,FALSE)</f>
        <v>Doprinosi</v>
      </c>
      <c r="C112" s="579"/>
      <c r="D112" s="579"/>
      <c r="E112" s="579"/>
      <c r="F112" s="579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70" t="str">
        <f>+VLOOKUP(LEFT($A113,LEN(A113)-1)*1,Master!$D$29:$G$228,4,FALSE)</f>
        <v>Doprinosi za penzijsko i invalidsko osiguranje</v>
      </c>
      <c r="C113" s="571"/>
      <c r="D113" s="571"/>
      <c r="E113" s="571"/>
      <c r="F113" s="571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70" t="str">
        <f>+VLOOKUP(LEFT($A114,LEN(A114)-1)*1,Master!$D$29:$G$228,4,FALSE)</f>
        <v>Doprinosi za zdravstveno osiguranje</v>
      </c>
      <c r="C114" s="571"/>
      <c r="D114" s="571"/>
      <c r="E114" s="571"/>
      <c r="F114" s="571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70" t="str">
        <f>+VLOOKUP(LEFT($A115,LEN(A115)-1)*1,Master!$D$29:$G$228,4,FALSE)</f>
        <v>Doprinosi za osiguranje od nezaposlenosti</v>
      </c>
      <c r="C115" s="571"/>
      <c r="D115" s="571"/>
      <c r="E115" s="571"/>
      <c r="F115" s="571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70" t="str">
        <f>+VLOOKUP(LEFT($A116,LEN(A116)-1)*1,Master!$D$29:$G$228,4,FALSE)</f>
        <v>Ostali doprinosi</v>
      </c>
      <c r="C116" s="571"/>
      <c r="D116" s="571"/>
      <c r="E116" s="571"/>
      <c r="F116" s="571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76" t="str">
        <f>+VLOOKUP(LEFT($A117,LEN(A117)-1)*1,Master!$D$29:$G$228,4,FALSE)</f>
        <v>Takse</v>
      </c>
      <c r="C117" s="577"/>
      <c r="D117" s="577"/>
      <c r="E117" s="577"/>
      <c r="F117" s="577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76" t="str">
        <f>+VLOOKUP(LEFT($A118,LEN(A118)-1)*1,Master!$D$29:$G$228,4,FALSE)</f>
        <v>Naknade</v>
      </c>
      <c r="C118" s="577"/>
      <c r="D118" s="577"/>
      <c r="E118" s="577"/>
      <c r="F118" s="577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76" t="str">
        <f>+VLOOKUP(LEFT($A119,LEN(A119)-1)*1,Master!$D$29:$G$228,4,FALSE)</f>
        <v>Ostali prihodi</v>
      </c>
      <c r="C119" s="577"/>
      <c r="D119" s="577"/>
      <c r="E119" s="577"/>
      <c r="F119" s="577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76" t="str">
        <f>+VLOOKUP(LEFT($A120,LEN(A120)-1)*1,Master!$D$29:$G$228,4,FALSE)</f>
        <v>Primici od otplate kredita i sredstva prenesena iz prethodne godine</v>
      </c>
      <c r="C120" s="577"/>
      <c r="D120" s="577"/>
      <c r="E120" s="577"/>
      <c r="F120" s="577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72" t="str">
        <f>+VLOOKUP(LEFT($A121,LEN(A121)-1)*1,Master!$D$29:$G$228,4,FALSE)</f>
        <v>Donacije i transferi</v>
      </c>
      <c r="C121" s="573"/>
      <c r="D121" s="573"/>
      <c r="E121" s="573"/>
      <c r="F121" s="573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54" t="str">
        <f>+VLOOKUP(LEFT($A122,LEN(A122)-1)*1,Master!$D$29:$G$228,4,FALSE)</f>
        <v>Izdaci budžeta</v>
      </c>
      <c r="C122" s="555"/>
      <c r="D122" s="555"/>
      <c r="E122" s="555"/>
      <c r="F122" s="555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74" t="str">
        <f>+VLOOKUP(LEFT($A123,LEN(A123)-1)*1,Master!$D$29:$G$228,4,FALSE)</f>
        <v>Tekući izdaci</v>
      </c>
      <c r="C123" s="575"/>
      <c r="D123" s="575"/>
      <c r="E123" s="575"/>
      <c r="F123" s="575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70" t="str">
        <f>+VLOOKUP(LEFT($A124,LEN(A124)-1)*1,Master!$D$29:$G$228,4,FALSE)</f>
        <v>Bruto zarade i doprinosi na teret poslodavca</v>
      </c>
      <c r="C124" s="571"/>
      <c r="D124" s="571"/>
      <c r="E124" s="571"/>
      <c r="F124" s="571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70" t="str">
        <f>+VLOOKUP(LEFT($A125,LEN(A125)-1)*1,Master!$D$29:$G$228,4,FALSE)</f>
        <v>Ostala lična primanja</v>
      </c>
      <c r="C125" s="571"/>
      <c r="D125" s="571"/>
      <c r="E125" s="571"/>
      <c r="F125" s="571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70" t="str">
        <f>+VLOOKUP(LEFT($A126,LEN(A126)-1)*1,Master!$D$29:$G$228,4,FALSE)</f>
        <v>Rashodi za materijal</v>
      </c>
      <c r="C126" s="571"/>
      <c r="D126" s="571"/>
      <c r="E126" s="571"/>
      <c r="F126" s="571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70" t="str">
        <f>+VLOOKUP(LEFT($A127,LEN(A127)-1)*1,Master!$D$29:$G$228,4,FALSE)</f>
        <v>Rashodi za usluge</v>
      </c>
      <c r="C127" s="571"/>
      <c r="D127" s="571"/>
      <c r="E127" s="571"/>
      <c r="F127" s="571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70" t="str">
        <f>+VLOOKUP(LEFT($A128,LEN(A128)-1)*1,Master!$D$29:$G$228,4,FALSE)</f>
        <v>Rashodi za tekuće održavanje</v>
      </c>
      <c r="C128" s="571"/>
      <c r="D128" s="571"/>
      <c r="E128" s="571"/>
      <c r="F128" s="571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70" t="str">
        <f>+VLOOKUP(LEFT($A129,LEN(A129)-1)*1,Master!$D$29:$G$228,4,FALSE)</f>
        <v>Kamate</v>
      </c>
      <c r="C129" s="571"/>
      <c r="D129" s="571"/>
      <c r="E129" s="571"/>
      <c r="F129" s="571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70" t="str">
        <f>+VLOOKUP(LEFT($A130,LEN(A130)-1)*1,Master!$D$29:$G$228,4,FALSE)</f>
        <v>Renta</v>
      </c>
      <c r="C130" s="571"/>
      <c r="D130" s="571"/>
      <c r="E130" s="571"/>
      <c r="F130" s="571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70" t="str">
        <f>+VLOOKUP(LEFT($A131,LEN(A131)-1)*1,Master!$D$29:$G$228,4,FALSE)</f>
        <v>Subvencije</v>
      </c>
      <c r="C131" s="571"/>
      <c r="D131" s="571"/>
      <c r="E131" s="571"/>
      <c r="F131" s="571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70" t="str">
        <f>+VLOOKUP(LEFT($A132,LEN(A132)-1)*1,Master!$D$29:$G$228,4,FALSE)</f>
        <v>Ostali izdaci</v>
      </c>
      <c r="C132" s="571"/>
      <c r="D132" s="571"/>
      <c r="E132" s="571"/>
      <c r="F132" s="571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66" t="str">
        <f>+VLOOKUP(LEFT($A133,LEN(A133)-1)*1,Master!$D$29:$G$228,4,FALSE)</f>
        <v>Transferi za socijalnu zaštitu</v>
      </c>
      <c r="C133" s="567"/>
      <c r="D133" s="567"/>
      <c r="E133" s="567"/>
      <c r="F133" s="567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70" t="str">
        <f>+VLOOKUP(LEFT($A134,LEN(A134)-1)*1,Master!$D$29:$G$228,4,FALSE)</f>
        <v>Prava iz oblasti socijalne zaštite</v>
      </c>
      <c r="C134" s="571"/>
      <c r="D134" s="571"/>
      <c r="E134" s="571"/>
      <c r="F134" s="571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70" t="str">
        <f>+VLOOKUP(LEFT($A135,LEN(A135)-1)*1,Master!$D$29:$G$228,4,FALSE)</f>
        <v>Sredstva za tehnološke viškove</v>
      </c>
      <c r="C135" s="571"/>
      <c r="D135" s="571"/>
      <c r="E135" s="571"/>
      <c r="F135" s="571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70" t="str">
        <f>+VLOOKUP(LEFT($A136,LEN(A136)-1)*1,Master!$D$29:$G$228,4,FALSE)</f>
        <v>Prava iz oblasti penzijskog i invalidskog osiguranja</v>
      </c>
      <c r="C136" s="571"/>
      <c r="D136" s="571"/>
      <c r="E136" s="571"/>
      <c r="F136" s="571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70" t="str">
        <f>+VLOOKUP(LEFT($A137,LEN(A137)-1)*1,Master!$D$29:$G$228,4,FALSE)</f>
        <v>Ostala prava iz oblasti zdravstvene zaštite</v>
      </c>
      <c r="C137" s="571"/>
      <c r="D137" s="571"/>
      <c r="E137" s="571"/>
      <c r="F137" s="571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70" t="str">
        <f>+VLOOKUP(LEFT($A138,LEN(A138)-1)*1,Master!$D$29:$G$228,4,FALSE)</f>
        <v>Ostala prava iz zdravstvenog osiguranja</v>
      </c>
      <c r="C138" s="571"/>
      <c r="D138" s="571"/>
      <c r="E138" s="571"/>
      <c r="F138" s="571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68" t="str">
        <f>+VLOOKUP(LEFT($A139,LEN(A139)-1)*1,Master!$D$29:$G$228,4,FALSE)</f>
        <v xml:space="preserve">Transferi institucijama, pojedincima, nevladinom i javnom sektoru </v>
      </c>
      <c r="C139" s="569"/>
      <c r="D139" s="569"/>
      <c r="E139" s="569"/>
      <c r="F139" s="569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68" t="str">
        <f>+VLOOKUP(LEFT($A140,LEN(A140)-1)*1,Master!$D$29:$G$228,4,FALSE)</f>
        <v>Kapitalni izdaci</v>
      </c>
      <c r="C140" s="569"/>
      <c r="D140" s="569"/>
      <c r="E140" s="569"/>
      <c r="F140" s="569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60" t="str">
        <f>+VLOOKUP(LEFT($A141,LEN(A141)-1)*1,Master!$D$29:$G$228,4,FALSE)</f>
        <v>Pozajmice i krediti</v>
      </c>
      <c r="C141" s="561"/>
      <c r="D141" s="561"/>
      <c r="E141" s="561"/>
      <c r="F141" s="561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60" t="str">
        <f>+VLOOKUP(LEFT($A142,LEN(A142)-1)*1,Master!$D$29:$G$228,4,FALSE)</f>
        <v>Rezerve</v>
      </c>
      <c r="C142" s="561"/>
      <c r="D142" s="561"/>
      <c r="E142" s="561"/>
      <c r="F142" s="561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60" t="str">
        <f>+VLOOKUP(LEFT($A143,LEN(A143)-1)*1,Master!$D$29:$G$228,4,FALSE)</f>
        <v>Otplata garancija</v>
      </c>
      <c r="C143" s="561"/>
      <c r="D143" s="561"/>
      <c r="E143" s="561"/>
      <c r="F143" s="561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60" t="str">
        <f>+VLOOKUP(LEFT($A144,LEN(A144)-1)*1,Master!$D$29:$G$228,4,FALSE)</f>
        <v>Otplata obaveza iz prethodnog perioda</v>
      </c>
      <c r="C144" s="561"/>
      <c r="D144" s="561"/>
      <c r="E144" s="561"/>
      <c r="F144" s="561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60" t="str">
        <f>+VLOOKUP(LEFT($A145,LEN(A145)-1)*1,Master!$D$29:$G$228,4,FALSE)</f>
        <v>Neto povećanje obaveza</v>
      </c>
      <c r="C145" s="561"/>
      <c r="D145" s="561"/>
      <c r="E145" s="561"/>
      <c r="F145" s="561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562" t="str">
        <f>+VLOOKUP(LEFT($A146,LEN(A146)-1)*1,Master!$D$29:$G$225,4,FALSE)</f>
        <v>Suficit / deficit</v>
      </c>
      <c r="C146" s="563"/>
      <c r="D146" s="563"/>
      <c r="E146" s="563"/>
      <c r="F146" s="563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64" t="str">
        <f>+VLOOKUP(LEFT($A147,LEN(A147)-1)*1,Master!$D$29:$G$225,4,FALSE)</f>
        <v>Primarni suficit/deficit</v>
      </c>
      <c r="C147" s="565"/>
      <c r="D147" s="565"/>
      <c r="E147" s="565"/>
      <c r="F147" s="565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66" t="str">
        <f>+VLOOKUP(LEFT($A148,LEN(A148)-1)*1,Master!$D$29:$G$225,4,FALSE)</f>
        <v>Otplata dugova</v>
      </c>
      <c r="C148" s="567"/>
      <c r="D148" s="567"/>
      <c r="E148" s="567"/>
      <c r="F148" s="567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558" t="str">
        <f>+VLOOKUP(LEFT($A149,LEN(A149)-1)*1,Master!$D$29:$G$225,4,FALSE)</f>
        <v>Otplata hartija od vrijednosti i kredita rezidentima</v>
      </c>
      <c r="C149" s="559"/>
      <c r="D149" s="559"/>
      <c r="E149" s="559"/>
      <c r="F149" s="559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60" t="str">
        <f>+VLOOKUP(LEFT($A150,LEN(A150)-1)*1,Master!$D$29:$G$225,4,FALSE)</f>
        <v>Otplata hartija od vrijednosti i kredita nerezidentima</v>
      </c>
      <c r="C150" s="561"/>
      <c r="D150" s="561"/>
      <c r="E150" s="561"/>
      <c r="F150" s="561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54" t="str">
        <f>+VLOOKUP(LEFT($A151,LEN(A151)-1)*1,Master!$D$29:$G$225,4,FALSE)</f>
        <v>Izdaci za kupovinu hartija od vrijednosti</v>
      </c>
      <c r="C151" s="555"/>
      <c r="D151" s="555"/>
      <c r="E151" s="555"/>
      <c r="F151" s="555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56" t="str">
        <f>+VLOOKUP(LEFT($A152,LEN(A152)-1)*1,Master!$D$29:$G$225,4,FALSE)</f>
        <v>Nedostajuća sredstva</v>
      </c>
      <c r="C152" s="557"/>
      <c r="D152" s="557"/>
      <c r="E152" s="557"/>
      <c r="F152" s="557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54" t="str">
        <f>+VLOOKUP(LEFT($A153,LEN(A153)-1)*1,Master!$D$29:$G$225,4,FALSE)</f>
        <v>Finansiranje</v>
      </c>
      <c r="C153" s="555"/>
      <c r="D153" s="555"/>
      <c r="E153" s="555"/>
      <c r="F153" s="555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558" t="str">
        <f>+VLOOKUP(LEFT($A154,LEN(A154)-1)*1,Master!$D$29:$G$225,4,FALSE)</f>
        <v>Pozajmice i krediti od domaćih izvora</v>
      </c>
      <c r="C154" s="559"/>
      <c r="D154" s="559"/>
      <c r="E154" s="559"/>
      <c r="F154" s="559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60" t="str">
        <f>+VLOOKUP(LEFT($A155,LEN(A155)-1)*1,Master!$D$29:$G$225,4,FALSE)</f>
        <v>Pozajmice i krediti od inostranih izvora</v>
      </c>
      <c r="C155" s="561"/>
      <c r="D155" s="561"/>
      <c r="E155" s="561"/>
      <c r="F155" s="561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60" t="str">
        <f>+VLOOKUP(LEFT($A156,LEN(A156)-1)*1,Master!$D$29:$G$225,4,FALSE)</f>
        <v>Primici od prodaje imovine</v>
      </c>
      <c r="C156" s="561"/>
      <c r="D156" s="561"/>
      <c r="E156" s="561"/>
      <c r="F156" s="561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" activePane="bottomLeft" state="frozen"/>
      <selection pane="bottomLeft" activeCell="O10" sqref="O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2019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4951000000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26" t="s">
        <v>681</v>
      </c>
      <c r="C10" s="527"/>
      <c r="D10" s="527"/>
      <c r="E10" s="527"/>
      <c r="F10" s="527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542" t="s">
        <v>120</v>
      </c>
      <c r="C30" s="543"/>
      <c r="D30" s="543"/>
      <c r="E30" s="543"/>
      <c r="F30" s="543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536" t="s">
        <v>122</v>
      </c>
      <c r="C31" s="537"/>
      <c r="D31" s="537"/>
      <c r="E31" s="537"/>
      <c r="F31" s="537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536" t="s">
        <v>133</v>
      </c>
      <c r="C32" s="537"/>
      <c r="D32" s="537"/>
      <c r="E32" s="537"/>
      <c r="F32" s="537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536" t="s">
        <v>148</v>
      </c>
      <c r="C33" s="537"/>
      <c r="D33" s="537"/>
      <c r="E33" s="537"/>
      <c r="F33" s="537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536" t="s">
        <v>162</v>
      </c>
      <c r="C34" s="537"/>
      <c r="D34" s="537"/>
      <c r="E34" s="537"/>
      <c r="F34" s="537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605" t="s">
        <v>182</v>
      </c>
      <c r="C35" s="606"/>
      <c r="D35" s="606"/>
      <c r="E35" s="606"/>
      <c r="F35" s="606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536" t="s">
        <v>190</v>
      </c>
      <c r="C36" s="537"/>
      <c r="D36" s="537"/>
      <c r="E36" s="537"/>
      <c r="F36" s="537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536" t="s">
        <v>196</v>
      </c>
      <c r="C37" s="537"/>
      <c r="D37" s="537"/>
      <c r="E37" s="537"/>
      <c r="F37" s="537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536" t="s">
        <v>204</v>
      </c>
      <c r="C38" s="537"/>
      <c r="D38" s="537"/>
      <c r="E38" s="537"/>
      <c r="F38" s="537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536" t="s">
        <v>212</v>
      </c>
      <c r="C39" s="537"/>
      <c r="D39" s="537"/>
      <c r="E39" s="537"/>
      <c r="F39" s="537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32" t="s">
        <v>230</v>
      </c>
      <c r="C40" s="533"/>
      <c r="D40" s="533"/>
      <c r="E40" s="533"/>
      <c r="F40" s="533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536" t="s">
        <v>232</v>
      </c>
      <c r="C41" s="537"/>
      <c r="D41" s="537"/>
      <c r="E41" s="537"/>
      <c r="F41" s="537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536" t="s">
        <v>248</v>
      </c>
      <c r="C42" s="537"/>
      <c r="D42" s="537"/>
      <c r="E42" s="537"/>
      <c r="F42" s="537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536" t="s">
        <v>259</v>
      </c>
      <c r="C43" s="537"/>
      <c r="D43" s="537"/>
      <c r="E43" s="537"/>
      <c r="F43" s="537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536" t="s">
        <v>274</v>
      </c>
      <c r="C44" s="537"/>
      <c r="D44" s="537"/>
      <c r="E44" s="537"/>
      <c r="F44" s="537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536" t="s">
        <v>278</v>
      </c>
      <c r="C45" s="537"/>
      <c r="D45" s="537"/>
      <c r="E45" s="537"/>
      <c r="F45" s="537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34" t="s">
        <v>286</v>
      </c>
      <c r="C46" s="535"/>
      <c r="D46" s="535"/>
      <c r="E46" s="535"/>
      <c r="F46" s="535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34" t="s">
        <v>320</v>
      </c>
      <c r="C47" s="535"/>
      <c r="D47" s="535"/>
      <c r="E47" s="535"/>
      <c r="F47" s="535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603" t="s">
        <v>113</v>
      </c>
      <c r="C48" s="604"/>
      <c r="D48" s="604"/>
      <c r="E48" s="604"/>
      <c r="F48" s="604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95" t="s">
        <v>366</v>
      </c>
      <c r="C49" s="596"/>
      <c r="D49" s="596"/>
      <c r="E49" s="596"/>
      <c r="F49" s="596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22" t="s">
        <v>359</v>
      </c>
      <c r="C50" s="523"/>
      <c r="D50" s="523"/>
      <c r="E50" s="523"/>
      <c r="F50" s="523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97" t="s">
        <v>795</v>
      </c>
      <c r="C51" s="598"/>
      <c r="D51" s="598"/>
      <c r="E51" s="598"/>
      <c r="F51" s="598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99" t="s">
        <v>685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28" t="s">
        <v>545</v>
      </c>
      <c r="C53" s="529"/>
      <c r="D53" s="529"/>
      <c r="E53" s="529"/>
      <c r="F53" s="529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30" t="s">
        <v>793</v>
      </c>
      <c r="C54" s="531"/>
      <c r="D54" s="531"/>
      <c r="E54" s="531"/>
      <c r="F54" s="531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52" t="s">
        <v>352</v>
      </c>
      <c r="C55" s="553"/>
      <c r="D55" s="553"/>
      <c r="E55" s="553"/>
      <c r="F55" s="553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20" t="s">
        <v>355</v>
      </c>
      <c r="C56" s="521"/>
      <c r="D56" s="521"/>
      <c r="E56" s="521"/>
      <c r="F56" s="521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>
      <c r="A57" s="144">
        <v>4612</v>
      </c>
      <c r="B57" s="504" t="s">
        <v>357</v>
      </c>
      <c r="C57" s="505"/>
      <c r="D57" s="505"/>
      <c r="E57" s="505"/>
      <c r="F57" s="505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608" t="s">
        <v>336</v>
      </c>
      <c r="C58" s="609"/>
      <c r="D58" s="609"/>
      <c r="E58" s="609"/>
      <c r="F58" s="609"/>
      <c r="G58" s="498">
        <f>DataEx!FF167</f>
        <v>0</v>
      </c>
      <c r="H58" s="498">
        <f>DataEx!FG167</f>
        <v>35272.089999999997</v>
      </c>
      <c r="I58" s="498">
        <f>DataEx!FH167</f>
        <v>0</v>
      </c>
      <c r="J58" s="498">
        <f>DataEx!FI167</f>
        <v>39948396.369999997</v>
      </c>
      <c r="K58" s="498">
        <f>DataEx!FJ167</f>
        <v>0</v>
      </c>
      <c r="L58" s="498">
        <f>DataEx!FK167</f>
        <v>0</v>
      </c>
      <c r="M58" s="498">
        <f>DataEx!FL167</f>
        <v>0</v>
      </c>
      <c r="N58" s="498">
        <f>DataEx!FM167</f>
        <v>0</v>
      </c>
      <c r="O58" s="498">
        <f>DataEx!FN167</f>
        <v>0</v>
      </c>
      <c r="P58" s="498">
        <f>DataEx!FO167</f>
        <v>0</v>
      </c>
      <c r="Q58" s="498">
        <f>DataEx!FP167</f>
        <v>14495201.140000001</v>
      </c>
      <c r="R58" s="498">
        <f>DataEx!FQ167</f>
        <v>2849828.78</v>
      </c>
      <c r="S58" s="499">
        <f>SUM(G58:R58)</f>
        <v>57328698.380000003</v>
      </c>
      <c r="T58" s="500">
        <f>+S58/$T$7</f>
        <v>1.1579215992728742E-2</v>
      </c>
      <c r="V58" s="319"/>
    </row>
    <row r="59" spans="1:22" ht="13.5" thickBot="1">
      <c r="A59" s="144">
        <v>1002</v>
      </c>
      <c r="B59" s="524" t="s">
        <v>543</v>
      </c>
      <c r="C59" s="525"/>
      <c r="D59" s="525"/>
      <c r="E59" s="525"/>
      <c r="F59" s="525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526" t="s">
        <v>544</v>
      </c>
      <c r="C60" s="527"/>
      <c r="D60" s="527"/>
      <c r="E60" s="527"/>
      <c r="F60" s="527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20" t="s">
        <v>114</v>
      </c>
      <c r="C61" s="521"/>
      <c r="D61" s="521"/>
      <c r="E61" s="521"/>
      <c r="F61" s="521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504" t="s">
        <v>116</v>
      </c>
      <c r="C62" s="505"/>
      <c r="D62" s="505"/>
      <c r="E62" s="505"/>
      <c r="F62" s="505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504" t="s">
        <v>93</v>
      </c>
      <c r="C63" s="505"/>
      <c r="D63" s="505"/>
      <c r="E63" s="505"/>
      <c r="F63" s="505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84" t="s">
        <v>552</v>
      </c>
      <c r="C100" s="585"/>
      <c r="D100" s="585"/>
      <c r="E100" s="585"/>
      <c r="F100" s="585"/>
      <c r="G100" s="592">
        <v>2019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BDP</v>
      </c>
      <c r="T100" s="108">
        <f>+T7</f>
        <v>4951000000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2" t="s">
        <v>809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80" t="s">
        <v>681</v>
      </c>
      <c r="C103" s="581"/>
      <c r="D103" s="581"/>
      <c r="E103" s="581"/>
      <c r="F103" s="581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82" t="s">
        <v>21</v>
      </c>
      <c r="C104" s="583"/>
      <c r="D104" s="583"/>
      <c r="E104" s="583"/>
      <c r="F104" s="583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0" t="s">
        <v>23</v>
      </c>
      <c r="C105" s="571"/>
      <c r="D105" s="571"/>
      <c r="E105" s="571"/>
      <c r="F105" s="571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70" t="s">
        <v>25</v>
      </c>
      <c r="C106" s="571"/>
      <c r="D106" s="571"/>
      <c r="E106" s="571"/>
      <c r="F106" s="571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70" t="s">
        <v>27</v>
      </c>
      <c r="C107" s="571"/>
      <c r="D107" s="571"/>
      <c r="E107" s="571"/>
      <c r="F107" s="571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70" t="s">
        <v>29</v>
      </c>
      <c r="C108" s="571"/>
      <c r="D108" s="571"/>
      <c r="E108" s="571"/>
      <c r="F108" s="571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70" t="s">
        <v>31</v>
      </c>
      <c r="C109" s="571"/>
      <c r="D109" s="571"/>
      <c r="E109" s="571"/>
      <c r="F109" s="571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70" t="s">
        <v>33</v>
      </c>
      <c r="C110" s="571"/>
      <c r="D110" s="571"/>
      <c r="E110" s="571"/>
      <c r="F110" s="571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70" t="s">
        <v>722</v>
      </c>
      <c r="C111" s="571"/>
      <c r="D111" s="571"/>
      <c r="E111" s="571"/>
      <c r="F111" s="571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78" t="s">
        <v>37</v>
      </c>
      <c r="C112" s="579"/>
      <c r="D112" s="579"/>
      <c r="E112" s="579"/>
      <c r="F112" s="579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70" t="s">
        <v>39</v>
      </c>
      <c r="C113" s="571"/>
      <c r="D113" s="571"/>
      <c r="E113" s="571"/>
      <c r="F113" s="571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70" t="s">
        <v>41</v>
      </c>
      <c r="C114" s="571"/>
      <c r="D114" s="571"/>
      <c r="E114" s="571"/>
      <c r="F114" s="571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70" t="s">
        <v>43</v>
      </c>
      <c r="C115" s="571"/>
      <c r="D115" s="571"/>
      <c r="E115" s="571"/>
      <c r="F115" s="571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70" t="s">
        <v>45</v>
      </c>
      <c r="C116" s="571"/>
      <c r="D116" s="571"/>
      <c r="E116" s="571"/>
      <c r="F116" s="571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76" t="s">
        <v>47</v>
      </c>
      <c r="C117" s="577"/>
      <c r="D117" s="577"/>
      <c r="E117" s="577"/>
      <c r="F117" s="577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76" t="s">
        <v>61</v>
      </c>
      <c r="C118" s="577"/>
      <c r="D118" s="577"/>
      <c r="E118" s="577"/>
      <c r="F118" s="577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76" t="s">
        <v>81</v>
      </c>
      <c r="C119" s="577"/>
      <c r="D119" s="577"/>
      <c r="E119" s="577"/>
      <c r="F119" s="577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76" t="s">
        <v>99</v>
      </c>
      <c r="C120" s="577"/>
      <c r="D120" s="577"/>
      <c r="E120" s="577"/>
      <c r="F120" s="577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72" t="s">
        <v>105</v>
      </c>
      <c r="C121" s="573"/>
      <c r="D121" s="573"/>
      <c r="E121" s="573"/>
      <c r="F121" s="573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54" t="s">
        <v>811</v>
      </c>
      <c r="C122" s="555"/>
      <c r="D122" s="555"/>
      <c r="E122" s="555"/>
      <c r="F122" s="555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612" t="s">
        <v>774</v>
      </c>
      <c r="C123" s="613"/>
      <c r="D123" s="613"/>
      <c r="E123" s="613"/>
      <c r="F123" s="613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74" t="e">
        <v>#REF!</v>
      </c>
      <c r="C124" s="575"/>
      <c r="D124" s="575"/>
      <c r="E124" s="575"/>
      <c r="F124" s="575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0" t="s">
        <v>122</v>
      </c>
      <c r="C125" s="571"/>
      <c r="D125" s="571"/>
      <c r="E125" s="571"/>
      <c r="F125" s="571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70" t="s">
        <v>133</v>
      </c>
      <c r="C126" s="571"/>
      <c r="D126" s="571"/>
      <c r="E126" s="571"/>
      <c r="F126" s="571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70" t="s">
        <v>148</v>
      </c>
      <c r="C127" s="571"/>
      <c r="D127" s="571"/>
      <c r="E127" s="571"/>
      <c r="F127" s="571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70" t="s">
        <v>162</v>
      </c>
      <c r="C128" s="571"/>
      <c r="D128" s="571"/>
      <c r="E128" s="571"/>
      <c r="F128" s="571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70" t="s">
        <v>182</v>
      </c>
      <c r="C129" s="571"/>
      <c r="D129" s="571"/>
      <c r="E129" s="571"/>
      <c r="F129" s="571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70" t="s">
        <v>190</v>
      </c>
      <c r="C130" s="571"/>
      <c r="D130" s="571"/>
      <c r="E130" s="571"/>
      <c r="F130" s="571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70" t="s">
        <v>196</v>
      </c>
      <c r="C131" s="571"/>
      <c r="D131" s="571"/>
      <c r="E131" s="571"/>
      <c r="F131" s="571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70" t="s">
        <v>204</v>
      </c>
      <c r="C132" s="571"/>
      <c r="D132" s="571"/>
      <c r="E132" s="571"/>
      <c r="F132" s="571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70" t="s">
        <v>212</v>
      </c>
      <c r="C133" s="571"/>
      <c r="D133" s="571"/>
      <c r="E133" s="571"/>
      <c r="F133" s="571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70" t="e">
        <v>#REF!</v>
      </c>
      <c r="C134" s="571"/>
      <c r="D134" s="571"/>
      <c r="E134" s="571"/>
      <c r="F134" s="571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66" t="s">
        <v>230</v>
      </c>
      <c r="C135" s="567"/>
      <c r="D135" s="567"/>
      <c r="E135" s="567"/>
      <c r="F135" s="567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70" t="s">
        <v>232</v>
      </c>
      <c r="C136" s="571"/>
      <c r="D136" s="571"/>
      <c r="E136" s="571"/>
      <c r="F136" s="571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70" t="s">
        <v>248</v>
      </c>
      <c r="C137" s="571"/>
      <c r="D137" s="571"/>
      <c r="E137" s="571"/>
      <c r="F137" s="571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70" t="s">
        <v>259</v>
      </c>
      <c r="C138" s="571"/>
      <c r="D138" s="571"/>
      <c r="E138" s="571"/>
      <c r="F138" s="571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70" t="s">
        <v>274</v>
      </c>
      <c r="C139" s="571"/>
      <c r="D139" s="571"/>
      <c r="E139" s="571"/>
      <c r="F139" s="571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70" t="s">
        <v>278</v>
      </c>
      <c r="C140" s="571"/>
      <c r="D140" s="571"/>
      <c r="E140" s="571"/>
      <c r="F140" s="571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68" t="s">
        <v>286</v>
      </c>
      <c r="C141" s="569"/>
      <c r="D141" s="569"/>
      <c r="E141" s="569"/>
      <c r="F141" s="569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68" t="s">
        <v>812</v>
      </c>
      <c r="C142" s="569"/>
      <c r="D142" s="569"/>
      <c r="E142" s="569"/>
      <c r="F142" s="569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60" t="s">
        <v>113</v>
      </c>
      <c r="C143" s="561"/>
      <c r="D143" s="561"/>
      <c r="E143" s="561"/>
      <c r="F143" s="561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60" t="s">
        <v>366</v>
      </c>
      <c r="C144" s="561"/>
      <c r="D144" s="561"/>
      <c r="E144" s="561"/>
      <c r="F144" s="561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60" t="s">
        <v>359</v>
      </c>
      <c r="C145" s="561"/>
      <c r="D145" s="561"/>
      <c r="E145" s="561"/>
      <c r="F145" s="561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60" t="s">
        <v>365</v>
      </c>
      <c r="C146" s="561"/>
      <c r="D146" s="561"/>
      <c r="E146" s="561"/>
      <c r="F146" s="561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610" t="s">
        <v>686</v>
      </c>
      <c r="C147" s="611"/>
      <c r="D147" s="611"/>
      <c r="E147" s="611"/>
      <c r="F147" s="611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562" t="s">
        <v>545</v>
      </c>
      <c r="C148" s="563"/>
      <c r="D148" s="563"/>
      <c r="E148" s="563"/>
      <c r="F148" s="563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564" t="s">
        <v>813</v>
      </c>
      <c r="C149" s="565"/>
      <c r="D149" s="565"/>
      <c r="E149" s="565"/>
      <c r="F149" s="565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66" t="s">
        <v>352</v>
      </c>
      <c r="C150" s="567"/>
      <c r="D150" s="567"/>
      <c r="E150" s="567"/>
      <c r="F150" s="567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558" t="s">
        <v>355</v>
      </c>
      <c r="C151" s="559"/>
      <c r="D151" s="559"/>
      <c r="E151" s="559"/>
      <c r="F151" s="559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>
      <c r="A152" s="117" t="str">
        <f>+CONCATENATE(A57,"p")</f>
        <v>4612p</v>
      </c>
      <c r="B152" s="560" t="s">
        <v>357</v>
      </c>
      <c r="C152" s="561"/>
      <c r="D152" s="561"/>
      <c r="E152" s="561"/>
      <c r="F152" s="561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608" t="s">
        <v>336</v>
      </c>
      <c r="C153" s="609"/>
      <c r="D153" s="609"/>
      <c r="E153" s="609"/>
      <c r="F153" s="609"/>
      <c r="G153" s="495">
        <v>26666.67</v>
      </c>
      <c r="H153" s="495">
        <v>26666.67</v>
      </c>
      <c r="I153" s="495">
        <v>26666.67</v>
      </c>
      <c r="J153" s="495">
        <v>39926666.670000002</v>
      </c>
      <c r="K153" s="495">
        <v>26666.67</v>
      </c>
      <c r="L153" s="495">
        <v>26666.67</v>
      </c>
      <c r="M153" s="495">
        <v>26666.67</v>
      </c>
      <c r="N153" s="495">
        <v>26666.67</v>
      </c>
      <c r="O153" s="495">
        <v>26666.67</v>
      </c>
      <c r="P153" s="495">
        <v>26666.67</v>
      </c>
      <c r="Q153" s="495">
        <v>26666.67</v>
      </c>
      <c r="R153" s="495">
        <v>26666.63</v>
      </c>
      <c r="S153" s="496">
        <f t="shared" si="19"/>
        <v>40220000.000000015</v>
      </c>
      <c r="T153" s="497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56" t="s">
        <v>543</v>
      </c>
      <c r="C154" s="557"/>
      <c r="D154" s="557"/>
      <c r="E154" s="557"/>
      <c r="F154" s="557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54" t="s">
        <v>544</v>
      </c>
      <c r="C155" s="555"/>
      <c r="D155" s="555"/>
      <c r="E155" s="555"/>
      <c r="F155" s="555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558" t="s">
        <v>114</v>
      </c>
      <c r="C156" s="559"/>
      <c r="D156" s="559"/>
      <c r="E156" s="559"/>
      <c r="F156" s="559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60" t="s">
        <v>116</v>
      </c>
      <c r="C157" s="561"/>
      <c r="D157" s="561"/>
      <c r="E157" s="561"/>
      <c r="F157" s="561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60" t="s">
        <v>93</v>
      </c>
      <c r="C158" s="561"/>
      <c r="D158" s="561"/>
      <c r="E158" s="561"/>
      <c r="F158" s="561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32" activePane="bottomLeft" state="frozen"/>
      <selection pane="bottomLeft" activeCell="G55" sqref="G55:M55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2018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4663130000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48" t="s">
        <v>681</v>
      </c>
      <c r="C10" s="549"/>
      <c r="D10" s="549"/>
      <c r="E10" s="549"/>
      <c r="F10" s="549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542" t="s">
        <v>774</v>
      </c>
      <c r="C30" s="543"/>
      <c r="D30" s="543"/>
      <c r="E30" s="543"/>
      <c r="F30" s="543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44" t="s">
        <v>120</v>
      </c>
      <c r="C31" s="545"/>
      <c r="D31" s="545"/>
      <c r="E31" s="545"/>
      <c r="F31" s="545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536" t="s">
        <v>122</v>
      </c>
      <c r="C32" s="537"/>
      <c r="D32" s="537"/>
      <c r="E32" s="537"/>
      <c r="F32" s="537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536" t="s">
        <v>133</v>
      </c>
      <c r="C33" s="537"/>
      <c r="D33" s="537"/>
      <c r="E33" s="537"/>
      <c r="F33" s="537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536" t="s">
        <v>148</v>
      </c>
      <c r="C34" s="537"/>
      <c r="D34" s="537"/>
      <c r="E34" s="537"/>
      <c r="F34" s="537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536" t="s">
        <v>162</v>
      </c>
      <c r="C35" s="537"/>
      <c r="D35" s="537"/>
      <c r="E35" s="537"/>
      <c r="F35" s="537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536" t="s">
        <v>182</v>
      </c>
      <c r="C36" s="537"/>
      <c r="D36" s="537"/>
      <c r="E36" s="537"/>
      <c r="F36" s="537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536" t="s">
        <v>190</v>
      </c>
      <c r="C37" s="537"/>
      <c r="D37" s="537"/>
      <c r="E37" s="537"/>
      <c r="F37" s="537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536" t="s">
        <v>196</v>
      </c>
      <c r="C38" s="537"/>
      <c r="D38" s="537"/>
      <c r="E38" s="537"/>
      <c r="F38" s="537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536" t="s">
        <v>204</v>
      </c>
      <c r="C39" s="537"/>
      <c r="D39" s="537"/>
      <c r="E39" s="537"/>
      <c r="F39" s="537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536" t="s">
        <v>212</v>
      </c>
      <c r="C40" s="537"/>
      <c r="D40" s="537"/>
      <c r="E40" s="537"/>
      <c r="F40" s="537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536" t="s">
        <v>803</v>
      </c>
      <c r="C41" s="537"/>
      <c r="D41" s="537"/>
      <c r="E41" s="537"/>
      <c r="F41" s="537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32" t="s">
        <v>230</v>
      </c>
      <c r="C42" s="533"/>
      <c r="D42" s="533"/>
      <c r="E42" s="533"/>
      <c r="F42" s="533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536" t="s">
        <v>232</v>
      </c>
      <c r="C43" s="537"/>
      <c r="D43" s="537"/>
      <c r="E43" s="537"/>
      <c r="F43" s="537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536" t="s">
        <v>248</v>
      </c>
      <c r="C44" s="537"/>
      <c r="D44" s="537"/>
      <c r="E44" s="537"/>
      <c r="F44" s="537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536" t="s">
        <v>259</v>
      </c>
      <c r="C45" s="537"/>
      <c r="D45" s="537"/>
      <c r="E45" s="537"/>
      <c r="F45" s="537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536" t="s">
        <v>274</v>
      </c>
      <c r="C46" s="537"/>
      <c r="D46" s="537"/>
      <c r="E46" s="537"/>
      <c r="F46" s="537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616" t="s">
        <v>278</v>
      </c>
      <c r="C47" s="617"/>
      <c r="D47" s="617"/>
      <c r="E47" s="617"/>
      <c r="F47" s="617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34" t="s">
        <v>286</v>
      </c>
      <c r="C48" s="535"/>
      <c r="D48" s="535"/>
      <c r="E48" s="535"/>
      <c r="F48" s="535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34" t="s">
        <v>320</v>
      </c>
      <c r="C49" s="535"/>
      <c r="D49" s="535"/>
      <c r="E49" s="535"/>
      <c r="F49" s="535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603" t="s">
        <v>113</v>
      </c>
      <c r="C50" s="604"/>
      <c r="D50" s="604"/>
      <c r="E50" s="604"/>
      <c r="F50" s="604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504" t="s">
        <v>366</v>
      </c>
      <c r="C51" s="505"/>
      <c r="D51" s="505"/>
      <c r="E51" s="505"/>
      <c r="F51" s="505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22" t="s">
        <v>359</v>
      </c>
      <c r="C52" s="523"/>
      <c r="D52" s="523"/>
      <c r="E52" s="523"/>
      <c r="F52" s="523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97" t="s">
        <v>795</v>
      </c>
      <c r="C53" s="598"/>
      <c r="D53" s="598"/>
      <c r="E53" s="598"/>
      <c r="F53" s="598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99" t="s">
        <v>685</v>
      </c>
      <c r="C54" s="600"/>
      <c r="D54" s="600"/>
      <c r="E54" s="600"/>
      <c r="F54" s="600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28" t="s">
        <v>545</v>
      </c>
      <c r="C55" s="529"/>
      <c r="D55" s="529"/>
      <c r="E55" s="529"/>
      <c r="F55" s="529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30" t="s">
        <v>794</v>
      </c>
      <c r="C57" s="531"/>
      <c r="D57" s="531"/>
      <c r="E57" s="531"/>
      <c r="F57" s="531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52" t="s">
        <v>352</v>
      </c>
      <c r="C58" s="553"/>
      <c r="D58" s="553"/>
      <c r="E58" s="553"/>
      <c r="F58" s="553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20" t="s">
        <v>355</v>
      </c>
      <c r="C59" s="521"/>
      <c r="D59" s="521"/>
      <c r="E59" s="521"/>
      <c r="F59" s="521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504" t="s">
        <v>357</v>
      </c>
      <c r="C60" s="505"/>
      <c r="D60" s="505"/>
      <c r="E60" s="505"/>
      <c r="F60" s="505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614" t="s">
        <v>336</v>
      </c>
      <c r="C61" s="615"/>
      <c r="D61" s="615"/>
      <c r="E61" s="615"/>
      <c r="F61" s="615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24" t="s">
        <v>543</v>
      </c>
      <c r="C62" s="525"/>
      <c r="D62" s="525"/>
      <c r="E62" s="525"/>
      <c r="F62" s="525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526" t="s">
        <v>544</v>
      </c>
      <c r="C63" s="527"/>
      <c r="D63" s="527"/>
      <c r="E63" s="527"/>
      <c r="F63" s="527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20" t="s">
        <v>114</v>
      </c>
      <c r="C64" s="521"/>
      <c r="D64" s="521"/>
      <c r="E64" s="521"/>
      <c r="F64" s="521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504" t="s">
        <v>116</v>
      </c>
      <c r="C65" s="505"/>
      <c r="D65" s="505"/>
      <c r="E65" s="505"/>
      <c r="F65" s="505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504" t="s">
        <v>93</v>
      </c>
      <c r="C66" s="505"/>
      <c r="D66" s="505"/>
      <c r="E66" s="505"/>
      <c r="F66" s="505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84" t="s">
        <v>552</v>
      </c>
      <c r="C103" s="585"/>
      <c r="D103" s="585"/>
      <c r="E103" s="585"/>
      <c r="F103" s="585"/>
      <c r="G103" s="592">
        <v>2018</v>
      </c>
      <c r="H103" s="593"/>
      <c r="I103" s="593"/>
      <c r="J103" s="593"/>
      <c r="K103" s="593"/>
      <c r="L103" s="593"/>
      <c r="M103" s="593"/>
      <c r="N103" s="593"/>
      <c r="O103" s="593"/>
      <c r="P103" s="593"/>
      <c r="Q103" s="593"/>
      <c r="R103" s="594"/>
      <c r="S103" s="107" t="str">
        <f>+S7</f>
        <v>BDP</v>
      </c>
      <c r="T103" s="108">
        <f>+T7</f>
        <v>4663130000</v>
      </c>
    </row>
    <row r="104" spans="1:21" ht="15.75" customHeight="1">
      <c r="B104" s="586"/>
      <c r="C104" s="587"/>
      <c r="D104" s="587"/>
      <c r="E104" s="587"/>
      <c r="F104" s="588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92" t="s">
        <v>809</v>
      </c>
      <c r="T104" s="594">
        <f>+T8</f>
        <v>0</v>
      </c>
    </row>
    <row r="105" spans="1:21" ht="13.5" thickBot="1">
      <c r="B105" s="589"/>
      <c r="C105" s="590"/>
      <c r="D105" s="590"/>
      <c r="E105" s="590"/>
      <c r="F105" s="591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80" t="s">
        <v>681</v>
      </c>
      <c r="C106" s="581"/>
      <c r="D106" s="581"/>
      <c r="E106" s="581"/>
      <c r="F106" s="581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82" t="s">
        <v>21</v>
      </c>
      <c r="C107" s="583"/>
      <c r="D107" s="583"/>
      <c r="E107" s="583"/>
      <c r="F107" s="583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0" t="s">
        <v>23</v>
      </c>
      <c r="C108" s="571"/>
      <c r="D108" s="571"/>
      <c r="E108" s="571"/>
      <c r="F108" s="571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70" t="s">
        <v>25</v>
      </c>
      <c r="C109" s="571"/>
      <c r="D109" s="571"/>
      <c r="E109" s="571"/>
      <c r="F109" s="571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70" t="s">
        <v>27</v>
      </c>
      <c r="C110" s="571"/>
      <c r="D110" s="571"/>
      <c r="E110" s="571"/>
      <c r="F110" s="571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70" t="s">
        <v>29</v>
      </c>
      <c r="C111" s="571"/>
      <c r="D111" s="571"/>
      <c r="E111" s="571"/>
      <c r="F111" s="571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70" t="s">
        <v>31</v>
      </c>
      <c r="C112" s="571"/>
      <c r="D112" s="571"/>
      <c r="E112" s="571"/>
      <c r="F112" s="571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70" t="s">
        <v>33</v>
      </c>
      <c r="C113" s="571"/>
      <c r="D113" s="571"/>
      <c r="E113" s="571"/>
      <c r="F113" s="571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70" t="s">
        <v>722</v>
      </c>
      <c r="C114" s="571"/>
      <c r="D114" s="571"/>
      <c r="E114" s="571"/>
      <c r="F114" s="571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78" t="s">
        <v>37</v>
      </c>
      <c r="C115" s="579"/>
      <c r="D115" s="579"/>
      <c r="E115" s="579"/>
      <c r="F115" s="579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70" t="s">
        <v>39</v>
      </c>
      <c r="C116" s="571"/>
      <c r="D116" s="571"/>
      <c r="E116" s="571"/>
      <c r="F116" s="571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70" t="s">
        <v>41</v>
      </c>
      <c r="C117" s="571"/>
      <c r="D117" s="571"/>
      <c r="E117" s="571"/>
      <c r="F117" s="571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70" t="s">
        <v>43</v>
      </c>
      <c r="C118" s="571"/>
      <c r="D118" s="571"/>
      <c r="E118" s="571"/>
      <c r="F118" s="571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70" t="s">
        <v>45</v>
      </c>
      <c r="C119" s="571"/>
      <c r="D119" s="571"/>
      <c r="E119" s="571"/>
      <c r="F119" s="571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76" t="s">
        <v>47</v>
      </c>
      <c r="C120" s="577"/>
      <c r="D120" s="577"/>
      <c r="E120" s="577"/>
      <c r="F120" s="577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76" t="s">
        <v>61</v>
      </c>
      <c r="C121" s="577"/>
      <c r="D121" s="577"/>
      <c r="E121" s="577"/>
      <c r="F121" s="577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76" t="s">
        <v>81</v>
      </c>
      <c r="C122" s="577"/>
      <c r="D122" s="577"/>
      <c r="E122" s="577"/>
      <c r="F122" s="577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76" t="s">
        <v>99</v>
      </c>
      <c r="C123" s="577"/>
      <c r="D123" s="577"/>
      <c r="E123" s="577"/>
      <c r="F123" s="577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72" t="s">
        <v>105</v>
      </c>
      <c r="C124" s="573"/>
      <c r="D124" s="573"/>
      <c r="E124" s="573"/>
      <c r="F124" s="573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54" t="s">
        <v>811</v>
      </c>
      <c r="C125" s="555"/>
      <c r="D125" s="555"/>
      <c r="E125" s="555"/>
      <c r="F125" s="555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612" t="s">
        <v>774</v>
      </c>
      <c r="C126" s="613"/>
      <c r="D126" s="613"/>
      <c r="E126" s="613"/>
      <c r="F126" s="613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74" t="s">
        <v>120</v>
      </c>
      <c r="C127" s="575"/>
      <c r="D127" s="575"/>
      <c r="E127" s="575"/>
      <c r="F127" s="575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70" t="s">
        <v>122</v>
      </c>
      <c r="C128" s="571"/>
      <c r="D128" s="571"/>
      <c r="E128" s="571"/>
      <c r="F128" s="571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70" t="s">
        <v>133</v>
      </c>
      <c r="C129" s="571"/>
      <c r="D129" s="571"/>
      <c r="E129" s="571"/>
      <c r="F129" s="571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70" t="s">
        <v>148</v>
      </c>
      <c r="C130" s="571"/>
      <c r="D130" s="571"/>
      <c r="E130" s="571"/>
      <c r="F130" s="571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70" t="s">
        <v>162</v>
      </c>
      <c r="C131" s="571"/>
      <c r="D131" s="571"/>
      <c r="E131" s="571"/>
      <c r="F131" s="571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70" t="s">
        <v>182</v>
      </c>
      <c r="C132" s="571"/>
      <c r="D132" s="571"/>
      <c r="E132" s="571"/>
      <c r="F132" s="571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70" t="s">
        <v>190</v>
      </c>
      <c r="C133" s="571"/>
      <c r="D133" s="571"/>
      <c r="E133" s="571"/>
      <c r="F133" s="571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70" t="s">
        <v>196</v>
      </c>
      <c r="C134" s="571"/>
      <c r="D134" s="571"/>
      <c r="E134" s="571"/>
      <c r="F134" s="571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70" t="s">
        <v>204</v>
      </c>
      <c r="C135" s="571"/>
      <c r="D135" s="571"/>
      <c r="E135" s="571"/>
      <c r="F135" s="571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70" t="s">
        <v>212</v>
      </c>
      <c r="C136" s="571"/>
      <c r="D136" s="571"/>
      <c r="E136" s="571"/>
      <c r="F136" s="571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70" t="s">
        <v>803</v>
      </c>
      <c r="C137" s="571"/>
      <c r="D137" s="571"/>
      <c r="E137" s="571"/>
      <c r="F137" s="571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66" t="s">
        <v>230</v>
      </c>
      <c r="C138" s="567"/>
      <c r="D138" s="567"/>
      <c r="E138" s="567"/>
      <c r="F138" s="567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70" t="s">
        <v>232</v>
      </c>
      <c r="C139" s="571"/>
      <c r="D139" s="571"/>
      <c r="E139" s="571"/>
      <c r="F139" s="571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70" t="s">
        <v>248</v>
      </c>
      <c r="C140" s="571"/>
      <c r="D140" s="571"/>
      <c r="E140" s="571"/>
      <c r="F140" s="571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70" t="s">
        <v>259</v>
      </c>
      <c r="C141" s="571"/>
      <c r="D141" s="571"/>
      <c r="E141" s="571"/>
      <c r="F141" s="571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70" t="s">
        <v>274</v>
      </c>
      <c r="C142" s="571"/>
      <c r="D142" s="571"/>
      <c r="E142" s="571"/>
      <c r="F142" s="571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70" t="s">
        <v>278</v>
      </c>
      <c r="C143" s="571"/>
      <c r="D143" s="571"/>
      <c r="E143" s="571"/>
      <c r="F143" s="571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68" t="s">
        <v>286</v>
      </c>
      <c r="C144" s="569"/>
      <c r="D144" s="569"/>
      <c r="E144" s="569"/>
      <c r="F144" s="569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68" t="s">
        <v>812</v>
      </c>
      <c r="C145" s="569"/>
      <c r="D145" s="569"/>
      <c r="E145" s="569"/>
      <c r="F145" s="569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60" t="s">
        <v>113</v>
      </c>
      <c r="C146" s="561"/>
      <c r="D146" s="561"/>
      <c r="E146" s="561"/>
      <c r="F146" s="561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60" t="s">
        <v>366</v>
      </c>
      <c r="C147" s="561"/>
      <c r="D147" s="561"/>
      <c r="E147" s="561"/>
      <c r="F147" s="561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60" t="s">
        <v>359</v>
      </c>
      <c r="C148" s="561"/>
      <c r="D148" s="561"/>
      <c r="E148" s="561"/>
      <c r="F148" s="561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562" t="s">
        <v>545</v>
      </c>
      <c r="C150" s="563"/>
      <c r="D150" s="563"/>
      <c r="E150" s="563"/>
      <c r="F150" s="563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564" t="s">
        <v>813</v>
      </c>
      <c r="C151" s="565"/>
      <c r="D151" s="565"/>
      <c r="E151" s="565"/>
      <c r="F151" s="565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66" t="s">
        <v>352</v>
      </c>
      <c r="C152" s="567"/>
      <c r="D152" s="567"/>
      <c r="E152" s="567"/>
      <c r="F152" s="567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558" t="s">
        <v>355</v>
      </c>
      <c r="C153" s="559"/>
      <c r="D153" s="559"/>
      <c r="E153" s="559"/>
      <c r="F153" s="559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60" t="s">
        <v>357</v>
      </c>
      <c r="C154" s="561"/>
      <c r="D154" s="561"/>
      <c r="E154" s="561"/>
      <c r="F154" s="561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60" t="s">
        <v>365</v>
      </c>
      <c r="C155" s="561"/>
      <c r="D155" s="561"/>
      <c r="E155" s="561"/>
      <c r="F155" s="561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56" t="s">
        <v>543</v>
      </c>
      <c r="C157" s="557"/>
      <c r="D157" s="557"/>
      <c r="E157" s="557"/>
      <c r="F157" s="557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54" t="s">
        <v>544</v>
      </c>
      <c r="C158" s="555"/>
      <c r="D158" s="555"/>
      <c r="E158" s="555"/>
      <c r="F158" s="555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558" t="s">
        <v>114</v>
      </c>
      <c r="C159" s="559"/>
      <c r="D159" s="559"/>
      <c r="E159" s="559"/>
      <c r="F159" s="559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60" t="s">
        <v>116</v>
      </c>
      <c r="C160" s="561"/>
      <c r="D160" s="561"/>
      <c r="E160" s="561"/>
      <c r="F160" s="561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60" t="s">
        <v>93</v>
      </c>
      <c r="C161" s="561"/>
      <c r="D161" s="561"/>
      <c r="E161" s="561"/>
      <c r="F161" s="561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21" t="s">
        <v>555</v>
      </c>
      <c r="F6" s="618">
        <v>2006</v>
      </c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20"/>
      <c r="R6" s="618">
        <v>2007</v>
      </c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20"/>
      <c r="AD6" s="618">
        <v>2008</v>
      </c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20"/>
      <c r="AP6" s="618">
        <v>2009</v>
      </c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20"/>
      <c r="BB6" s="618">
        <v>2010</v>
      </c>
      <c r="BC6" s="619"/>
      <c r="BD6" s="619"/>
      <c r="BE6" s="619"/>
      <c r="BF6" s="619"/>
      <c r="BG6" s="619"/>
      <c r="BH6" s="619"/>
      <c r="BI6" s="619"/>
      <c r="BJ6" s="619"/>
      <c r="BK6" s="619"/>
      <c r="BL6" s="619"/>
      <c r="BM6" s="620"/>
      <c r="BN6" s="618">
        <v>2011</v>
      </c>
      <c r="BO6" s="619"/>
      <c r="BP6" s="619"/>
      <c r="BQ6" s="619"/>
      <c r="BR6" s="619"/>
      <c r="BS6" s="619"/>
      <c r="BT6" s="619"/>
      <c r="BU6" s="619"/>
      <c r="BV6" s="619"/>
      <c r="BW6" s="619"/>
      <c r="BX6" s="619"/>
      <c r="BY6" s="620"/>
      <c r="BZ6" s="619">
        <v>2012</v>
      </c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619"/>
      <c r="CL6" s="618">
        <v>2013</v>
      </c>
      <c r="CM6" s="619"/>
      <c r="CN6" s="619"/>
      <c r="CO6" s="619"/>
      <c r="CP6" s="619"/>
      <c r="CQ6" s="619"/>
      <c r="CR6" s="619"/>
      <c r="CS6" s="619"/>
      <c r="CT6" s="619"/>
      <c r="CU6" s="619"/>
      <c r="CV6" s="619"/>
      <c r="CW6" s="620"/>
      <c r="CX6" s="618">
        <v>2014</v>
      </c>
      <c r="CY6" s="619"/>
      <c r="CZ6" s="619"/>
      <c r="DA6" s="619"/>
      <c r="DB6" s="619"/>
      <c r="DC6" s="619"/>
      <c r="DD6" s="619"/>
      <c r="DE6" s="619"/>
      <c r="DF6" s="619"/>
      <c r="DG6" s="619"/>
      <c r="DH6" s="619"/>
      <c r="DI6" s="620"/>
      <c r="DJ6" s="618">
        <v>2015</v>
      </c>
      <c r="DK6" s="619"/>
      <c r="DL6" s="619"/>
      <c r="DM6" s="619"/>
      <c r="DN6" s="619"/>
      <c r="DO6" s="619"/>
      <c r="DP6" s="619"/>
      <c r="DQ6" s="619"/>
      <c r="DR6" s="619"/>
      <c r="DS6" s="619"/>
      <c r="DT6" s="619"/>
      <c r="DU6" s="620"/>
    </row>
    <row r="7" spans="1:321">
      <c r="E7" s="621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1483663.6700000002</v>
      </c>
      <c r="FS35" s="353">
        <f t="shared" si="9"/>
        <v>2100277.88</v>
      </c>
      <c r="FT35" s="353">
        <f t="shared" si="9"/>
        <v>4243202.3499999996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3216715.11</v>
      </c>
      <c r="FZ35" s="304">
        <f t="shared" si="9"/>
        <v>11550447.479999999</v>
      </c>
      <c r="GA35" s="353">
        <f t="shared" si="9"/>
        <v>2887676.87</v>
      </c>
      <c r="GB35" s="353">
        <f t="shared" si="9"/>
        <v>1756272.85</v>
      </c>
      <c r="GC35" s="353">
        <f t="shared" si="9"/>
        <v>2614148.87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2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21" t="s">
        <v>676</v>
      </c>
      <c r="F214" s="618">
        <v>2006</v>
      </c>
      <c r="G214" s="619"/>
      <c r="H214" s="619"/>
      <c r="I214" s="619"/>
      <c r="J214" s="619"/>
      <c r="K214" s="619"/>
      <c r="L214" s="619"/>
      <c r="M214" s="619"/>
      <c r="N214" s="619"/>
      <c r="O214" s="619"/>
      <c r="P214" s="619"/>
      <c r="Q214" s="620"/>
      <c r="R214" s="618">
        <v>2007</v>
      </c>
      <c r="S214" s="619"/>
      <c r="T214" s="619"/>
      <c r="U214" s="619"/>
      <c r="V214" s="619"/>
      <c r="W214" s="619"/>
      <c r="X214" s="619"/>
      <c r="Y214" s="619"/>
      <c r="Z214" s="619"/>
      <c r="AA214" s="619"/>
      <c r="AB214" s="619"/>
      <c r="AC214" s="620"/>
      <c r="AD214" s="618">
        <v>2008</v>
      </c>
      <c r="AE214" s="619"/>
      <c r="AF214" s="619"/>
      <c r="AG214" s="619"/>
      <c r="AH214" s="619"/>
      <c r="AI214" s="619"/>
      <c r="AJ214" s="619"/>
      <c r="AK214" s="619"/>
      <c r="AL214" s="619"/>
      <c r="AM214" s="619"/>
      <c r="AN214" s="619"/>
      <c r="AO214" s="620"/>
      <c r="AP214" s="618">
        <v>2009</v>
      </c>
      <c r="AQ214" s="619"/>
      <c r="AR214" s="619"/>
      <c r="AS214" s="619"/>
      <c r="AT214" s="619"/>
      <c r="AU214" s="619"/>
      <c r="AV214" s="619"/>
      <c r="AW214" s="619"/>
      <c r="AX214" s="619"/>
      <c r="AY214" s="619"/>
      <c r="AZ214" s="619"/>
      <c r="BA214" s="620"/>
      <c r="BB214" s="618">
        <v>2010</v>
      </c>
      <c r="BC214" s="619"/>
      <c r="BD214" s="619"/>
      <c r="BE214" s="619"/>
      <c r="BF214" s="619"/>
      <c r="BG214" s="619"/>
      <c r="BH214" s="619"/>
      <c r="BI214" s="619"/>
      <c r="BJ214" s="619"/>
      <c r="BK214" s="619"/>
      <c r="BL214" s="619"/>
      <c r="BM214" s="620"/>
      <c r="BN214" s="618">
        <v>2011</v>
      </c>
      <c r="BO214" s="619"/>
      <c r="BP214" s="619"/>
      <c r="BQ214" s="619"/>
      <c r="BR214" s="619"/>
      <c r="BS214" s="619"/>
      <c r="BT214" s="619"/>
      <c r="BU214" s="619"/>
      <c r="BV214" s="619"/>
      <c r="BW214" s="619"/>
      <c r="BX214" s="619"/>
      <c r="BY214" s="620"/>
      <c r="BZ214" s="619">
        <v>2012</v>
      </c>
      <c r="CA214" s="619"/>
      <c r="CB214" s="619"/>
      <c r="CC214" s="619"/>
      <c r="CD214" s="619"/>
      <c r="CE214" s="619"/>
      <c r="CF214" s="619"/>
      <c r="CG214" s="619"/>
      <c r="CH214" s="619"/>
      <c r="CI214" s="619"/>
      <c r="CJ214" s="619"/>
      <c r="CK214" s="619"/>
      <c r="CL214" s="618">
        <v>2013</v>
      </c>
      <c r="CM214" s="619"/>
      <c r="CN214" s="619"/>
      <c r="CO214" s="619"/>
      <c r="CP214" s="619"/>
      <c r="CQ214" s="619"/>
      <c r="CR214" s="619"/>
      <c r="CS214" s="619"/>
      <c r="CT214" s="619"/>
      <c r="CU214" s="619"/>
      <c r="CV214" s="619"/>
      <c r="CW214" s="620"/>
      <c r="CX214" s="618">
        <v>2014</v>
      </c>
      <c r="CY214" s="619"/>
      <c r="CZ214" s="619"/>
      <c r="DA214" s="619"/>
      <c r="DB214" s="619"/>
      <c r="DC214" s="619"/>
      <c r="DD214" s="619"/>
      <c r="DE214" s="619"/>
      <c r="DF214" s="619"/>
      <c r="DG214" s="619"/>
      <c r="DH214" s="619"/>
      <c r="DI214" s="620"/>
      <c r="DJ214" s="618">
        <v>2015</v>
      </c>
      <c r="DK214" s="619"/>
      <c r="DL214" s="619"/>
      <c r="DM214" s="619"/>
      <c r="DN214" s="619"/>
      <c r="DO214" s="619"/>
      <c r="DP214" s="619"/>
      <c r="DQ214" s="619"/>
      <c r="DR214" s="619"/>
      <c r="DS214" s="619"/>
      <c r="DT214" s="619"/>
      <c r="DU214" s="620"/>
    </row>
    <row r="215" spans="1:187">
      <c r="E215" s="621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9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Septembar</v>
      </c>
    </row>
    <row r="245" spans="4:7">
      <c r="D245" s="49"/>
      <c r="E245" s="9"/>
      <c r="F245" s="10"/>
      <c r="G245" s="52" t="str">
        <f>+CONCATENATE("Jan - ",LEFT(G244,3))</f>
        <v>Jan - Sep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Sep</v>
      </c>
      <c r="F253" s="10" t="str">
        <f>+CONCATENATE("Analytics for period ",G245)</f>
        <v>Analytics for period Jan - Sep</v>
      </c>
      <c r="G253" s="52" t="str">
        <f>+IF(ISBLANK(IF($B$2=1,E253,F253)),"",IF($B$2=1,E253,F253))</f>
        <v>Analitika za period Jan - Sep</v>
      </c>
    </row>
    <row r="254" spans="4:7">
      <c r="D254" s="46"/>
      <c r="E254" s="9" t="str">
        <f>+CONCATENATE("Analitika za period ",G244)</f>
        <v>Analitika za period Septembar</v>
      </c>
      <c r="F254" s="10" t="str">
        <f>+CONCATENATE("Analytics for period ",G244)</f>
        <v>Analytics for period Septembar</v>
      </c>
      <c r="G254" s="52" t="str">
        <f>+IF(ISBLANK(IF($B$2=1,E254,F254)),"",IF($B$2=1,E254,F254))</f>
        <v>Analitika za period Septembar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Septembar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Septembar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Septembar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Septembar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Septembar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Septembar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Pregled</vt:lpstr>
      <vt:lpstr>Analitika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2021-11-08T10:09:33Z</cp:lastPrinted>
  <dcterms:created xsi:type="dcterms:W3CDTF">2014-09-15T13:41:17Z</dcterms:created>
  <dcterms:modified xsi:type="dcterms:W3CDTF">2021-11-09T08:47:39Z</dcterms:modified>
</cp:coreProperties>
</file>