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ctrlProps/ctrlProp20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drawings/drawing7.xml" ContentType="application/vnd.openxmlformats-officedocument.drawing+xml"/>
  <Override PartName="/xl/ctrlProps/ctrlProp19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0" yWindow="0" windowWidth="24000" windowHeight="9000" tabRatio="587" firstSheet="1" activeTab="1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'2018'!$A$102:$A$161</definedName>
  </definedNames>
  <calcPr calcId="125725"/>
</workbook>
</file>

<file path=xl/calcChain.xml><?xml version="1.0" encoding="utf-8"?>
<calcChain xmlns="http://schemas.openxmlformats.org/spreadsheetml/2006/main">
  <c r="R61" i="11"/>
  <c r="N61"/>
  <c r="R64"/>
  <c r="R65"/>
  <c r="R66"/>
  <c r="R11"/>
  <c r="R12"/>
  <c r="R13"/>
  <c r="R14"/>
  <c r="R15"/>
  <c r="R16"/>
  <c r="R17"/>
  <c r="R18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7"/>
  <c r="R58"/>
  <c r="R59"/>
  <c r="T61" l="1"/>
  <c r="S61"/>
  <c r="H155" i="13"/>
  <c r="I155"/>
  <c r="J155"/>
  <c r="K155"/>
  <c r="O61" i="11" s="1"/>
  <c r="L155" i="13"/>
  <c r="M155"/>
  <c r="N155"/>
  <c r="O155"/>
  <c r="P155"/>
  <c r="Q155"/>
  <c r="R155"/>
  <c r="G155"/>
  <c r="EX369" i="6"/>
  <c r="H61" i="11" l="1"/>
  <c r="Q61"/>
  <c r="P61"/>
  <c r="S155" i="13"/>
  <c r="T155" s="1"/>
  <c r="H60"/>
  <c r="I60"/>
  <c r="J60"/>
  <c r="K60"/>
  <c r="L60"/>
  <c r="M60"/>
  <c r="N60" i="11" s="1"/>
  <c r="N60" i="13"/>
  <c r="O60"/>
  <c r="P60"/>
  <c r="Q60"/>
  <c r="R60"/>
  <c r="G60"/>
  <c r="EX160" i="6"/>
  <c r="S60" i="13" l="1"/>
  <c r="T60" s="1"/>
  <c r="G61" i="11" l="1"/>
  <c r="J61" s="1"/>
  <c r="I61"/>
  <c r="G64" i="13"/>
  <c r="M61" i="11" l="1"/>
  <c r="L61"/>
  <c r="A159" i="16"/>
  <c r="A158"/>
  <c r="A157"/>
  <c r="A156"/>
  <c r="A155"/>
  <c r="A154"/>
  <c r="G153"/>
  <c r="A153"/>
  <c r="M153" s="1"/>
  <c r="I152"/>
  <c r="G152"/>
  <c r="A152"/>
  <c r="M152" s="1"/>
  <c r="M151"/>
  <c r="I151"/>
  <c r="G151"/>
  <c r="A151"/>
  <c r="A150"/>
  <c r="A149"/>
  <c r="A148"/>
  <c r="S147"/>
  <c r="T147" s="1"/>
  <c r="G147"/>
  <c r="R146"/>
  <c r="Q146"/>
  <c r="P146"/>
  <c r="O146"/>
  <c r="N146"/>
  <c r="M146"/>
  <c r="L146"/>
  <c r="K146"/>
  <c r="J146"/>
  <c r="I146"/>
  <c r="H146"/>
  <c r="G146"/>
  <c r="A146"/>
  <c r="R145"/>
  <c r="Q145"/>
  <c r="P145"/>
  <c r="O145"/>
  <c r="N145"/>
  <c r="M145"/>
  <c r="L145"/>
  <c r="K145"/>
  <c r="J145"/>
  <c r="I145"/>
  <c r="H145"/>
  <c r="G145"/>
  <c r="A145"/>
  <c r="R144"/>
  <c r="Q144"/>
  <c r="P144"/>
  <c r="O144"/>
  <c r="N144"/>
  <c r="M144"/>
  <c r="L144"/>
  <c r="K144"/>
  <c r="J144"/>
  <c r="I144"/>
  <c r="H144"/>
  <c r="G144"/>
  <c r="A144"/>
  <c r="R143"/>
  <c r="P143"/>
  <c r="O143"/>
  <c r="N143"/>
  <c r="L143"/>
  <c r="K143"/>
  <c r="J143"/>
  <c r="H143"/>
  <c r="G143"/>
  <c r="A143"/>
  <c r="Q143" s="1"/>
  <c r="R142"/>
  <c r="P142"/>
  <c r="O142"/>
  <c r="N142"/>
  <c r="L142"/>
  <c r="K142"/>
  <c r="J142"/>
  <c r="H142"/>
  <c r="G142"/>
  <c r="A142"/>
  <c r="Q142" s="1"/>
  <c r="R141"/>
  <c r="Q141"/>
  <c r="P141"/>
  <c r="O141"/>
  <c r="N141"/>
  <c r="M141"/>
  <c r="L141"/>
  <c r="K141"/>
  <c r="J141"/>
  <c r="I141"/>
  <c r="H141"/>
  <c r="G141"/>
  <c r="A141"/>
  <c r="R140"/>
  <c r="Q140"/>
  <c r="P140"/>
  <c r="O140"/>
  <c r="N140"/>
  <c r="M140"/>
  <c r="L140"/>
  <c r="K140"/>
  <c r="J140"/>
  <c r="I140"/>
  <c r="H140"/>
  <c r="G140"/>
  <c r="A140"/>
  <c r="R139"/>
  <c r="Q139"/>
  <c r="P139"/>
  <c r="O139"/>
  <c r="N139"/>
  <c r="M139"/>
  <c r="L139"/>
  <c r="K139"/>
  <c r="J139"/>
  <c r="I139"/>
  <c r="H139"/>
  <c r="G139"/>
  <c r="A139"/>
  <c r="R138"/>
  <c r="Q138"/>
  <c r="P138"/>
  <c r="O138"/>
  <c r="N138"/>
  <c r="M138"/>
  <c r="L138"/>
  <c r="K138"/>
  <c r="J138"/>
  <c r="I138"/>
  <c r="H138"/>
  <c r="G138"/>
  <c r="A138"/>
  <c r="R137"/>
  <c r="Q137"/>
  <c r="P137"/>
  <c r="O137"/>
  <c r="N137"/>
  <c r="M137"/>
  <c r="L137"/>
  <c r="K137"/>
  <c r="J137"/>
  <c r="I137"/>
  <c r="H137"/>
  <c r="G137"/>
  <c r="A137"/>
  <c r="A136"/>
  <c r="R135"/>
  <c r="Q135"/>
  <c r="P135"/>
  <c r="O135"/>
  <c r="N135"/>
  <c r="M135"/>
  <c r="L135"/>
  <c r="K135"/>
  <c r="J135"/>
  <c r="I135"/>
  <c r="H135"/>
  <c r="G135"/>
  <c r="A135"/>
  <c r="R134"/>
  <c r="Q134"/>
  <c r="P134"/>
  <c r="O134"/>
  <c r="N134"/>
  <c r="M134"/>
  <c r="L134"/>
  <c r="K134"/>
  <c r="J134"/>
  <c r="I134"/>
  <c r="H134"/>
  <c r="G134"/>
  <c r="A134"/>
  <c r="R133"/>
  <c r="Q133"/>
  <c r="P133"/>
  <c r="O133"/>
  <c r="N133"/>
  <c r="M133"/>
  <c r="L133"/>
  <c r="K133"/>
  <c r="J133"/>
  <c r="I133"/>
  <c r="H133"/>
  <c r="G133"/>
  <c r="A133"/>
  <c r="R132"/>
  <c r="Q132"/>
  <c r="P132"/>
  <c r="O132"/>
  <c r="N132"/>
  <c r="M132"/>
  <c r="L132"/>
  <c r="K132"/>
  <c r="J132"/>
  <c r="I132"/>
  <c r="H132"/>
  <c r="G132"/>
  <c r="A132"/>
  <c r="R131"/>
  <c r="Q131"/>
  <c r="P131"/>
  <c r="O131"/>
  <c r="N131"/>
  <c r="M131"/>
  <c r="L131"/>
  <c r="K131"/>
  <c r="J131"/>
  <c r="I131"/>
  <c r="H131"/>
  <c r="G131"/>
  <c r="A131"/>
  <c r="R130"/>
  <c r="Q130"/>
  <c r="P130"/>
  <c r="O130"/>
  <c r="N130"/>
  <c r="M130"/>
  <c r="L130"/>
  <c r="K130"/>
  <c r="J130"/>
  <c r="I130"/>
  <c r="H130"/>
  <c r="G130"/>
  <c r="A130"/>
  <c r="R129"/>
  <c r="Q129"/>
  <c r="P129"/>
  <c r="O129"/>
  <c r="N129"/>
  <c r="M129"/>
  <c r="L129"/>
  <c r="K129"/>
  <c r="J129"/>
  <c r="I129"/>
  <c r="H129"/>
  <c r="G129"/>
  <c r="A129"/>
  <c r="R128"/>
  <c r="Q128"/>
  <c r="P128"/>
  <c r="O128"/>
  <c r="N128"/>
  <c r="M128"/>
  <c r="L128"/>
  <c r="K128"/>
  <c r="J128"/>
  <c r="I128"/>
  <c r="H128"/>
  <c r="G128"/>
  <c r="A128"/>
  <c r="R127"/>
  <c r="Q127"/>
  <c r="P127"/>
  <c r="O127"/>
  <c r="N127"/>
  <c r="M127"/>
  <c r="L127"/>
  <c r="K127"/>
  <c r="J127"/>
  <c r="I127"/>
  <c r="H127"/>
  <c r="G127"/>
  <c r="A127"/>
  <c r="R126"/>
  <c r="Q126"/>
  <c r="P126"/>
  <c r="O126"/>
  <c r="N126"/>
  <c r="M126"/>
  <c r="L126"/>
  <c r="K126"/>
  <c r="J126"/>
  <c r="I126"/>
  <c r="H126"/>
  <c r="G126"/>
  <c r="A126"/>
  <c r="A125"/>
  <c r="A124"/>
  <c r="A123"/>
  <c r="R122"/>
  <c r="Q122"/>
  <c r="P122"/>
  <c r="O122"/>
  <c r="N122"/>
  <c r="M122"/>
  <c r="L122"/>
  <c r="K122"/>
  <c r="J122"/>
  <c r="I122"/>
  <c r="H122"/>
  <c r="G122"/>
  <c r="A122"/>
  <c r="R121"/>
  <c r="Q121"/>
  <c r="P121"/>
  <c r="O121"/>
  <c r="N121"/>
  <c r="M121"/>
  <c r="L121"/>
  <c r="K121"/>
  <c r="J121"/>
  <c r="I121"/>
  <c r="H121"/>
  <c r="G121"/>
  <c r="A121"/>
  <c r="R120"/>
  <c r="Q120"/>
  <c r="P120"/>
  <c r="O120"/>
  <c r="N120"/>
  <c r="M120"/>
  <c r="L120"/>
  <c r="K120"/>
  <c r="J120"/>
  <c r="I120"/>
  <c r="H120"/>
  <c r="G120"/>
  <c r="A120"/>
  <c r="R119"/>
  <c r="Q119"/>
  <c r="P119"/>
  <c r="O119"/>
  <c r="N119"/>
  <c r="M119"/>
  <c r="L119"/>
  <c r="K119"/>
  <c r="J119"/>
  <c r="I119"/>
  <c r="H119"/>
  <c r="G119"/>
  <c r="A119"/>
  <c r="R118"/>
  <c r="Q118"/>
  <c r="P118"/>
  <c r="O118"/>
  <c r="N118"/>
  <c r="M118"/>
  <c r="L118"/>
  <c r="K118"/>
  <c r="J118"/>
  <c r="I118"/>
  <c r="H118"/>
  <c r="G118"/>
  <c r="A118"/>
  <c r="R117"/>
  <c r="Q117"/>
  <c r="P117"/>
  <c r="O117"/>
  <c r="N117"/>
  <c r="M117"/>
  <c r="L117"/>
  <c r="K117"/>
  <c r="J117"/>
  <c r="I117"/>
  <c r="H117"/>
  <c r="G117"/>
  <c r="A117"/>
  <c r="R116"/>
  <c r="Q116"/>
  <c r="P116"/>
  <c r="O116"/>
  <c r="N116"/>
  <c r="M116"/>
  <c r="L116"/>
  <c r="K116"/>
  <c r="J116"/>
  <c r="I116"/>
  <c r="H116"/>
  <c r="G116"/>
  <c r="A116"/>
  <c r="R115"/>
  <c r="Q115"/>
  <c r="P115"/>
  <c r="O115"/>
  <c r="N115"/>
  <c r="M115"/>
  <c r="L115"/>
  <c r="K115"/>
  <c r="J115"/>
  <c r="I115"/>
  <c r="H115"/>
  <c r="G115"/>
  <c r="A115"/>
  <c r="R114"/>
  <c r="Q114"/>
  <c r="P114"/>
  <c r="O114"/>
  <c r="N114"/>
  <c r="M114"/>
  <c r="L114"/>
  <c r="K114"/>
  <c r="J114"/>
  <c r="I114"/>
  <c r="H114"/>
  <c r="G114"/>
  <c r="A114"/>
  <c r="A113"/>
  <c r="R112"/>
  <c r="Q112"/>
  <c r="P112"/>
  <c r="O112"/>
  <c r="N112"/>
  <c r="M112"/>
  <c r="L112"/>
  <c r="K112"/>
  <c r="J112"/>
  <c r="I112"/>
  <c r="H112"/>
  <c r="G112"/>
  <c r="A112"/>
  <c r="R111"/>
  <c r="Q111"/>
  <c r="P111"/>
  <c r="O111"/>
  <c r="N111"/>
  <c r="M111"/>
  <c r="L111"/>
  <c r="K111"/>
  <c r="J111"/>
  <c r="I111"/>
  <c r="H111"/>
  <c r="G111"/>
  <c r="A111"/>
  <c r="R110"/>
  <c r="Q110"/>
  <c r="P110"/>
  <c r="O110"/>
  <c r="N110"/>
  <c r="M110"/>
  <c r="L110"/>
  <c r="K110"/>
  <c r="J110"/>
  <c r="I110"/>
  <c r="H110"/>
  <c r="G110"/>
  <c r="A110"/>
  <c r="R109"/>
  <c r="Q109"/>
  <c r="P109"/>
  <c r="O109"/>
  <c r="N109"/>
  <c r="M109"/>
  <c r="L109"/>
  <c r="K109"/>
  <c r="J109"/>
  <c r="I109"/>
  <c r="H109"/>
  <c r="G109"/>
  <c r="A109"/>
  <c r="R108"/>
  <c r="Q108"/>
  <c r="P108"/>
  <c r="O108"/>
  <c r="N108"/>
  <c r="M108"/>
  <c r="L108"/>
  <c r="K108"/>
  <c r="J108"/>
  <c r="I108"/>
  <c r="H108"/>
  <c r="G108"/>
  <c r="A108"/>
  <c r="R107"/>
  <c r="Q107"/>
  <c r="P107"/>
  <c r="O107"/>
  <c r="N107"/>
  <c r="M107"/>
  <c r="L107"/>
  <c r="K107"/>
  <c r="J107"/>
  <c r="I107"/>
  <c r="H107"/>
  <c r="G107"/>
  <c r="A107"/>
  <c r="R106"/>
  <c r="Q106"/>
  <c r="P106"/>
  <c r="O106"/>
  <c r="N106"/>
  <c r="M106"/>
  <c r="L106"/>
  <c r="K106"/>
  <c r="J106"/>
  <c r="I106"/>
  <c r="H106"/>
  <c r="G106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19"/>
  <c r="Q19"/>
  <c r="P19"/>
  <c r="O19"/>
  <c r="N19"/>
  <c r="M19"/>
  <c r="R19" i="11" s="1"/>
  <c r="L19" i="16"/>
  <c r="K19"/>
  <c r="J19"/>
  <c r="I19"/>
  <c r="H19"/>
  <c r="G19"/>
  <c r="R5"/>
  <c r="Q5"/>
  <c r="P5"/>
  <c r="O5"/>
  <c r="N5"/>
  <c r="M5"/>
  <c r="L5"/>
  <c r="K5"/>
  <c r="J5"/>
  <c r="I5"/>
  <c r="H5"/>
  <c r="G5"/>
  <c r="K13" i="11" l="1"/>
  <c r="K17"/>
  <c r="K21"/>
  <c r="K25"/>
  <c r="K33"/>
  <c r="K37"/>
  <c r="K41"/>
  <c r="K45"/>
  <c r="K49"/>
  <c r="K53"/>
  <c r="Q57" i="16"/>
  <c r="G136"/>
  <c r="K136"/>
  <c r="O136"/>
  <c r="I136"/>
  <c r="M136"/>
  <c r="Q136"/>
  <c r="K64" i="11"/>
  <c r="K65"/>
  <c r="K66"/>
  <c r="K14"/>
  <c r="K18"/>
  <c r="K22"/>
  <c r="K26"/>
  <c r="K34"/>
  <c r="K38"/>
  <c r="K46"/>
  <c r="K50"/>
  <c r="K54"/>
  <c r="K58"/>
  <c r="K15"/>
  <c r="K19"/>
  <c r="K23"/>
  <c r="K27"/>
  <c r="K35"/>
  <c r="K39"/>
  <c r="K43"/>
  <c r="K47"/>
  <c r="K51"/>
  <c r="K59"/>
  <c r="K12"/>
  <c r="K16"/>
  <c r="K20"/>
  <c r="K24"/>
  <c r="K28"/>
  <c r="K32"/>
  <c r="K36"/>
  <c r="K40"/>
  <c r="K44"/>
  <c r="K48"/>
  <c r="K52"/>
  <c r="R105" i="16"/>
  <c r="M31"/>
  <c r="I57"/>
  <c r="M57"/>
  <c r="G150"/>
  <c r="N136"/>
  <c r="H57"/>
  <c r="L57"/>
  <c r="P57"/>
  <c r="N42"/>
  <c r="J57"/>
  <c r="N57"/>
  <c r="R57"/>
  <c r="I105"/>
  <c r="M105"/>
  <c r="I113"/>
  <c r="M113"/>
  <c r="Q113"/>
  <c r="K113"/>
  <c r="G125"/>
  <c r="M150"/>
  <c r="H11"/>
  <c r="I42"/>
  <c r="Q42"/>
  <c r="H105"/>
  <c r="L105"/>
  <c r="P105"/>
  <c r="J105"/>
  <c r="K125"/>
  <c r="O125"/>
  <c r="I125"/>
  <c r="Q125"/>
  <c r="H136"/>
  <c r="L136"/>
  <c r="P136"/>
  <c r="S46"/>
  <c r="T46" s="1"/>
  <c r="S54"/>
  <c r="T54" s="1"/>
  <c r="K11"/>
  <c r="K10" s="1"/>
  <c r="P11"/>
  <c r="P10" s="1"/>
  <c r="S20"/>
  <c r="T20" s="1"/>
  <c r="S24"/>
  <c r="T24" s="1"/>
  <c r="S28"/>
  <c r="T28" s="1"/>
  <c r="Q105"/>
  <c r="G11"/>
  <c r="O11"/>
  <c r="O10" s="1"/>
  <c r="N105"/>
  <c r="M125"/>
  <c r="L11"/>
  <c r="L10" s="1"/>
  <c r="S33"/>
  <c r="T33" s="1"/>
  <c r="I31"/>
  <c r="Q31"/>
  <c r="S37"/>
  <c r="T37" s="1"/>
  <c r="J113"/>
  <c r="N113"/>
  <c r="N104" s="1"/>
  <c r="R113"/>
  <c r="S13"/>
  <c r="T13" s="1"/>
  <c r="S17"/>
  <c r="T17" s="1"/>
  <c r="S21"/>
  <c r="T21" s="1"/>
  <c r="S25"/>
  <c r="T25" s="1"/>
  <c r="S34"/>
  <c r="T34" s="1"/>
  <c r="G42"/>
  <c r="K42"/>
  <c r="O42"/>
  <c r="M42"/>
  <c r="S47"/>
  <c r="T47" s="1"/>
  <c r="S51"/>
  <c r="T51" s="1"/>
  <c r="S107"/>
  <c r="T107" s="1"/>
  <c r="S109"/>
  <c r="T109" s="1"/>
  <c r="S111"/>
  <c r="T111" s="1"/>
  <c r="S137"/>
  <c r="T137" s="1"/>
  <c r="S141"/>
  <c r="T141" s="1"/>
  <c r="I11"/>
  <c r="Q11"/>
  <c r="Q10" s="1"/>
  <c r="S14"/>
  <c r="T14" s="1"/>
  <c r="S18"/>
  <c r="T18" s="1"/>
  <c r="S22"/>
  <c r="T22" s="1"/>
  <c r="S26"/>
  <c r="T26" s="1"/>
  <c r="J31"/>
  <c r="N31"/>
  <c r="R31"/>
  <c r="H31"/>
  <c r="L31"/>
  <c r="P31"/>
  <c r="S35"/>
  <c r="T35" s="1"/>
  <c r="S39"/>
  <c r="T39" s="1"/>
  <c r="S44"/>
  <c r="T44" s="1"/>
  <c r="S52"/>
  <c r="T52" s="1"/>
  <c r="H113"/>
  <c r="L113"/>
  <c r="P113"/>
  <c r="S129"/>
  <c r="T129" s="1"/>
  <c r="S133"/>
  <c r="T133" s="1"/>
  <c r="J136"/>
  <c r="R136"/>
  <c r="S16"/>
  <c r="T16" s="1"/>
  <c r="M11"/>
  <c r="M10" s="1"/>
  <c r="R10" i="11" s="1"/>
  <c r="J11" i="16"/>
  <c r="N11"/>
  <c r="N10" s="1"/>
  <c r="R11"/>
  <c r="R10" s="1"/>
  <c r="S15"/>
  <c r="T15" s="1"/>
  <c r="S19"/>
  <c r="T19" s="1"/>
  <c r="S23"/>
  <c r="T23" s="1"/>
  <c r="S27"/>
  <c r="T27" s="1"/>
  <c r="G31"/>
  <c r="K31"/>
  <c r="O31"/>
  <c r="O29" s="1"/>
  <c r="O30" s="1"/>
  <c r="S36"/>
  <c r="T36" s="1"/>
  <c r="S40"/>
  <c r="T40" s="1"/>
  <c r="H42"/>
  <c r="L42"/>
  <c r="P42"/>
  <c r="S45"/>
  <c r="T45" s="1"/>
  <c r="J42"/>
  <c r="R42"/>
  <c r="S53"/>
  <c r="T53" s="1"/>
  <c r="G57"/>
  <c r="K57"/>
  <c r="O57"/>
  <c r="G105"/>
  <c r="K105"/>
  <c r="O105"/>
  <c r="S108"/>
  <c r="T108" s="1"/>
  <c r="S110"/>
  <c r="T110" s="1"/>
  <c r="S112"/>
  <c r="T112" s="1"/>
  <c r="S114"/>
  <c r="T114" s="1"/>
  <c r="O113"/>
  <c r="S118"/>
  <c r="T118" s="1"/>
  <c r="S122"/>
  <c r="T122" s="1"/>
  <c r="J125"/>
  <c r="J123" s="1"/>
  <c r="N125"/>
  <c r="R125"/>
  <c r="P156"/>
  <c r="L156"/>
  <c r="H156"/>
  <c r="O156"/>
  <c r="K156"/>
  <c r="G156"/>
  <c r="R156"/>
  <c r="N156"/>
  <c r="J156"/>
  <c r="Q156"/>
  <c r="M156"/>
  <c r="I156"/>
  <c r="S32"/>
  <c r="T32" s="1"/>
  <c r="S49"/>
  <c r="T49" s="1"/>
  <c r="S64"/>
  <c r="T64" s="1"/>
  <c r="S106"/>
  <c r="T106" s="1"/>
  <c r="P157"/>
  <c r="L157"/>
  <c r="H157"/>
  <c r="O157"/>
  <c r="K157"/>
  <c r="G157"/>
  <c r="R157"/>
  <c r="N157"/>
  <c r="J157"/>
  <c r="Q157"/>
  <c r="M157"/>
  <c r="I157"/>
  <c r="S12"/>
  <c r="T12" s="1"/>
  <c r="S41"/>
  <c r="T41" s="1"/>
  <c r="S50"/>
  <c r="T50" s="1"/>
  <c r="S58"/>
  <c r="T58" s="1"/>
  <c r="S62"/>
  <c r="T62" s="1"/>
  <c r="G113"/>
  <c r="H125"/>
  <c r="L125"/>
  <c r="P125"/>
  <c r="P158"/>
  <c r="L158"/>
  <c r="H158"/>
  <c r="O158"/>
  <c r="K158"/>
  <c r="G158"/>
  <c r="R158"/>
  <c r="N158"/>
  <c r="J158"/>
  <c r="Q158"/>
  <c r="M158"/>
  <c r="I158"/>
  <c r="S38"/>
  <c r="T38" s="1"/>
  <c r="S43"/>
  <c r="T43" s="1"/>
  <c r="S48"/>
  <c r="T48" s="1"/>
  <c r="S59"/>
  <c r="T59" s="1"/>
  <c r="S63"/>
  <c r="T63" s="1"/>
  <c r="S117"/>
  <c r="T117" s="1"/>
  <c r="S121"/>
  <c r="T121" s="1"/>
  <c r="S128"/>
  <c r="T128" s="1"/>
  <c r="S132"/>
  <c r="T132" s="1"/>
  <c r="S140"/>
  <c r="T140" s="1"/>
  <c r="S146"/>
  <c r="T146" s="1"/>
  <c r="P151"/>
  <c r="L151"/>
  <c r="H151"/>
  <c r="O151"/>
  <c r="K151"/>
  <c r="R151"/>
  <c r="N151"/>
  <c r="J151"/>
  <c r="Q151"/>
  <c r="I153"/>
  <c r="I150" s="1"/>
  <c r="S116"/>
  <c r="T116" s="1"/>
  <c r="S120"/>
  <c r="T120" s="1"/>
  <c r="S127"/>
  <c r="T127" s="1"/>
  <c r="S131"/>
  <c r="T131" s="1"/>
  <c r="S135"/>
  <c r="T135" s="1"/>
  <c r="S139"/>
  <c r="T139" s="1"/>
  <c r="S145"/>
  <c r="T145" s="1"/>
  <c r="P152"/>
  <c r="L152"/>
  <c r="H152"/>
  <c r="O152"/>
  <c r="K152"/>
  <c r="R152"/>
  <c r="N152"/>
  <c r="J152"/>
  <c r="Q152"/>
  <c r="S115"/>
  <c r="T115" s="1"/>
  <c r="S119"/>
  <c r="T119" s="1"/>
  <c r="S126"/>
  <c r="T126" s="1"/>
  <c r="S130"/>
  <c r="T130" s="1"/>
  <c r="S134"/>
  <c r="T134" s="1"/>
  <c r="S138"/>
  <c r="T138" s="1"/>
  <c r="S144"/>
  <c r="T144" s="1"/>
  <c r="P153"/>
  <c r="L153"/>
  <c r="H153"/>
  <c r="O153"/>
  <c r="K153"/>
  <c r="R153"/>
  <c r="N153"/>
  <c r="J153"/>
  <c r="Q153"/>
  <c r="I142"/>
  <c r="M142"/>
  <c r="I143"/>
  <c r="M143"/>
  <c r="O123" l="1"/>
  <c r="O124" s="1"/>
  <c r="G29"/>
  <c r="L104"/>
  <c r="J10"/>
  <c r="K29"/>
  <c r="K30" s="1"/>
  <c r="Q123"/>
  <c r="Q124" s="1"/>
  <c r="S113"/>
  <c r="T113" s="1"/>
  <c r="L123"/>
  <c r="L124" s="1"/>
  <c r="I10"/>
  <c r="N29"/>
  <c r="N30" s="1"/>
  <c r="M29"/>
  <c r="M30" s="1"/>
  <c r="J104"/>
  <c r="J148" s="1"/>
  <c r="J149" s="1"/>
  <c r="K123"/>
  <c r="K124" s="1"/>
  <c r="H104"/>
  <c r="N123"/>
  <c r="N124" s="1"/>
  <c r="H123"/>
  <c r="H124" s="1"/>
  <c r="K57" i="11"/>
  <c r="K31"/>
  <c r="G123" i="16"/>
  <c r="G124" s="1"/>
  <c r="R104"/>
  <c r="I29"/>
  <c r="H10"/>
  <c r="K42" i="11"/>
  <c r="I123" i="16"/>
  <c r="I124" s="1"/>
  <c r="G10"/>
  <c r="K11" i="11"/>
  <c r="Q104" i="16"/>
  <c r="M104"/>
  <c r="S57"/>
  <c r="T57" s="1"/>
  <c r="S42"/>
  <c r="T42" s="1"/>
  <c r="S136"/>
  <c r="T136" s="1"/>
  <c r="P104"/>
  <c r="P123"/>
  <c r="P124" s="1"/>
  <c r="K104"/>
  <c r="N148"/>
  <c r="N149" s="1"/>
  <c r="R123"/>
  <c r="R124" s="1"/>
  <c r="S105"/>
  <c r="T105" s="1"/>
  <c r="Q29"/>
  <c r="Q30" s="1"/>
  <c r="S31"/>
  <c r="T31" s="1"/>
  <c r="I104"/>
  <c r="J124"/>
  <c r="S11"/>
  <c r="T11" s="1"/>
  <c r="S152"/>
  <c r="T152" s="1"/>
  <c r="S143"/>
  <c r="T143" s="1"/>
  <c r="P29"/>
  <c r="L29"/>
  <c r="J29"/>
  <c r="S153"/>
  <c r="T153" s="1"/>
  <c r="O104"/>
  <c r="H29"/>
  <c r="R29"/>
  <c r="R30" s="1"/>
  <c r="K55"/>
  <c r="O55"/>
  <c r="N150"/>
  <c r="H150"/>
  <c r="M123"/>
  <c r="S142"/>
  <c r="T142" s="1"/>
  <c r="Q150"/>
  <c r="R150"/>
  <c r="L150"/>
  <c r="S157"/>
  <c r="T157" s="1"/>
  <c r="S156"/>
  <c r="T156" s="1"/>
  <c r="S125"/>
  <c r="T125" s="1"/>
  <c r="G104"/>
  <c r="K150"/>
  <c r="P150"/>
  <c r="S151"/>
  <c r="T151" s="1"/>
  <c r="J150"/>
  <c r="O150"/>
  <c r="S158"/>
  <c r="T158" s="1"/>
  <c r="G30"/>
  <c r="L148" l="1"/>
  <c r="L154" s="1"/>
  <c r="L159" s="1"/>
  <c r="L155" s="1"/>
  <c r="O148"/>
  <c r="O149" s="1"/>
  <c r="J30"/>
  <c r="Q148"/>
  <c r="Q149" s="1"/>
  <c r="K148"/>
  <c r="K149" s="1"/>
  <c r="S10"/>
  <c r="T10" s="1"/>
  <c r="H148"/>
  <c r="H149" s="1"/>
  <c r="M55"/>
  <c r="K10" i="11"/>
  <c r="I30" i="16"/>
  <c r="N55"/>
  <c r="N56" s="1"/>
  <c r="N154"/>
  <c r="N159" s="1"/>
  <c r="N155" s="1"/>
  <c r="I55"/>
  <c r="I148"/>
  <c r="I154" s="1"/>
  <c r="I159" s="1"/>
  <c r="I155" s="1"/>
  <c r="J154"/>
  <c r="J159" s="1"/>
  <c r="J155" s="1"/>
  <c r="Q154"/>
  <c r="Q159" s="1"/>
  <c r="Q155" s="1"/>
  <c r="R148"/>
  <c r="R149" s="1"/>
  <c r="K29" i="11"/>
  <c r="G55" i="16"/>
  <c r="G60" s="1"/>
  <c r="K154"/>
  <c r="K159" s="1"/>
  <c r="K155" s="1"/>
  <c r="S123"/>
  <c r="T123" s="1"/>
  <c r="Q55"/>
  <c r="P148"/>
  <c r="P149" s="1"/>
  <c r="S29"/>
  <c r="T29" s="1"/>
  <c r="R55"/>
  <c r="H30"/>
  <c r="H55"/>
  <c r="O56"/>
  <c r="O60"/>
  <c r="O65" s="1"/>
  <c r="O61" s="1"/>
  <c r="J55"/>
  <c r="L30"/>
  <c r="L55"/>
  <c r="K60"/>
  <c r="K65" s="1"/>
  <c r="K61" s="1"/>
  <c r="K56"/>
  <c r="P30"/>
  <c r="P55"/>
  <c r="G148"/>
  <c r="S104"/>
  <c r="T104" s="1"/>
  <c r="L149"/>
  <c r="M124"/>
  <c r="S124" s="1"/>
  <c r="T124" s="1"/>
  <c r="M148"/>
  <c r="S150"/>
  <c r="T150" s="1"/>
  <c r="O154" l="1"/>
  <c r="O159" s="1"/>
  <c r="O155" s="1"/>
  <c r="M56"/>
  <c r="R56" i="11" s="1"/>
  <c r="R55"/>
  <c r="I149" i="16"/>
  <c r="N60"/>
  <c r="N65" s="1"/>
  <c r="N61" s="1"/>
  <c r="H154"/>
  <c r="H159" s="1"/>
  <c r="H155" s="1"/>
  <c r="M60"/>
  <c r="I56"/>
  <c r="R154"/>
  <c r="R159" s="1"/>
  <c r="R155" s="1"/>
  <c r="I60"/>
  <c r="K55" i="11"/>
  <c r="K30"/>
  <c r="G56" i="16"/>
  <c r="Q60"/>
  <c r="Q65" s="1"/>
  <c r="Q61" s="1"/>
  <c r="Q56"/>
  <c r="P154"/>
  <c r="P159" s="1"/>
  <c r="P155" s="1"/>
  <c r="S30"/>
  <c r="T30" s="1"/>
  <c r="S55"/>
  <c r="T55" s="1"/>
  <c r="H60"/>
  <c r="H56"/>
  <c r="J60"/>
  <c r="J56"/>
  <c r="R60"/>
  <c r="R65" s="1"/>
  <c r="R61" s="1"/>
  <c r="R56"/>
  <c r="P60"/>
  <c r="P65" s="1"/>
  <c r="P61" s="1"/>
  <c r="P56"/>
  <c r="L56"/>
  <c r="L60"/>
  <c r="L65" s="1"/>
  <c r="L61" s="1"/>
  <c r="G154"/>
  <c r="G149"/>
  <c r="S148"/>
  <c r="T148" s="1"/>
  <c r="G65"/>
  <c r="M154"/>
  <c r="M159" s="1"/>
  <c r="M155" s="1"/>
  <c r="M149"/>
  <c r="M65" l="1"/>
  <c r="R62" i="11"/>
  <c r="R60"/>
  <c r="J65" i="16"/>
  <c r="I65"/>
  <c r="K62" i="11"/>
  <c r="K56"/>
  <c r="H65" i="16"/>
  <c r="S56"/>
  <c r="T56" s="1"/>
  <c r="S60"/>
  <c r="T60" s="1"/>
  <c r="G159"/>
  <c r="S154"/>
  <c r="T154" s="1"/>
  <c r="G61"/>
  <c r="S149"/>
  <c r="T149" s="1"/>
  <c r="M61" l="1"/>
  <c r="R63" i="11" s="1"/>
  <c r="R67"/>
  <c r="T60"/>
  <c r="S60"/>
  <c r="J61" i="16"/>
  <c r="I61"/>
  <c r="S65"/>
  <c r="T65" s="1"/>
  <c r="K67" i="11"/>
  <c r="H61" i="16"/>
  <c r="S159"/>
  <c r="T159" s="1"/>
  <c r="G155"/>
  <c r="S155" s="1"/>
  <c r="T155" s="1"/>
  <c r="K63" i="11" l="1"/>
  <c r="S61" i="16"/>
  <c r="T61" s="1"/>
  <c r="H153" i="13"/>
  <c r="I153"/>
  <c r="J153"/>
  <c r="K153"/>
  <c r="L153"/>
  <c r="M153"/>
  <c r="N153"/>
  <c r="O153"/>
  <c r="P153"/>
  <c r="Q153"/>
  <c r="R153"/>
  <c r="H154" l="1"/>
  <c r="I154"/>
  <c r="J154"/>
  <c r="K154"/>
  <c r="L154"/>
  <c r="M154"/>
  <c r="N154"/>
  <c r="O154"/>
  <c r="P154"/>
  <c r="Q154"/>
  <c r="R154"/>
  <c r="G154"/>
  <c r="FF393" i="6"/>
  <c r="H133" i="13" l="1"/>
  <c r="I133"/>
  <c r="J133"/>
  <c r="K133"/>
  <c r="L133"/>
  <c r="M133"/>
  <c r="N133"/>
  <c r="O133"/>
  <c r="P133"/>
  <c r="Q133"/>
  <c r="R133"/>
  <c r="H134"/>
  <c r="I134"/>
  <c r="J134"/>
  <c r="K134"/>
  <c r="L134"/>
  <c r="M134"/>
  <c r="N134"/>
  <c r="O134"/>
  <c r="P134"/>
  <c r="Q134"/>
  <c r="R134"/>
  <c r="H135"/>
  <c r="I135"/>
  <c r="J135"/>
  <c r="K135"/>
  <c r="L135"/>
  <c r="M135"/>
  <c r="N135"/>
  <c r="O135"/>
  <c r="P135"/>
  <c r="Q135"/>
  <c r="R135"/>
  <c r="G135"/>
  <c r="G134"/>
  <c r="G133"/>
  <c r="H145" l="1"/>
  <c r="I145"/>
  <c r="J145"/>
  <c r="K145"/>
  <c r="L145"/>
  <c r="M145"/>
  <c r="N145"/>
  <c r="O145"/>
  <c r="P145"/>
  <c r="Q145"/>
  <c r="R145"/>
  <c r="H147"/>
  <c r="I147"/>
  <c r="J147"/>
  <c r="K147"/>
  <c r="L147"/>
  <c r="M147"/>
  <c r="N147"/>
  <c r="O147"/>
  <c r="P147"/>
  <c r="Q147"/>
  <c r="R147"/>
  <c r="H148"/>
  <c r="I148"/>
  <c r="J148"/>
  <c r="K148"/>
  <c r="L148"/>
  <c r="M148"/>
  <c r="N148"/>
  <c r="O148"/>
  <c r="P148"/>
  <c r="Q148"/>
  <c r="R148"/>
  <c r="H138"/>
  <c r="I138"/>
  <c r="J138"/>
  <c r="K138"/>
  <c r="L138"/>
  <c r="M138"/>
  <c r="N138"/>
  <c r="O138"/>
  <c r="P138"/>
  <c r="Q138"/>
  <c r="R138"/>
  <c r="H139"/>
  <c r="I139"/>
  <c r="J139"/>
  <c r="K139"/>
  <c r="L139"/>
  <c r="M139"/>
  <c r="N139"/>
  <c r="O139"/>
  <c r="P139"/>
  <c r="Q139"/>
  <c r="R139"/>
  <c r="H140"/>
  <c r="I140"/>
  <c r="J140"/>
  <c r="K140"/>
  <c r="L140"/>
  <c r="M140"/>
  <c r="N140"/>
  <c r="O140"/>
  <c r="P140"/>
  <c r="Q140"/>
  <c r="R140"/>
  <c r="H141"/>
  <c r="I141"/>
  <c r="J141"/>
  <c r="K141"/>
  <c r="L141"/>
  <c r="M141"/>
  <c r="N141"/>
  <c r="O141"/>
  <c r="P141"/>
  <c r="Q141"/>
  <c r="R141"/>
  <c r="H142"/>
  <c r="I142"/>
  <c r="J142"/>
  <c r="K142"/>
  <c r="L142"/>
  <c r="M142"/>
  <c r="N142"/>
  <c r="O142"/>
  <c r="P142"/>
  <c r="Q142"/>
  <c r="R142"/>
  <c r="G139"/>
  <c r="G140"/>
  <c r="G141"/>
  <c r="H127"/>
  <c r="I127"/>
  <c r="J127"/>
  <c r="K127"/>
  <c r="L127"/>
  <c r="M127"/>
  <c r="N127"/>
  <c r="O127"/>
  <c r="P127"/>
  <c r="Q127"/>
  <c r="R127"/>
  <c r="H128"/>
  <c r="I128"/>
  <c r="J128"/>
  <c r="K128"/>
  <c r="L128"/>
  <c r="M128"/>
  <c r="N128"/>
  <c r="O128"/>
  <c r="P128"/>
  <c r="Q128"/>
  <c r="R128"/>
  <c r="H129"/>
  <c r="I129"/>
  <c r="J129"/>
  <c r="K129"/>
  <c r="L129"/>
  <c r="M129"/>
  <c r="N129"/>
  <c r="O129"/>
  <c r="P129"/>
  <c r="Q129"/>
  <c r="R129"/>
  <c r="H130"/>
  <c r="I130"/>
  <c r="J130"/>
  <c r="K130"/>
  <c r="L130"/>
  <c r="M130"/>
  <c r="N130"/>
  <c r="O130"/>
  <c r="P130"/>
  <c r="Q130"/>
  <c r="R130"/>
  <c r="H131"/>
  <c r="I131"/>
  <c r="J131"/>
  <c r="K131"/>
  <c r="L131"/>
  <c r="M131"/>
  <c r="N131"/>
  <c r="O131"/>
  <c r="P131"/>
  <c r="Q131"/>
  <c r="R131"/>
  <c r="H132"/>
  <c r="I132"/>
  <c r="J132"/>
  <c r="K132"/>
  <c r="L132"/>
  <c r="M132"/>
  <c r="N132"/>
  <c r="O132"/>
  <c r="P132"/>
  <c r="Q132"/>
  <c r="R132"/>
  <c r="H136"/>
  <c r="I136"/>
  <c r="J136"/>
  <c r="K136"/>
  <c r="L136"/>
  <c r="M136"/>
  <c r="N136"/>
  <c r="O136"/>
  <c r="P136"/>
  <c r="Q136"/>
  <c r="R136"/>
  <c r="G136"/>
  <c r="G142"/>
  <c r="G132"/>
  <c r="G131"/>
  <c r="G130"/>
  <c r="G129"/>
  <c r="G128"/>
  <c r="H113"/>
  <c r="I113"/>
  <c r="J113"/>
  <c r="K113"/>
  <c r="L113"/>
  <c r="M113"/>
  <c r="N113"/>
  <c r="O113"/>
  <c r="P113"/>
  <c r="Q113"/>
  <c r="R113"/>
  <c r="G113"/>
  <c r="O137" l="1"/>
  <c r="K137"/>
  <c r="P137"/>
  <c r="H137"/>
  <c r="R137"/>
  <c r="N137"/>
  <c r="J137"/>
  <c r="Q137"/>
  <c r="M137"/>
  <c r="I137"/>
  <c r="L137"/>
  <c r="FF321" i="6"/>
  <c r="EU394" l="1"/>
  <c r="H146" i="13" s="1"/>
  <c r="EV394" i="6"/>
  <c r="I146" i="13" s="1"/>
  <c r="EW394" i="6"/>
  <c r="J146" i="13" s="1"/>
  <c r="EX394" i="6"/>
  <c r="K146" i="13" s="1"/>
  <c r="EY394" i="6"/>
  <c r="L146" i="13" s="1"/>
  <c r="EZ394" i="6"/>
  <c r="M146" i="13" s="1"/>
  <c r="FA394" i="6"/>
  <c r="N146" i="13" s="1"/>
  <c r="FB394" i="6"/>
  <c r="O146" i="13" s="1"/>
  <c r="FC394" i="6"/>
  <c r="P146" i="13" s="1"/>
  <c r="FD394" i="6"/>
  <c r="Q146" i="13" s="1"/>
  <c r="FE394" i="6"/>
  <c r="R146" i="13" s="1"/>
  <c r="ET394" i="6"/>
  <c r="FF396"/>
  <c r="FF395"/>
  <c r="FF368"/>
  <c r="FF379"/>
  <c r="FF350"/>
  <c r="FF361"/>
  <c r="FF351"/>
  <c r="FF394" l="1"/>
  <c r="G146" i="13"/>
  <c r="FF346" i="6"/>
  <c r="FF344"/>
  <c r="FF336"/>
  <c r="FF330"/>
  <c r="FF322"/>
  <c r="FF369"/>
  <c r="FF311"/>
  <c r="FF307"/>
  <c r="FF303"/>
  <c r="FF300"/>
  <c r="FF296"/>
  <c r="FF286"/>
  <c r="FF279"/>
  <c r="FF271"/>
  <c r="FF265"/>
  <c r="H152" i="13" l="1"/>
  <c r="I152"/>
  <c r="J152"/>
  <c r="K152"/>
  <c r="L152"/>
  <c r="M152"/>
  <c r="N152"/>
  <c r="O152"/>
  <c r="P152"/>
  <c r="Q152"/>
  <c r="R152"/>
  <c r="G153"/>
  <c r="G152"/>
  <c r="G147"/>
  <c r="G148"/>
  <c r="H53" i="11" s="1"/>
  <c r="G145" i="13"/>
  <c r="H143"/>
  <c r="I143"/>
  <c r="J143"/>
  <c r="K143"/>
  <c r="L143"/>
  <c r="M143"/>
  <c r="N143"/>
  <c r="O143"/>
  <c r="P143"/>
  <c r="Q143"/>
  <c r="R143"/>
  <c r="H144"/>
  <c r="I144"/>
  <c r="J144"/>
  <c r="K144"/>
  <c r="L144"/>
  <c r="M144"/>
  <c r="N144"/>
  <c r="O144"/>
  <c r="P144"/>
  <c r="Q144"/>
  <c r="R144"/>
  <c r="G144"/>
  <c r="G143"/>
  <c r="G138"/>
  <c r="G127"/>
  <c r="H119"/>
  <c r="I119"/>
  <c r="J119"/>
  <c r="K119"/>
  <c r="L119"/>
  <c r="M119"/>
  <c r="N119"/>
  <c r="O119"/>
  <c r="P119"/>
  <c r="Q119"/>
  <c r="R119"/>
  <c r="H120"/>
  <c r="I120"/>
  <c r="J120"/>
  <c r="K120"/>
  <c r="L120"/>
  <c r="M120"/>
  <c r="N120"/>
  <c r="O120"/>
  <c r="P120"/>
  <c r="Q120"/>
  <c r="R120"/>
  <c r="H121"/>
  <c r="I121"/>
  <c r="J121"/>
  <c r="K121"/>
  <c r="L121"/>
  <c r="M121"/>
  <c r="N121"/>
  <c r="O121"/>
  <c r="P121"/>
  <c r="Q121"/>
  <c r="R121"/>
  <c r="H122"/>
  <c r="I122"/>
  <c r="J122"/>
  <c r="K122"/>
  <c r="L122"/>
  <c r="M122"/>
  <c r="N122"/>
  <c r="O122"/>
  <c r="P122"/>
  <c r="Q122"/>
  <c r="R122"/>
  <c r="H123"/>
  <c r="I123"/>
  <c r="J123"/>
  <c r="K123"/>
  <c r="L123"/>
  <c r="M123"/>
  <c r="N123"/>
  <c r="O123"/>
  <c r="P123"/>
  <c r="Q123"/>
  <c r="R123"/>
  <c r="G123"/>
  <c r="G122"/>
  <c r="G121"/>
  <c r="G120"/>
  <c r="G119"/>
  <c r="H115"/>
  <c r="I115"/>
  <c r="J115"/>
  <c r="K115"/>
  <c r="L115"/>
  <c r="M115"/>
  <c r="N115"/>
  <c r="O115"/>
  <c r="P115"/>
  <c r="Q115"/>
  <c r="R115"/>
  <c r="H116"/>
  <c r="I116"/>
  <c r="J116"/>
  <c r="K116"/>
  <c r="L116"/>
  <c r="M116"/>
  <c r="N116"/>
  <c r="O116"/>
  <c r="P116"/>
  <c r="Q116"/>
  <c r="R116"/>
  <c r="H117"/>
  <c r="I117"/>
  <c r="J117"/>
  <c r="K117"/>
  <c r="L117"/>
  <c r="M117"/>
  <c r="N117"/>
  <c r="O117"/>
  <c r="P117"/>
  <c r="Q117"/>
  <c r="R117"/>
  <c r="H118"/>
  <c r="I118"/>
  <c r="J118"/>
  <c r="K118"/>
  <c r="L118"/>
  <c r="M118"/>
  <c r="N118"/>
  <c r="O118"/>
  <c r="P118"/>
  <c r="Q118"/>
  <c r="R118"/>
  <c r="G116"/>
  <c r="G117"/>
  <c r="G118"/>
  <c r="G115"/>
  <c r="H107"/>
  <c r="I107"/>
  <c r="J107"/>
  <c r="K107"/>
  <c r="L107"/>
  <c r="M107"/>
  <c r="N107"/>
  <c r="O107"/>
  <c r="P107"/>
  <c r="Q107"/>
  <c r="R107"/>
  <c r="H108"/>
  <c r="I108"/>
  <c r="J108"/>
  <c r="K108"/>
  <c r="L108"/>
  <c r="M108"/>
  <c r="N108"/>
  <c r="O108"/>
  <c r="P108"/>
  <c r="Q108"/>
  <c r="R108"/>
  <c r="H109"/>
  <c r="I109"/>
  <c r="J109"/>
  <c r="K109"/>
  <c r="L109"/>
  <c r="M109"/>
  <c r="N109"/>
  <c r="O109"/>
  <c r="P109"/>
  <c r="Q109"/>
  <c r="R109"/>
  <c r="H110"/>
  <c r="I110"/>
  <c r="J110"/>
  <c r="K110"/>
  <c r="L110"/>
  <c r="M110"/>
  <c r="N110"/>
  <c r="O110"/>
  <c r="P110"/>
  <c r="Q110"/>
  <c r="R110"/>
  <c r="H111"/>
  <c r="I111"/>
  <c r="J111"/>
  <c r="K111"/>
  <c r="L111"/>
  <c r="M111"/>
  <c r="N111"/>
  <c r="O111"/>
  <c r="P111"/>
  <c r="Q111"/>
  <c r="R111"/>
  <c r="H112"/>
  <c r="I112"/>
  <c r="J112"/>
  <c r="K112"/>
  <c r="L112"/>
  <c r="M112"/>
  <c r="N112"/>
  <c r="O112"/>
  <c r="P112"/>
  <c r="Q112"/>
  <c r="R112"/>
  <c r="G108"/>
  <c r="G109"/>
  <c r="G110"/>
  <c r="G111"/>
  <c r="G112"/>
  <c r="G107"/>
  <c r="L25"/>
  <c r="M60" i="11" l="1"/>
  <c r="L60"/>
  <c r="O60" l="1"/>
  <c r="EE387" i="6" l="1"/>
  <c r="EH387"/>
  <c r="EH386" s="1"/>
  <c r="EI387"/>
  <c r="EI386" s="1"/>
  <c r="EJ387"/>
  <c r="EJ386" s="1"/>
  <c r="EK387"/>
  <c r="EK386" s="1"/>
  <c r="EL387"/>
  <c r="EL386" s="1"/>
  <c r="EM387"/>
  <c r="EM386" s="1"/>
  <c r="EN387"/>
  <c r="EN386" s="1"/>
  <c r="EO387"/>
  <c r="EO386" s="1"/>
  <c r="EP387"/>
  <c r="EP386" s="1"/>
  <c r="EQ387"/>
  <c r="EQ386" s="1"/>
  <c r="ER387"/>
  <c r="ER386" s="1"/>
  <c r="ES387"/>
  <c r="ES386" s="1"/>
  <c r="DV387"/>
  <c r="DW387"/>
  <c r="DX387"/>
  <c r="DY387"/>
  <c r="DZ387"/>
  <c r="EA387"/>
  <c r="EB387"/>
  <c r="EC387"/>
  <c r="ED387"/>
  <c r="EF387"/>
  <c r="EG387"/>
  <c r="EH260"/>
  <c r="EI260"/>
  <c r="EJ260"/>
  <c r="EK260"/>
  <c r="EL260"/>
  <c r="EM260"/>
  <c r="EN260"/>
  <c r="EO260"/>
  <c r="EP260"/>
  <c r="EQ260"/>
  <c r="ER260"/>
  <c r="ES260"/>
  <c r="EG260" l="1"/>
  <c r="EH245"/>
  <c r="EI245"/>
  <c r="EJ245"/>
  <c r="EK245"/>
  <c r="EL245"/>
  <c r="EM245"/>
  <c r="EN245"/>
  <c r="EO245"/>
  <c r="EP245"/>
  <c r="EQ245"/>
  <c r="ER245"/>
  <c r="ES245"/>
  <c r="EH238"/>
  <c r="EI238"/>
  <c r="EJ238"/>
  <c r="EK238"/>
  <c r="EL238"/>
  <c r="EM238"/>
  <c r="EN238"/>
  <c r="EO238"/>
  <c r="EP238"/>
  <c r="EQ238"/>
  <c r="ER238"/>
  <c r="ES238"/>
  <c r="EH233"/>
  <c r="EI233"/>
  <c r="EJ233"/>
  <c r="EK233"/>
  <c r="EL233"/>
  <c r="EM233"/>
  <c r="EN233"/>
  <c r="EO233"/>
  <c r="EP233"/>
  <c r="EQ233"/>
  <c r="ER233"/>
  <c r="ES233"/>
  <c r="EH228"/>
  <c r="EI228"/>
  <c r="EJ228"/>
  <c r="EK228"/>
  <c r="EL228"/>
  <c r="EM228"/>
  <c r="EN228"/>
  <c r="EO228"/>
  <c r="EP228"/>
  <c r="EQ228"/>
  <c r="ER228"/>
  <c r="ES228"/>
  <c r="EH219"/>
  <c r="EH218" s="1"/>
  <c r="EH217" s="1"/>
  <c r="EI219"/>
  <c r="EI218" s="1"/>
  <c r="EI217" s="1"/>
  <c r="EJ219"/>
  <c r="EJ218" s="1"/>
  <c r="EJ217" s="1"/>
  <c r="EK219"/>
  <c r="EK218" s="1"/>
  <c r="EK217" s="1"/>
  <c r="EL219"/>
  <c r="EL218" s="1"/>
  <c r="EL217" s="1"/>
  <c r="EM219"/>
  <c r="EM218" s="1"/>
  <c r="EM217" s="1"/>
  <c r="EN219"/>
  <c r="EN218" s="1"/>
  <c r="EN217" s="1"/>
  <c r="EO219"/>
  <c r="EO218" s="1"/>
  <c r="EO217" s="1"/>
  <c r="EP219"/>
  <c r="EP218" s="1"/>
  <c r="EP217" s="1"/>
  <c r="EQ219"/>
  <c r="EQ218" s="1"/>
  <c r="EQ217" s="1"/>
  <c r="ER219"/>
  <c r="ER218" s="1"/>
  <c r="ER217" s="1"/>
  <c r="ES219"/>
  <c r="ES218" s="1"/>
  <c r="ES217" s="1"/>
  <c r="G17" i="2" l="1"/>
  <c r="G16"/>
  <c r="G11"/>
  <c r="A161" i="13"/>
  <c r="A160"/>
  <c r="A159"/>
  <c r="A158"/>
  <c r="A157"/>
  <c r="A156"/>
  <c r="A154"/>
  <c r="A153"/>
  <c r="A152"/>
  <c r="A151"/>
  <c r="A150"/>
  <c r="A149"/>
  <c r="S148"/>
  <c r="T148" s="1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I114"/>
  <c r="A115"/>
  <c r="A114"/>
  <c r="A113"/>
  <c r="A112"/>
  <c r="A111"/>
  <c r="A110"/>
  <c r="A109"/>
  <c r="A108"/>
  <c r="A107"/>
  <c r="A106"/>
  <c r="A105"/>
  <c r="T103"/>
  <c r="T102"/>
  <c r="R101"/>
  <c r="Q101"/>
  <c r="P101"/>
  <c r="O101"/>
  <c r="N101"/>
  <c r="M101"/>
  <c r="L101"/>
  <c r="K101"/>
  <c r="J101"/>
  <c r="I101"/>
  <c r="H101"/>
  <c r="G101"/>
  <c r="R65"/>
  <c r="Q65"/>
  <c r="P65"/>
  <c r="O65"/>
  <c r="N65"/>
  <c r="M65"/>
  <c r="N66" i="11" s="1"/>
  <c r="L65" i="13"/>
  <c r="K65"/>
  <c r="J65"/>
  <c r="I65"/>
  <c r="H65"/>
  <c r="G65"/>
  <c r="R64"/>
  <c r="Q64"/>
  <c r="P64"/>
  <c r="O64"/>
  <c r="N64"/>
  <c r="M64"/>
  <c r="N65" i="11" s="1"/>
  <c r="L64" i="13"/>
  <c r="K64"/>
  <c r="J64"/>
  <c r="I64"/>
  <c r="H64"/>
  <c r="R63"/>
  <c r="Q63"/>
  <c r="P63"/>
  <c r="O63"/>
  <c r="N63"/>
  <c r="M63"/>
  <c r="N64" i="11" s="1"/>
  <c r="L63" i="13"/>
  <c r="K63"/>
  <c r="J63"/>
  <c r="I63"/>
  <c r="H63"/>
  <c r="G63"/>
  <c r="R59"/>
  <c r="Q59"/>
  <c r="P59"/>
  <c r="O59"/>
  <c r="N59"/>
  <c r="M59"/>
  <c r="N59" i="11" s="1"/>
  <c r="L59" i="13"/>
  <c r="K59"/>
  <c r="J59"/>
  <c r="I59"/>
  <c r="H59"/>
  <c r="G59"/>
  <c r="R58"/>
  <c r="Q58"/>
  <c r="P58"/>
  <c r="O58"/>
  <c r="N58"/>
  <c r="M58"/>
  <c r="N58" i="11" s="1"/>
  <c r="L58" i="13"/>
  <c r="K58"/>
  <c r="J58"/>
  <c r="I58"/>
  <c r="H58"/>
  <c r="G58"/>
  <c r="R54"/>
  <c r="Q54"/>
  <c r="P54"/>
  <c r="O54"/>
  <c r="N54"/>
  <c r="M54"/>
  <c r="N54" i="11" s="1"/>
  <c r="L54" i="13"/>
  <c r="K54"/>
  <c r="J54"/>
  <c r="I54"/>
  <c r="H54"/>
  <c r="G54"/>
  <c r="R53"/>
  <c r="Q53"/>
  <c r="P53"/>
  <c r="O53"/>
  <c r="N53"/>
  <c r="M53"/>
  <c r="N53" i="11" s="1"/>
  <c r="L53" i="13"/>
  <c r="K53"/>
  <c r="J53"/>
  <c r="I53"/>
  <c r="H53"/>
  <c r="G53"/>
  <c r="R52"/>
  <c r="Q52"/>
  <c r="P52"/>
  <c r="O52"/>
  <c r="N52"/>
  <c r="M52"/>
  <c r="N52" i="11" s="1"/>
  <c r="L52" i="13"/>
  <c r="K52"/>
  <c r="J52"/>
  <c r="I52"/>
  <c r="H52"/>
  <c r="G52"/>
  <c r="R51"/>
  <c r="Q51"/>
  <c r="P51"/>
  <c r="O51"/>
  <c r="N51"/>
  <c r="M51"/>
  <c r="N51" i="11" s="1"/>
  <c r="L51" i="13"/>
  <c r="K51"/>
  <c r="J51"/>
  <c r="I51"/>
  <c r="H51"/>
  <c r="G51"/>
  <c r="R50"/>
  <c r="Q50"/>
  <c r="P50"/>
  <c r="O50"/>
  <c r="N50"/>
  <c r="M50"/>
  <c r="N50" i="11" s="1"/>
  <c r="L50" i="13"/>
  <c r="K50"/>
  <c r="J50"/>
  <c r="I50"/>
  <c r="H50"/>
  <c r="G50"/>
  <c r="R49"/>
  <c r="Q49"/>
  <c r="P49"/>
  <c r="O49"/>
  <c r="N49"/>
  <c r="M49"/>
  <c r="N49" i="11" s="1"/>
  <c r="L49" i="13"/>
  <c r="K49"/>
  <c r="J49"/>
  <c r="I49"/>
  <c r="H49"/>
  <c r="G49"/>
  <c r="R48"/>
  <c r="Q48"/>
  <c r="P48"/>
  <c r="O48"/>
  <c r="N48"/>
  <c r="M48"/>
  <c r="N48" i="11" s="1"/>
  <c r="L48" i="13"/>
  <c r="K48"/>
  <c r="J48"/>
  <c r="I48"/>
  <c r="H48"/>
  <c r="G48"/>
  <c r="R47"/>
  <c r="Q47"/>
  <c r="P47"/>
  <c r="O47"/>
  <c r="N47"/>
  <c r="M47"/>
  <c r="N47" i="11" s="1"/>
  <c r="L47" i="13"/>
  <c r="K47"/>
  <c r="J47"/>
  <c r="I47"/>
  <c r="H47"/>
  <c r="G47"/>
  <c r="R46"/>
  <c r="Q46"/>
  <c r="P46"/>
  <c r="O46"/>
  <c r="N46"/>
  <c r="M46"/>
  <c r="N46" i="11" s="1"/>
  <c r="L46" i="13"/>
  <c r="K46"/>
  <c r="J46"/>
  <c r="I46"/>
  <c r="H46"/>
  <c r="G46"/>
  <c r="R45"/>
  <c r="Q45"/>
  <c r="P45"/>
  <c r="O45"/>
  <c r="N45"/>
  <c r="M45"/>
  <c r="N45" i="11" s="1"/>
  <c r="L45" i="13"/>
  <c r="K45"/>
  <c r="J45"/>
  <c r="I45"/>
  <c r="H45"/>
  <c r="G45"/>
  <c r="R44"/>
  <c r="Q44"/>
  <c r="P44"/>
  <c r="O44"/>
  <c r="N44"/>
  <c r="M44"/>
  <c r="N44" i="11" s="1"/>
  <c r="L44" i="13"/>
  <c r="K44"/>
  <c r="J44"/>
  <c r="I44"/>
  <c r="H44"/>
  <c r="G44"/>
  <c r="R43"/>
  <c r="Q43"/>
  <c r="P43"/>
  <c r="O43"/>
  <c r="N43"/>
  <c r="M43"/>
  <c r="N43" i="11" s="1"/>
  <c r="L43" i="13"/>
  <c r="K43"/>
  <c r="J43"/>
  <c r="I43"/>
  <c r="H43"/>
  <c r="G43"/>
  <c r="R41"/>
  <c r="Q41"/>
  <c r="P41"/>
  <c r="O41"/>
  <c r="N41"/>
  <c r="M41"/>
  <c r="N41" i="11" s="1"/>
  <c r="L41" i="13"/>
  <c r="K41"/>
  <c r="J41"/>
  <c r="I41"/>
  <c r="H41"/>
  <c r="G41"/>
  <c r="R40"/>
  <c r="Q40"/>
  <c r="P40"/>
  <c r="O40"/>
  <c r="N40"/>
  <c r="M40"/>
  <c r="N40" i="11" s="1"/>
  <c r="L40" i="13"/>
  <c r="K40"/>
  <c r="J40"/>
  <c r="I40"/>
  <c r="H40"/>
  <c r="G40"/>
  <c r="R39"/>
  <c r="Q39"/>
  <c r="P39"/>
  <c r="O39"/>
  <c r="N39"/>
  <c r="M39"/>
  <c r="N39" i="11" s="1"/>
  <c r="L39" i="13"/>
  <c r="K39"/>
  <c r="J39"/>
  <c r="I39"/>
  <c r="H39"/>
  <c r="G39"/>
  <c r="R38"/>
  <c r="Q38"/>
  <c r="P38"/>
  <c r="O38"/>
  <c r="N38"/>
  <c r="M38"/>
  <c r="N38" i="11" s="1"/>
  <c r="L38" i="13"/>
  <c r="K38"/>
  <c r="J38"/>
  <c r="I38"/>
  <c r="H38"/>
  <c r="G38"/>
  <c r="R37"/>
  <c r="Q37"/>
  <c r="P37"/>
  <c r="O37"/>
  <c r="N37"/>
  <c r="M37"/>
  <c r="N37" i="11" s="1"/>
  <c r="L37" i="13"/>
  <c r="K37"/>
  <c r="J37"/>
  <c r="I37"/>
  <c r="H37"/>
  <c r="G37"/>
  <c r="R36"/>
  <c r="Q36"/>
  <c r="P36"/>
  <c r="O36"/>
  <c r="N36"/>
  <c r="M36"/>
  <c r="N36" i="11" s="1"/>
  <c r="L36" i="13"/>
  <c r="K36"/>
  <c r="J36"/>
  <c r="I36"/>
  <c r="H36"/>
  <c r="G36"/>
  <c r="R35"/>
  <c r="Q35"/>
  <c r="P35"/>
  <c r="O35"/>
  <c r="N35"/>
  <c r="M35"/>
  <c r="N35" i="11" s="1"/>
  <c r="L35" i="13"/>
  <c r="K35"/>
  <c r="J35"/>
  <c r="I35"/>
  <c r="H35"/>
  <c r="G35"/>
  <c r="R34"/>
  <c r="Q34"/>
  <c r="P34"/>
  <c r="O34"/>
  <c r="N34"/>
  <c r="M34"/>
  <c r="N34" i="11" s="1"/>
  <c r="L34" i="13"/>
  <c r="K34"/>
  <c r="J34"/>
  <c r="I34"/>
  <c r="H34"/>
  <c r="G34"/>
  <c r="R33"/>
  <c r="Q33"/>
  <c r="P33"/>
  <c r="O33"/>
  <c r="N33"/>
  <c r="M33"/>
  <c r="N33" i="11" s="1"/>
  <c r="L33" i="13"/>
  <c r="K33"/>
  <c r="J33"/>
  <c r="I33"/>
  <c r="H33"/>
  <c r="G33"/>
  <c r="R32"/>
  <c r="Q32"/>
  <c r="P32"/>
  <c r="O32"/>
  <c r="N32"/>
  <c r="M32"/>
  <c r="N32" i="11" s="1"/>
  <c r="L32" i="13"/>
  <c r="K32"/>
  <c r="J32"/>
  <c r="I32"/>
  <c r="H32"/>
  <c r="G32"/>
  <c r="R28"/>
  <c r="Q28"/>
  <c r="P28"/>
  <c r="O28"/>
  <c r="N28"/>
  <c r="M28"/>
  <c r="N28" i="11" s="1"/>
  <c r="L28" i="13"/>
  <c r="K28"/>
  <c r="J28"/>
  <c r="I28"/>
  <c r="H28"/>
  <c r="G28"/>
  <c r="R27"/>
  <c r="Q27"/>
  <c r="P27"/>
  <c r="O27"/>
  <c r="N27"/>
  <c r="M27"/>
  <c r="N27" i="11" s="1"/>
  <c r="L27" i="13"/>
  <c r="K27"/>
  <c r="J27"/>
  <c r="I27"/>
  <c r="H27"/>
  <c r="G27"/>
  <c r="R26"/>
  <c r="Q26"/>
  <c r="P26"/>
  <c r="O26"/>
  <c r="N26"/>
  <c r="M26"/>
  <c r="N26" i="11" s="1"/>
  <c r="L26" i="13"/>
  <c r="K26"/>
  <c r="J26"/>
  <c r="I26"/>
  <c r="H26"/>
  <c r="G26"/>
  <c r="R25"/>
  <c r="Q25"/>
  <c r="P25"/>
  <c r="O25"/>
  <c r="N25"/>
  <c r="M25"/>
  <c r="N25" i="11" s="1"/>
  <c r="K25" i="13"/>
  <c r="J25"/>
  <c r="I25"/>
  <c r="H25"/>
  <c r="G25"/>
  <c r="R24"/>
  <c r="Q24"/>
  <c r="P24"/>
  <c r="O24"/>
  <c r="N24"/>
  <c r="M24"/>
  <c r="N24" i="11" s="1"/>
  <c r="L24" i="13"/>
  <c r="K24"/>
  <c r="J24"/>
  <c r="I24"/>
  <c r="H24"/>
  <c r="G24"/>
  <c r="R23"/>
  <c r="Q23"/>
  <c r="P23"/>
  <c r="O23"/>
  <c r="N23"/>
  <c r="M23"/>
  <c r="N23" i="11" s="1"/>
  <c r="L23" i="13"/>
  <c r="K23"/>
  <c r="J23"/>
  <c r="I23"/>
  <c r="H23"/>
  <c r="G23"/>
  <c r="R22"/>
  <c r="Q22"/>
  <c r="P22"/>
  <c r="O22"/>
  <c r="N22"/>
  <c r="M22"/>
  <c r="N22" i="11" s="1"/>
  <c r="L22" i="13"/>
  <c r="K22"/>
  <c r="J22"/>
  <c r="I22"/>
  <c r="H22"/>
  <c r="G22"/>
  <c r="R21"/>
  <c r="Q21"/>
  <c r="P21"/>
  <c r="O21"/>
  <c r="N21"/>
  <c r="M21"/>
  <c r="N21" i="11" s="1"/>
  <c r="L21" i="13"/>
  <c r="K21"/>
  <c r="J21"/>
  <c r="I21"/>
  <c r="H21"/>
  <c r="G21"/>
  <c r="R20"/>
  <c r="Q20"/>
  <c r="P20"/>
  <c r="O20"/>
  <c r="N20"/>
  <c r="M20"/>
  <c r="N20" i="11" s="1"/>
  <c r="L20" i="13"/>
  <c r="K20"/>
  <c r="J20"/>
  <c r="I20"/>
  <c r="H20"/>
  <c r="G20"/>
  <c r="R19"/>
  <c r="Q19"/>
  <c r="P19"/>
  <c r="O19"/>
  <c r="N19"/>
  <c r="M19"/>
  <c r="N19" i="11" s="1"/>
  <c r="L19" i="13"/>
  <c r="K19"/>
  <c r="J19"/>
  <c r="I19"/>
  <c r="H19"/>
  <c r="G19"/>
  <c r="R18"/>
  <c r="Q18"/>
  <c r="P18"/>
  <c r="O18"/>
  <c r="N18"/>
  <c r="M18"/>
  <c r="N18" i="11" s="1"/>
  <c r="L18" i="13"/>
  <c r="K18"/>
  <c r="J18"/>
  <c r="I18"/>
  <c r="H18"/>
  <c r="G18"/>
  <c r="R17"/>
  <c r="Q17"/>
  <c r="P17"/>
  <c r="O17"/>
  <c r="N17"/>
  <c r="M17"/>
  <c r="N17" i="11" s="1"/>
  <c r="L17" i="13"/>
  <c r="K17"/>
  <c r="J17"/>
  <c r="I17"/>
  <c r="H17"/>
  <c r="G17"/>
  <c r="R16"/>
  <c r="Q16"/>
  <c r="P16"/>
  <c r="O16"/>
  <c r="N16"/>
  <c r="M16"/>
  <c r="N16" i="11" s="1"/>
  <c r="L16" i="13"/>
  <c r="K16"/>
  <c r="J16"/>
  <c r="I16"/>
  <c r="H16"/>
  <c r="G16"/>
  <c r="R15"/>
  <c r="Q15"/>
  <c r="P15"/>
  <c r="O15"/>
  <c r="N15"/>
  <c r="M15"/>
  <c r="N15" i="11" s="1"/>
  <c r="L15" i="13"/>
  <c r="K15"/>
  <c r="J15"/>
  <c r="I15"/>
  <c r="H15"/>
  <c r="G15"/>
  <c r="R14"/>
  <c r="Q14"/>
  <c r="P14"/>
  <c r="O14"/>
  <c r="N14"/>
  <c r="M14"/>
  <c r="N14" i="11" s="1"/>
  <c r="L14" i="13"/>
  <c r="K14"/>
  <c r="J14"/>
  <c r="I14"/>
  <c r="H14"/>
  <c r="G14"/>
  <c r="R13"/>
  <c r="Q13"/>
  <c r="P13"/>
  <c r="O13"/>
  <c r="N13"/>
  <c r="M13"/>
  <c r="N13" i="11" s="1"/>
  <c r="L13" i="13"/>
  <c r="K13"/>
  <c r="J13"/>
  <c r="I13"/>
  <c r="H13"/>
  <c r="G13"/>
  <c r="R12"/>
  <c r="Q12"/>
  <c r="P12"/>
  <c r="O12"/>
  <c r="N12"/>
  <c r="M12"/>
  <c r="N12" i="11" s="1"/>
  <c r="L12" i="13"/>
  <c r="K12"/>
  <c r="J12"/>
  <c r="I12"/>
  <c r="H12"/>
  <c r="G12"/>
  <c r="R5"/>
  <c r="Q5"/>
  <c r="P5"/>
  <c r="O5"/>
  <c r="N5"/>
  <c r="M5"/>
  <c r="L5"/>
  <c r="K5"/>
  <c r="J5"/>
  <c r="I5"/>
  <c r="H5"/>
  <c r="G5"/>
  <c r="G28" i="11" l="1"/>
  <c r="T64"/>
  <c r="S64"/>
  <c r="T65"/>
  <c r="S65"/>
  <c r="T66"/>
  <c r="S66"/>
  <c r="G12"/>
  <c r="G26"/>
  <c r="G27"/>
  <c r="G32"/>
  <c r="G33"/>
  <c r="G34"/>
  <c r="G19"/>
  <c r="G21"/>
  <c r="G24"/>
  <c r="G13"/>
  <c r="G15"/>
  <c r="G17"/>
  <c r="G22"/>
  <c r="G25"/>
  <c r="G14"/>
  <c r="G16"/>
  <c r="G18"/>
  <c r="G20"/>
  <c r="G23"/>
  <c r="G66"/>
  <c r="G35"/>
  <c r="G36"/>
  <c r="G37"/>
  <c r="G38"/>
  <c r="G39"/>
  <c r="G40"/>
  <c r="G41"/>
  <c r="G43"/>
  <c r="G44"/>
  <c r="G45"/>
  <c r="G46"/>
  <c r="G47"/>
  <c r="G48"/>
  <c r="G49"/>
  <c r="G50"/>
  <c r="G51"/>
  <c r="G52"/>
  <c r="G53"/>
  <c r="G54"/>
  <c r="G58"/>
  <c r="G59"/>
  <c r="G64"/>
  <c r="G65"/>
  <c r="H12"/>
  <c r="H41"/>
  <c r="K57" i="13"/>
  <c r="O57"/>
  <c r="H57"/>
  <c r="L57"/>
  <c r="P57"/>
  <c r="S58"/>
  <c r="T58" s="1"/>
  <c r="J57"/>
  <c r="N57"/>
  <c r="R57"/>
  <c r="S63"/>
  <c r="T63" s="1"/>
  <c r="G42"/>
  <c r="K42"/>
  <c r="O42"/>
  <c r="I42"/>
  <c r="M42"/>
  <c r="N42" i="11" s="1"/>
  <c r="Q42" i="13"/>
  <c r="S48"/>
  <c r="T48" s="1"/>
  <c r="S52"/>
  <c r="T52" s="1"/>
  <c r="R11"/>
  <c r="R10" s="1"/>
  <c r="P11"/>
  <c r="P10" s="1"/>
  <c r="H11"/>
  <c r="S14"/>
  <c r="T14" s="1"/>
  <c r="S18"/>
  <c r="T18" s="1"/>
  <c r="S22"/>
  <c r="T22" s="1"/>
  <c r="N11"/>
  <c r="N10" s="1"/>
  <c r="J31"/>
  <c r="N31"/>
  <c r="R31"/>
  <c r="S35"/>
  <c r="T35" s="1"/>
  <c r="S39"/>
  <c r="T39" s="1"/>
  <c r="L11"/>
  <c r="J11"/>
  <c r="S15"/>
  <c r="T15" s="1"/>
  <c r="S19"/>
  <c r="T19" s="1"/>
  <c r="S23"/>
  <c r="T23" s="1"/>
  <c r="S27"/>
  <c r="T27" s="1"/>
  <c r="G31"/>
  <c r="K31"/>
  <c r="O31"/>
  <c r="I31"/>
  <c r="M31"/>
  <c r="N31" i="11" s="1"/>
  <c r="Q31" i="13"/>
  <c r="S36"/>
  <c r="T36" s="1"/>
  <c r="S40"/>
  <c r="T40" s="1"/>
  <c r="S45"/>
  <c r="T45" s="1"/>
  <c r="S49"/>
  <c r="T49" s="1"/>
  <c r="S53"/>
  <c r="T53" s="1"/>
  <c r="G57"/>
  <c r="S59"/>
  <c r="T59" s="1"/>
  <c r="S64"/>
  <c r="T64" s="1"/>
  <c r="O114"/>
  <c r="S26"/>
  <c r="T26" s="1"/>
  <c r="S12"/>
  <c r="T12" s="1"/>
  <c r="K11"/>
  <c r="O11"/>
  <c r="O10" s="1"/>
  <c r="I11"/>
  <c r="M11"/>
  <c r="Q11"/>
  <c r="Q10" s="1"/>
  <c r="S16"/>
  <c r="T16" s="1"/>
  <c r="S20"/>
  <c r="T20" s="1"/>
  <c r="S24"/>
  <c r="T24" s="1"/>
  <c r="S28"/>
  <c r="T28" s="1"/>
  <c r="S33"/>
  <c r="T33" s="1"/>
  <c r="S37"/>
  <c r="T37" s="1"/>
  <c r="S41"/>
  <c r="T41" s="1"/>
  <c r="J42"/>
  <c r="N42"/>
  <c r="R42"/>
  <c r="H42"/>
  <c r="L42"/>
  <c r="P42"/>
  <c r="S46"/>
  <c r="T46" s="1"/>
  <c r="S50"/>
  <c r="T50" s="1"/>
  <c r="S54"/>
  <c r="T54" s="1"/>
  <c r="I57"/>
  <c r="M57"/>
  <c r="N57" i="11" s="1"/>
  <c r="Q57" i="13"/>
  <c r="S13"/>
  <c r="T13" s="1"/>
  <c r="S17"/>
  <c r="T17" s="1"/>
  <c r="S21"/>
  <c r="T21" s="1"/>
  <c r="S25"/>
  <c r="T25" s="1"/>
  <c r="H31"/>
  <c r="L31"/>
  <c r="P31"/>
  <c r="S34"/>
  <c r="T34" s="1"/>
  <c r="S38"/>
  <c r="T38" s="1"/>
  <c r="S43"/>
  <c r="T43" s="1"/>
  <c r="S47"/>
  <c r="T47" s="1"/>
  <c r="S51"/>
  <c r="T51" s="1"/>
  <c r="H114"/>
  <c r="H43" i="11"/>
  <c r="S32" i="13"/>
  <c r="T32" s="1"/>
  <c r="S44"/>
  <c r="T44" s="1"/>
  <c r="S65"/>
  <c r="T65" s="1"/>
  <c r="H32" i="11"/>
  <c r="H34"/>
  <c r="H36"/>
  <c r="H38"/>
  <c r="H40"/>
  <c r="G11" i="13"/>
  <c r="H13" i="11"/>
  <c r="H14"/>
  <c r="H15"/>
  <c r="H16"/>
  <c r="H17"/>
  <c r="Q106" i="13"/>
  <c r="H18" i="11"/>
  <c r="H20"/>
  <c r="H21"/>
  <c r="H22"/>
  <c r="H23"/>
  <c r="H24"/>
  <c r="H25"/>
  <c r="H26"/>
  <c r="H27"/>
  <c r="H28"/>
  <c r="H33"/>
  <c r="H37"/>
  <c r="H39"/>
  <c r="S136" i="13"/>
  <c r="T136" s="1"/>
  <c r="S138"/>
  <c r="T138" s="1"/>
  <c r="H44" i="11"/>
  <c r="H45"/>
  <c r="H47"/>
  <c r="H51"/>
  <c r="R35" i="12"/>
  <c r="R19"/>
  <c r="G31" i="11" l="1"/>
  <c r="M10" i="13"/>
  <c r="N10" i="11" s="1"/>
  <c r="N11"/>
  <c r="L10" i="13"/>
  <c r="K10"/>
  <c r="J10"/>
  <c r="I10"/>
  <c r="G11" i="11"/>
  <c r="G57"/>
  <c r="G42"/>
  <c r="H10" i="13"/>
  <c r="L29"/>
  <c r="P29"/>
  <c r="P30" s="1"/>
  <c r="G29"/>
  <c r="O29"/>
  <c r="O30" s="1"/>
  <c r="N29"/>
  <c r="N55" s="1"/>
  <c r="S147"/>
  <c r="T147" s="1"/>
  <c r="H52" i="11"/>
  <c r="S141" i="13"/>
  <c r="T141" s="1"/>
  <c r="H46" i="11"/>
  <c r="S130" i="13"/>
  <c r="T130" s="1"/>
  <c r="H35" i="11"/>
  <c r="J29" i="13"/>
  <c r="I29"/>
  <c r="S145"/>
  <c r="T145" s="1"/>
  <c r="H50" i="11"/>
  <c r="S31" i="13"/>
  <c r="T31" s="1"/>
  <c r="S42"/>
  <c r="T42" s="1"/>
  <c r="R29"/>
  <c r="R30" s="1"/>
  <c r="H29"/>
  <c r="H30" s="1"/>
  <c r="Q29"/>
  <c r="K29"/>
  <c r="M29"/>
  <c r="N29" i="11" s="1"/>
  <c r="S57" i="13"/>
  <c r="T57" s="1"/>
  <c r="S140"/>
  <c r="T140" s="1"/>
  <c r="M114"/>
  <c r="S132"/>
  <c r="T132" s="1"/>
  <c r="S121"/>
  <c r="T121" s="1"/>
  <c r="S117"/>
  <c r="T117" s="1"/>
  <c r="Q114"/>
  <c r="Q105" s="1"/>
  <c r="S112"/>
  <c r="T112" s="1"/>
  <c r="P106"/>
  <c r="S109"/>
  <c r="T109" s="1"/>
  <c r="O106"/>
  <c r="O105" s="1"/>
  <c r="O126"/>
  <c r="N106"/>
  <c r="S146"/>
  <c r="T146" s="1"/>
  <c r="S142"/>
  <c r="T142" s="1"/>
  <c r="M126"/>
  <c r="G151"/>
  <c r="M106"/>
  <c r="S134"/>
  <c r="T134" s="1"/>
  <c r="S122"/>
  <c r="T122" s="1"/>
  <c r="S118"/>
  <c r="T118" s="1"/>
  <c r="L114"/>
  <c r="S113"/>
  <c r="T113" s="1"/>
  <c r="L106"/>
  <c r="I126"/>
  <c r="J114"/>
  <c r="S110"/>
  <c r="T110" s="1"/>
  <c r="K106"/>
  <c r="S133"/>
  <c r="T133" s="1"/>
  <c r="S129"/>
  <c r="T129" s="1"/>
  <c r="H126"/>
  <c r="J126"/>
  <c r="J106"/>
  <c r="I106"/>
  <c r="I105" s="1"/>
  <c r="S128"/>
  <c r="T128" s="1"/>
  <c r="S123"/>
  <c r="T123" s="1"/>
  <c r="S119"/>
  <c r="T119" s="1"/>
  <c r="S115"/>
  <c r="T115" s="1"/>
  <c r="G114"/>
  <c r="H106"/>
  <c r="H105" s="1"/>
  <c r="P114"/>
  <c r="N114"/>
  <c r="S111"/>
  <c r="T111" s="1"/>
  <c r="S107"/>
  <c r="T107" s="1"/>
  <c r="G106"/>
  <c r="Q126"/>
  <c r="L126"/>
  <c r="N126"/>
  <c r="S139"/>
  <c r="T139" s="1"/>
  <c r="G137"/>
  <c r="K126"/>
  <c r="S120"/>
  <c r="T120" s="1"/>
  <c r="S116"/>
  <c r="T116" s="1"/>
  <c r="K114"/>
  <c r="R114"/>
  <c r="S108"/>
  <c r="T108" s="1"/>
  <c r="G10"/>
  <c r="S11"/>
  <c r="T11" s="1"/>
  <c r="S135"/>
  <c r="T135" s="1"/>
  <c r="S131"/>
  <c r="T131" s="1"/>
  <c r="G126"/>
  <c r="S127"/>
  <c r="T127" s="1"/>
  <c r="P126"/>
  <c r="R126"/>
  <c r="R106"/>
  <c r="Q35" i="12"/>
  <c r="L30" i="13" l="1"/>
  <c r="N61"/>
  <c r="N66" s="1"/>
  <c r="N62" s="1"/>
  <c r="J30"/>
  <c r="G10" i="11"/>
  <c r="I30" i="13"/>
  <c r="G30"/>
  <c r="G29" i="11"/>
  <c r="G124" i="13"/>
  <c r="P55"/>
  <c r="N30"/>
  <c r="L55"/>
  <c r="H31" i="11"/>
  <c r="H19"/>
  <c r="H11"/>
  <c r="O55" i="13"/>
  <c r="O61" s="1"/>
  <c r="J55"/>
  <c r="J61" s="1"/>
  <c r="I55"/>
  <c r="I61" s="1"/>
  <c r="S137"/>
  <c r="T137" s="1"/>
  <c r="H42" i="11"/>
  <c r="R55" i="13"/>
  <c r="N56"/>
  <c r="H55"/>
  <c r="S29"/>
  <c r="T29" s="1"/>
  <c r="K30"/>
  <c r="K55"/>
  <c r="Q30"/>
  <c r="Q55"/>
  <c r="Q61" s="1"/>
  <c r="M105"/>
  <c r="M30"/>
  <c r="N30" i="11" s="1"/>
  <c r="M55" i="13"/>
  <c r="L105"/>
  <c r="R105"/>
  <c r="J105"/>
  <c r="S126"/>
  <c r="T126" s="1"/>
  <c r="K105"/>
  <c r="S106"/>
  <c r="T106" s="1"/>
  <c r="G105"/>
  <c r="N105"/>
  <c r="P105"/>
  <c r="S10"/>
  <c r="T10" s="1"/>
  <c r="G55"/>
  <c r="G61" s="1"/>
  <c r="S114"/>
  <c r="T114" s="1"/>
  <c r="Q19" i="12"/>
  <c r="M61" i="13" l="1"/>
  <c r="N62" i="11" s="1"/>
  <c r="N55"/>
  <c r="H61" i="13"/>
  <c r="H66" s="1"/>
  <c r="H62" s="1"/>
  <c r="R61"/>
  <c r="R66" s="1"/>
  <c r="R62" s="1"/>
  <c r="L61"/>
  <c r="K61"/>
  <c r="P56"/>
  <c r="P61"/>
  <c r="G30" i="11"/>
  <c r="I56" i="13"/>
  <c r="H10" i="11"/>
  <c r="G55"/>
  <c r="P66" i="13"/>
  <c r="P62" s="1"/>
  <c r="L56"/>
  <c r="O66"/>
  <c r="O62" s="1"/>
  <c r="O56"/>
  <c r="J56"/>
  <c r="R56"/>
  <c r="H56"/>
  <c r="S30"/>
  <c r="T30" s="1"/>
  <c r="Q56"/>
  <c r="Q66"/>
  <c r="Q62" s="1"/>
  <c r="K56"/>
  <c r="M56"/>
  <c r="N56" i="11" s="1"/>
  <c r="G125" i="13"/>
  <c r="G149"/>
  <c r="G156" s="1"/>
  <c r="S105"/>
  <c r="T105" s="1"/>
  <c r="S55"/>
  <c r="T55" s="1"/>
  <c r="G56"/>
  <c r="P63" i="12"/>
  <c r="P19"/>
  <c r="P35"/>
  <c r="M66" i="13" l="1"/>
  <c r="M62" s="1"/>
  <c r="N63" i="11" s="1"/>
  <c r="L66" i="13"/>
  <c r="K66"/>
  <c r="J66"/>
  <c r="I66"/>
  <c r="G62" i="11"/>
  <c r="G56"/>
  <c r="S56" i="13"/>
  <c r="T56" s="1"/>
  <c r="G150"/>
  <c r="G66"/>
  <c r="S61"/>
  <c r="T61" s="1"/>
  <c r="O37" i="12"/>
  <c r="O35"/>
  <c r="O19"/>
  <c r="N35"/>
  <c r="M35"/>
  <c r="M33"/>
  <c r="G62"/>
  <c r="L48"/>
  <c r="L35"/>
  <c r="G94" i="2"/>
  <c r="K35" i="12"/>
  <c r="G146" i="2"/>
  <c r="CY40" i="6"/>
  <c r="J35" i="12"/>
  <c r="G40"/>
  <c r="H35"/>
  <c r="I35"/>
  <c r="G242" i="2"/>
  <c r="G147" i="12"/>
  <c r="DW386" i="6"/>
  <c r="DX386"/>
  <c r="DY386"/>
  <c r="DZ386"/>
  <c r="EA386"/>
  <c r="EB386"/>
  <c r="EC386"/>
  <c r="ED386"/>
  <c r="EE386"/>
  <c r="EF386"/>
  <c r="EG386"/>
  <c r="DV386"/>
  <c r="A153" i="12"/>
  <c r="DW264" i="6"/>
  <c r="DW263" s="1"/>
  <c r="DX264"/>
  <c r="DX263" s="1"/>
  <c r="DY264"/>
  <c r="DY263" s="1"/>
  <c r="DZ264"/>
  <c r="DZ263" s="1"/>
  <c r="EA264"/>
  <c r="EA263" s="1"/>
  <c r="EB264"/>
  <c r="EB263" s="1"/>
  <c r="EC264"/>
  <c r="EC263" s="1"/>
  <c r="ED264"/>
  <c r="ED263" s="1"/>
  <c r="EE264"/>
  <c r="EE263" s="1"/>
  <c r="EF264"/>
  <c r="EF263" s="1"/>
  <c r="EG264"/>
  <c r="EG263" s="1"/>
  <c r="DV264"/>
  <c r="DV263" s="1"/>
  <c r="DW260"/>
  <c r="DX260"/>
  <c r="DY260"/>
  <c r="DZ260"/>
  <c r="EA260"/>
  <c r="EB260"/>
  <c r="EC260"/>
  <c r="ED260"/>
  <c r="EE260"/>
  <c r="EF260"/>
  <c r="DV260"/>
  <c r="DW245"/>
  <c r="DX245"/>
  <c r="DY245"/>
  <c r="DZ245"/>
  <c r="EA245"/>
  <c r="EB245"/>
  <c r="EC245"/>
  <c r="ED245"/>
  <c r="EE245"/>
  <c r="EF245"/>
  <c r="EG245"/>
  <c r="DV245"/>
  <c r="DW238"/>
  <c r="DX238"/>
  <c r="DY238"/>
  <c r="DZ238"/>
  <c r="EA238"/>
  <c r="EB238"/>
  <c r="EC238"/>
  <c r="ED238"/>
  <c r="EE238"/>
  <c r="EF238"/>
  <c r="EG238"/>
  <c r="DV238"/>
  <c r="DW233"/>
  <c r="DX233"/>
  <c r="DY233"/>
  <c r="DZ233"/>
  <c r="EA233"/>
  <c r="EB233"/>
  <c r="EC233"/>
  <c r="ED233"/>
  <c r="EE233"/>
  <c r="EF233"/>
  <c r="EG233"/>
  <c r="DV233"/>
  <c r="DW228"/>
  <c r="DX228"/>
  <c r="DY228"/>
  <c r="DZ228"/>
  <c r="EA228"/>
  <c r="EB228"/>
  <c r="EC228"/>
  <c r="ED228"/>
  <c r="EE228"/>
  <c r="EF228"/>
  <c r="EG228"/>
  <c r="DV228"/>
  <c r="DW219"/>
  <c r="DW218" s="1"/>
  <c r="DX219"/>
  <c r="DX218" s="1"/>
  <c r="DX217" s="1"/>
  <c r="DY219"/>
  <c r="DY218" s="1"/>
  <c r="DZ219"/>
  <c r="DZ218" s="1"/>
  <c r="EA219"/>
  <c r="EA218" s="1"/>
  <c r="EB219"/>
  <c r="EB218" s="1"/>
  <c r="EB217" s="1"/>
  <c r="EC219"/>
  <c r="EC218" s="1"/>
  <c r="ED219"/>
  <c r="ED218" s="1"/>
  <c r="EE219"/>
  <c r="EE218" s="1"/>
  <c r="EF219"/>
  <c r="EF218" s="1"/>
  <c r="EF217" s="1"/>
  <c r="EG219"/>
  <c r="EG218" s="1"/>
  <c r="EG217" s="1"/>
  <c r="DV219"/>
  <c r="DV218" s="1"/>
  <c r="DV217" s="1"/>
  <c r="J49" i="12"/>
  <c r="K49"/>
  <c r="L49"/>
  <c r="M49"/>
  <c r="N49"/>
  <c r="O49"/>
  <c r="P49"/>
  <c r="Q49"/>
  <c r="R49"/>
  <c r="A159"/>
  <c r="A158"/>
  <c r="A157"/>
  <c r="A156"/>
  <c r="A155"/>
  <c r="A154"/>
  <c r="A152"/>
  <c r="A151"/>
  <c r="A150"/>
  <c r="A149"/>
  <c r="A148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R63"/>
  <c r="Q63"/>
  <c r="O63"/>
  <c r="N63"/>
  <c r="M63"/>
  <c r="L63"/>
  <c r="K63"/>
  <c r="J63"/>
  <c r="R62"/>
  <c r="Q62"/>
  <c r="P62"/>
  <c r="O62"/>
  <c r="N62"/>
  <c r="M62"/>
  <c r="L62"/>
  <c r="K62"/>
  <c r="J62"/>
  <c r="R59"/>
  <c r="Q59"/>
  <c r="P59"/>
  <c r="O59"/>
  <c r="N59"/>
  <c r="M59"/>
  <c r="L59"/>
  <c r="K59"/>
  <c r="J59"/>
  <c r="R58"/>
  <c r="Q58"/>
  <c r="P58"/>
  <c r="O58"/>
  <c r="N58"/>
  <c r="M58"/>
  <c r="L58"/>
  <c r="K58"/>
  <c r="J58"/>
  <c r="R54"/>
  <c r="Q54"/>
  <c r="P54"/>
  <c r="O54"/>
  <c r="N54"/>
  <c r="M54"/>
  <c r="L54"/>
  <c r="K54"/>
  <c r="J54"/>
  <c r="I54"/>
  <c r="H54"/>
  <c r="G54"/>
  <c r="R53"/>
  <c r="Q53"/>
  <c r="P53"/>
  <c r="O53"/>
  <c r="N53"/>
  <c r="M53"/>
  <c r="L53"/>
  <c r="K53"/>
  <c r="J53"/>
  <c r="R52"/>
  <c r="Q52"/>
  <c r="P52"/>
  <c r="O52"/>
  <c r="N52"/>
  <c r="M52"/>
  <c r="L52"/>
  <c r="K52"/>
  <c r="J52"/>
  <c r="R51"/>
  <c r="Q51"/>
  <c r="P51"/>
  <c r="O51"/>
  <c r="N51"/>
  <c r="M51"/>
  <c r="L51"/>
  <c r="K51"/>
  <c r="J51"/>
  <c r="R50"/>
  <c r="Q50"/>
  <c r="P50"/>
  <c r="O50"/>
  <c r="N50"/>
  <c r="M50"/>
  <c r="L50"/>
  <c r="K50"/>
  <c r="J50"/>
  <c r="R48"/>
  <c r="Q48"/>
  <c r="P48"/>
  <c r="O48"/>
  <c r="N48"/>
  <c r="M48"/>
  <c r="K48"/>
  <c r="J48"/>
  <c r="R47"/>
  <c r="Q47"/>
  <c r="P47"/>
  <c r="O47"/>
  <c r="N47"/>
  <c r="M47"/>
  <c r="L47"/>
  <c r="K47"/>
  <c r="J47"/>
  <c r="R46"/>
  <c r="Q46"/>
  <c r="P46"/>
  <c r="O46"/>
  <c r="N46"/>
  <c r="M46"/>
  <c r="L46"/>
  <c r="K46"/>
  <c r="J46"/>
  <c r="R45"/>
  <c r="Q45"/>
  <c r="P45"/>
  <c r="O45"/>
  <c r="N45"/>
  <c r="M45"/>
  <c r="L45"/>
  <c r="K45"/>
  <c r="J45"/>
  <c r="I45"/>
  <c r="H45"/>
  <c r="G45"/>
  <c r="R44"/>
  <c r="Q44"/>
  <c r="P44"/>
  <c r="O44"/>
  <c r="N44"/>
  <c r="M44"/>
  <c r="L44"/>
  <c r="K44"/>
  <c r="J44"/>
  <c r="R43"/>
  <c r="Q43"/>
  <c r="P43"/>
  <c r="O43"/>
  <c r="N43"/>
  <c r="M43"/>
  <c r="L43"/>
  <c r="K43"/>
  <c r="J43"/>
  <c r="R41"/>
  <c r="Q41"/>
  <c r="P41"/>
  <c r="O41"/>
  <c r="N41"/>
  <c r="M41"/>
  <c r="L41"/>
  <c r="K41"/>
  <c r="J41"/>
  <c r="R40"/>
  <c r="Q40"/>
  <c r="P40"/>
  <c r="O40"/>
  <c r="N40"/>
  <c r="M40"/>
  <c r="L40"/>
  <c r="K40"/>
  <c r="J40"/>
  <c r="R39"/>
  <c r="Q39"/>
  <c r="P39"/>
  <c r="O39"/>
  <c r="N39"/>
  <c r="M39"/>
  <c r="L39"/>
  <c r="K39"/>
  <c r="J39"/>
  <c r="R38"/>
  <c r="Q38"/>
  <c r="P38"/>
  <c r="O38"/>
  <c r="N38"/>
  <c r="M38"/>
  <c r="L38"/>
  <c r="K38"/>
  <c r="J38"/>
  <c r="R37"/>
  <c r="Q37"/>
  <c r="P37"/>
  <c r="N37"/>
  <c r="M37"/>
  <c r="L37"/>
  <c r="K37"/>
  <c r="J37"/>
  <c r="R36"/>
  <c r="Q36"/>
  <c r="P36"/>
  <c r="O36"/>
  <c r="N36"/>
  <c r="M36"/>
  <c r="L36"/>
  <c r="K36"/>
  <c r="J36"/>
  <c r="R34"/>
  <c r="Q34"/>
  <c r="P34"/>
  <c r="O34"/>
  <c r="N34"/>
  <c r="M34"/>
  <c r="L34"/>
  <c r="K34"/>
  <c r="J34"/>
  <c r="R33"/>
  <c r="Q33"/>
  <c r="P33"/>
  <c r="O33"/>
  <c r="N33"/>
  <c r="L33"/>
  <c r="K33"/>
  <c r="J33"/>
  <c r="R32"/>
  <c r="Q32"/>
  <c r="P32"/>
  <c r="O32"/>
  <c r="N32"/>
  <c r="M32"/>
  <c r="L32"/>
  <c r="K32"/>
  <c r="J32"/>
  <c r="I32"/>
  <c r="H32"/>
  <c r="G32"/>
  <c r="R28"/>
  <c r="Q28"/>
  <c r="P28"/>
  <c r="O28"/>
  <c r="N28"/>
  <c r="M28"/>
  <c r="L28"/>
  <c r="K28"/>
  <c r="J28"/>
  <c r="R27"/>
  <c r="Q27"/>
  <c r="P27"/>
  <c r="O27"/>
  <c r="N27"/>
  <c r="M27"/>
  <c r="L27"/>
  <c r="K27"/>
  <c r="J27"/>
  <c r="R26"/>
  <c r="Q26"/>
  <c r="P26"/>
  <c r="O26"/>
  <c r="N26"/>
  <c r="M26"/>
  <c r="L26"/>
  <c r="K26"/>
  <c r="J26"/>
  <c r="R25"/>
  <c r="Q25"/>
  <c r="P25"/>
  <c r="O25"/>
  <c r="N25"/>
  <c r="M25"/>
  <c r="L25"/>
  <c r="K25"/>
  <c r="J25"/>
  <c r="R24"/>
  <c r="Q24"/>
  <c r="P24"/>
  <c r="O24"/>
  <c r="N24"/>
  <c r="M24"/>
  <c r="L24"/>
  <c r="K24"/>
  <c r="J24"/>
  <c r="R23"/>
  <c r="Q23"/>
  <c r="P23"/>
  <c r="O23"/>
  <c r="N23"/>
  <c r="M23"/>
  <c r="L23"/>
  <c r="K23"/>
  <c r="J23"/>
  <c r="R22"/>
  <c r="Q22"/>
  <c r="P22"/>
  <c r="O22"/>
  <c r="N22"/>
  <c r="M22"/>
  <c r="L22"/>
  <c r="K22"/>
  <c r="J22"/>
  <c r="R21"/>
  <c r="Q21"/>
  <c r="P21"/>
  <c r="O21"/>
  <c r="N21"/>
  <c r="M21"/>
  <c r="L21"/>
  <c r="K21"/>
  <c r="J21"/>
  <c r="R20"/>
  <c r="Q20"/>
  <c r="P20"/>
  <c r="O20"/>
  <c r="N20"/>
  <c r="M20"/>
  <c r="L20"/>
  <c r="K20"/>
  <c r="J20"/>
  <c r="N19"/>
  <c r="M19"/>
  <c r="L19"/>
  <c r="K19"/>
  <c r="J19"/>
  <c r="R18"/>
  <c r="Q18"/>
  <c r="P18"/>
  <c r="O18"/>
  <c r="N18"/>
  <c r="M18"/>
  <c r="L18"/>
  <c r="K18"/>
  <c r="J18"/>
  <c r="R17"/>
  <c r="Q17"/>
  <c r="P17"/>
  <c r="O17"/>
  <c r="N17"/>
  <c r="M17"/>
  <c r="L17"/>
  <c r="K17"/>
  <c r="J17"/>
  <c r="R16"/>
  <c r="Q16"/>
  <c r="P16"/>
  <c r="O16"/>
  <c r="N16"/>
  <c r="M16"/>
  <c r="L16"/>
  <c r="K16"/>
  <c r="J16"/>
  <c r="R15"/>
  <c r="Q15"/>
  <c r="P15"/>
  <c r="O15"/>
  <c r="N15"/>
  <c r="M15"/>
  <c r="L15"/>
  <c r="K15"/>
  <c r="J15"/>
  <c r="R14"/>
  <c r="Q14"/>
  <c r="P14"/>
  <c r="O14"/>
  <c r="N14"/>
  <c r="M14"/>
  <c r="L14"/>
  <c r="K14"/>
  <c r="J14"/>
  <c r="R13"/>
  <c r="Q13"/>
  <c r="P13"/>
  <c r="O13"/>
  <c r="N13"/>
  <c r="M13"/>
  <c r="L13"/>
  <c r="K13"/>
  <c r="J13"/>
  <c r="R12"/>
  <c r="Q12"/>
  <c r="P12"/>
  <c r="O12"/>
  <c r="N12"/>
  <c r="M12"/>
  <c r="L12"/>
  <c r="K12"/>
  <c r="J12"/>
  <c r="R5"/>
  <c r="Q5"/>
  <c r="P5"/>
  <c r="O5"/>
  <c r="N5"/>
  <c r="M5"/>
  <c r="L5"/>
  <c r="K5"/>
  <c r="J5"/>
  <c r="I5"/>
  <c r="H5"/>
  <c r="G5"/>
  <c r="H61" i="4"/>
  <c r="I61"/>
  <c r="J61"/>
  <c r="K61"/>
  <c r="L61"/>
  <c r="M61"/>
  <c r="N61"/>
  <c r="O61"/>
  <c r="P61"/>
  <c r="Q61"/>
  <c r="R61"/>
  <c r="G61"/>
  <c r="R43"/>
  <c r="R44"/>
  <c r="R45"/>
  <c r="R46"/>
  <c r="R47"/>
  <c r="G19"/>
  <c r="G43"/>
  <c r="G44"/>
  <c r="G45"/>
  <c r="G46"/>
  <c r="G47"/>
  <c r="H19"/>
  <c r="H43"/>
  <c r="H44"/>
  <c r="H45"/>
  <c r="H46"/>
  <c r="H47"/>
  <c r="I19"/>
  <c r="I43"/>
  <c r="I44"/>
  <c r="I45"/>
  <c r="I46"/>
  <c r="I47"/>
  <c r="J19"/>
  <c r="J43"/>
  <c r="J44"/>
  <c r="J45"/>
  <c r="J46"/>
  <c r="J47"/>
  <c r="K19"/>
  <c r="K43"/>
  <c r="K44"/>
  <c r="K45"/>
  <c r="K46"/>
  <c r="K47"/>
  <c r="L19"/>
  <c r="L43"/>
  <c r="L44"/>
  <c r="L45"/>
  <c r="L46"/>
  <c r="L47"/>
  <c r="M19"/>
  <c r="M43"/>
  <c r="M44"/>
  <c r="M45"/>
  <c r="M46"/>
  <c r="M47"/>
  <c r="N19"/>
  <c r="N43"/>
  <c r="N44"/>
  <c r="N45"/>
  <c r="N46"/>
  <c r="N47"/>
  <c r="O19"/>
  <c r="O10" s="1"/>
  <c r="DF191" i="6" s="1"/>
  <c r="O43" i="4"/>
  <c r="O44"/>
  <c r="O45"/>
  <c r="O46"/>
  <c r="O47"/>
  <c r="P19"/>
  <c r="P43"/>
  <c r="P44"/>
  <c r="P45"/>
  <c r="P46"/>
  <c r="P47"/>
  <c r="Q19"/>
  <c r="Q10" s="1"/>
  <c r="DH191" i="6" s="1"/>
  <c r="Q43" i="4"/>
  <c r="Q44"/>
  <c r="Q45"/>
  <c r="Q46"/>
  <c r="Q47"/>
  <c r="R19"/>
  <c r="G11"/>
  <c r="G31"/>
  <c r="G57"/>
  <c r="H11"/>
  <c r="H31"/>
  <c r="H57"/>
  <c r="I11"/>
  <c r="I31"/>
  <c r="I57"/>
  <c r="J11"/>
  <c r="J31"/>
  <c r="J57"/>
  <c r="K11"/>
  <c r="K31"/>
  <c r="K57"/>
  <c r="L11"/>
  <c r="L31"/>
  <c r="L57"/>
  <c r="M11"/>
  <c r="M31"/>
  <c r="M57"/>
  <c r="N11"/>
  <c r="N31"/>
  <c r="N57"/>
  <c r="O11"/>
  <c r="O31"/>
  <c r="O57"/>
  <c r="P11"/>
  <c r="P31"/>
  <c r="P57"/>
  <c r="Q11"/>
  <c r="Q31"/>
  <c r="Q57"/>
  <c r="R11"/>
  <c r="R31"/>
  <c r="R57"/>
  <c r="O35" i="10"/>
  <c r="N35"/>
  <c r="M35"/>
  <c r="L35"/>
  <c r="K35"/>
  <c r="J35"/>
  <c r="I35"/>
  <c r="I36"/>
  <c r="H35"/>
  <c r="DS238" i="6"/>
  <c r="DU238"/>
  <c r="DR238"/>
  <c r="DT238"/>
  <c r="N6" i="11"/>
  <c r="M12" i="10"/>
  <c r="M13"/>
  <c r="M14"/>
  <c r="M15"/>
  <c r="M16"/>
  <c r="M17"/>
  <c r="M18"/>
  <c r="M19"/>
  <c r="M24"/>
  <c r="M25"/>
  <c r="M26"/>
  <c r="M27"/>
  <c r="M28"/>
  <c r="M32"/>
  <c r="M33"/>
  <c r="M34"/>
  <c r="M36"/>
  <c r="M37"/>
  <c r="M38"/>
  <c r="M39"/>
  <c r="M40"/>
  <c r="M41"/>
  <c r="M43"/>
  <c r="M44"/>
  <c r="M45"/>
  <c r="M46"/>
  <c r="M47"/>
  <c r="M48"/>
  <c r="M50"/>
  <c r="M51"/>
  <c r="M52"/>
  <c r="M53"/>
  <c r="N12"/>
  <c r="N13"/>
  <c r="N14"/>
  <c r="N15"/>
  <c r="N16"/>
  <c r="N17"/>
  <c r="N18"/>
  <c r="N19"/>
  <c r="N24"/>
  <c r="N25"/>
  <c r="N26"/>
  <c r="N27"/>
  <c r="N28"/>
  <c r="N32"/>
  <c r="N33"/>
  <c r="N34"/>
  <c r="N36"/>
  <c r="N37"/>
  <c r="N38"/>
  <c r="N39"/>
  <c r="N40"/>
  <c r="N41"/>
  <c r="N43"/>
  <c r="N44"/>
  <c r="N45"/>
  <c r="N46"/>
  <c r="N47"/>
  <c r="N48"/>
  <c r="N50"/>
  <c r="N51"/>
  <c r="N52"/>
  <c r="N53"/>
  <c r="G279" i="2"/>
  <c r="G277"/>
  <c r="G275"/>
  <c r="G266"/>
  <c r="G265"/>
  <c r="G260"/>
  <c r="G258"/>
  <c r="I8" i="11" s="1"/>
  <c r="P8" s="1"/>
  <c r="S8" s="1"/>
  <c r="G256" i="2"/>
  <c r="G255"/>
  <c r="G250"/>
  <c r="B102" i="13" s="1"/>
  <c r="G249" i="2"/>
  <c r="B7" i="13" s="1"/>
  <c r="G246" i="2"/>
  <c r="S7" i="13" s="1"/>
  <c r="S102" s="1"/>
  <c r="G240" i="2"/>
  <c r="R8" i="13" s="1"/>
  <c r="R103" s="1"/>
  <c r="G239" i="2"/>
  <c r="Q8" i="13" s="1"/>
  <c r="Q103" s="1"/>
  <c r="G238" i="2"/>
  <c r="P8" i="13" s="1"/>
  <c r="P103" s="1"/>
  <c r="G237" i="2"/>
  <c r="O8" i="13" s="1"/>
  <c r="O103" s="1"/>
  <c r="G236" i="2"/>
  <c r="N8" i="13" s="1"/>
  <c r="N103" s="1"/>
  <c r="G235" i="2"/>
  <c r="M8" i="13" s="1"/>
  <c r="M103" s="1"/>
  <c r="G234" i="2"/>
  <c r="L8" i="13" s="1"/>
  <c r="L103" s="1"/>
  <c r="G233" i="2"/>
  <c r="K8" i="13" s="1"/>
  <c r="K103" s="1"/>
  <c r="G232" i="2"/>
  <c r="J8" i="13" s="1"/>
  <c r="J103" s="1"/>
  <c r="G231" i="2"/>
  <c r="I8" i="13" s="1"/>
  <c r="I103" s="1"/>
  <c r="G230" i="2"/>
  <c r="H8" i="13" s="1"/>
  <c r="H103" s="1"/>
  <c r="G229" i="2"/>
  <c r="G8" i="13" s="1"/>
  <c r="G103" s="1"/>
  <c r="G228" i="2"/>
  <c r="G227"/>
  <c r="G225"/>
  <c r="B54" i="13" s="1"/>
  <c r="G223" i="2"/>
  <c r="B65" i="12" s="1"/>
  <c r="G222" i="2"/>
  <c r="G221"/>
  <c r="B61" i="12" s="1"/>
  <c r="G220" i="2"/>
  <c r="B60" i="12" s="1"/>
  <c r="G219" i="2"/>
  <c r="G218"/>
  <c r="B56" i="12" s="1"/>
  <c r="G217" i="2"/>
  <c r="B55" i="12" s="1"/>
  <c r="G215" i="2"/>
  <c r="G214"/>
  <c r="G213"/>
  <c r="G212"/>
  <c r="B51" i="12" s="1"/>
  <c r="G211" i="2"/>
  <c r="B153" i="12" s="1"/>
  <c r="G210" i="2"/>
  <c r="G209"/>
  <c r="G208"/>
  <c r="B52" i="12" s="1"/>
  <c r="G207" i="2"/>
  <c r="B59" i="12" s="1"/>
  <c r="G206" i="2"/>
  <c r="B58" i="12" s="1"/>
  <c r="G205" i="2"/>
  <c r="G204"/>
  <c r="B57" i="12" s="1"/>
  <c r="G203" i="2"/>
  <c r="G202"/>
  <c r="G201"/>
  <c r="G200"/>
  <c r="G199"/>
  <c r="G198"/>
  <c r="B50" i="12" s="1"/>
  <c r="G197" i="2"/>
  <c r="G196"/>
  <c r="G195"/>
  <c r="G194"/>
  <c r="G193"/>
  <c r="G192"/>
  <c r="G191"/>
  <c r="G190"/>
  <c r="G189"/>
  <c r="G188"/>
  <c r="G187"/>
  <c r="G186"/>
  <c r="B41" i="12" s="1"/>
  <c r="G185" i="2"/>
  <c r="B49" i="12" s="1"/>
  <c r="G184" i="2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B48" i="12" s="1"/>
  <c r="G166" i="2"/>
  <c r="G165"/>
  <c r="G164"/>
  <c r="G163"/>
  <c r="B47" i="12" s="1"/>
  <c r="G162" i="2"/>
  <c r="G161"/>
  <c r="B46" i="12" s="1"/>
  <c r="G160" i="2"/>
  <c r="G159"/>
  <c r="G158"/>
  <c r="G157"/>
  <c r="G156"/>
  <c r="G155"/>
  <c r="G154"/>
  <c r="G153"/>
  <c r="B45" i="12" s="1"/>
  <c r="G152" i="2"/>
  <c r="G151"/>
  <c r="G150"/>
  <c r="G149"/>
  <c r="G148"/>
  <c r="G147"/>
  <c r="B44" i="12" s="1"/>
  <c r="G145" i="2"/>
  <c r="G144"/>
  <c r="G143"/>
  <c r="G142"/>
  <c r="G141"/>
  <c r="G140"/>
  <c r="G139"/>
  <c r="G138"/>
  <c r="B43" i="12" s="1"/>
  <c r="G137" i="2"/>
  <c r="B42" i="12" s="1"/>
  <c r="G136" i="2"/>
  <c r="G135"/>
  <c r="G134"/>
  <c r="G133"/>
  <c r="G132"/>
  <c r="G131"/>
  <c r="G130"/>
  <c r="G129"/>
  <c r="G128"/>
  <c r="G127"/>
  <c r="B40" i="12" s="1"/>
  <c r="G126" i="2"/>
  <c r="G125"/>
  <c r="G124"/>
  <c r="G123"/>
  <c r="B39" i="12" s="1"/>
  <c r="G122" i="2"/>
  <c r="G121"/>
  <c r="G120"/>
  <c r="G119"/>
  <c r="B38" i="12" s="1"/>
  <c r="G118" i="2"/>
  <c r="G117"/>
  <c r="G116"/>
  <c r="B37" i="12" s="1"/>
  <c r="G115" i="2"/>
  <c r="G114"/>
  <c r="G113"/>
  <c r="G112"/>
  <c r="B36" i="12" s="1"/>
  <c r="G111" i="2"/>
  <c r="G110"/>
  <c r="G109"/>
  <c r="G108"/>
  <c r="G107"/>
  <c r="G106"/>
  <c r="G105"/>
  <c r="G104"/>
  <c r="G103"/>
  <c r="G102"/>
  <c r="B35" i="12" s="1"/>
  <c r="G101" i="2"/>
  <c r="G100"/>
  <c r="G99"/>
  <c r="G98"/>
  <c r="G97"/>
  <c r="G96"/>
  <c r="G95"/>
  <c r="B34" i="12" s="1"/>
  <c r="G93" i="2"/>
  <c r="G92"/>
  <c r="G91"/>
  <c r="G90"/>
  <c r="G89"/>
  <c r="G88"/>
  <c r="G87"/>
  <c r="G86"/>
  <c r="B33" i="12" s="1"/>
  <c r="G85" i="2"/>
  <c r="G84"/>
  <c r="G83"/>
  <c r="G82"/>
  <c r="G81"/>
  <c r="G80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/>
  <c r="G72"/>
  <c r="G71"/>
  <c r="G70"/>
  <c r="B28" i="12" s="1"/>
  <c r="G69" i="2"/>
  <c r="G68"/>
  <c r="G67"/>
  <c r="B27" i="12" s="1"/>
  <c r="G66" i="2"/>
  <c r="G65"/>
  <c r="G64"/>
  <c r="B64" i="12" s="1"/>
  <c r="G63" i="2"/>
  <c r="G62"/>
  <c r="G61"/>
  <c r="G60"/>
  <c r="G59"/>
  <c r="G58"/>
  <c r="B26" i="12" s="1"/>
  <c r="G57" i="2"/>
  <c r="G56"/>
  <c r="G55"/>
  <c r="G54"/>
  <c r="G53"/>
  <c r="G52"/>
  <c r="G51"/>
  <c r="G50"/>
  <c r="G49"/>
  <c r="G48"/>
  <c r="B25" i="12" s="1"/>
  <c r="G47" i="2"/>
  <c r="G46"/>
  <c r="G45"/>
  <c r="G44"/>
  <c r="G43"/>
  <c r="G42"/>
  <c r="G41"/>
  <c r="B24" i="12" s="1"/>
  <c r="G40" i="2"/>
  <c r="B23" i="12" s="1"/>
  <c r="G39" i="2"/>
  <c r="B22" i="12" s="1"/>
  <c r="G38" i="2"/>
  <c r="G37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/>
  <c r="B10" i="12" s="1"/>
  <c r="G24" i="2"/>
  <c r="G23"/>
  <c r="G22"/>
  <c r="G21"/>
  <c r="G20"/>
  <c r="H8" i="3" s="1"/>
  <c r="O8" s="1"/>
  <c r="G19" i="2"/>
  <c r="G18"/>
  <c r="G15"/>
  <c r="G14"/>
  <c r="G13"/>
  <c r="G12"/>
  <c r="G10"/>
  <c r="G9"/>
  <c r="G8"/>
  <c r="E4" i="4" s="1"/>
  <c r="G7" i="2"/>
  <c r="E3" i="3" s="1"/>
  <c r="G6" i="2"/>
  <c r="G5"/>
  <c r="G3"/>
  <c r="D397" i="6"/>
  <c r="D396"/>
  <c r="D395"/>
  <c r="DU394"/>
  <c r="DT394"/>
  <c r="DS394"/>
  <c r="DR394"/>
  <c r="DQ394"/>
  <c r="DP394"/>
  <c r="DO394"/>
  <c r="DN394"/>
  <c r="DM394"/>
  <c r="DL394"/>
  <c r="DK394"/>
  <c r="DJ394"/>
  <c r="DI394"/>
  <c r="DH394"/>
  <c r="DG394"/>
  <c r="DF394"/>
  <c r="DE394"/>
  <c r="DD394"/>
  <c r="DC394"/>
  <c r="DB394"/>
  <c r="DA394"/>
  <c r="CZ394"/>
  <c r="CY394"/>
  <c r="CX394"/>
  <c r="CW394"/>
  <c r="CV394"/>
  <c r="CU394"/>
  <c r="CT394"/>
  <c r="CS394"/>
  <c r="CR394"/>
  <c r="CQ394"/>
  <c r="CP394"/>
  <c r="CO394"/>
  <c r="CN394"/>
  <c r="CM394"/>
  <c r="CL394"/>
  <c r="D394"/>
  <c r="D393"/>
  <c r="D392"/>
  <c r="D391"/>
  <c r="DU390"/>
  <c r="DT390"/>
  <c r="DS390"/>
  <c r="DR390"/>
  <c r="DQ390"/>
  <c r="DQ386" s="1"/>
  <c r="DP390"/>
  <c r="DO390"/>
  <c r="DN390"/>
  <c r="DM390"/>
  <c r="DL390"/>
  <c r="DK390"/>
  <c r="DJ390"/>
  <c r="DI390"/>
  <c r="DI386" s="1"/>
  <c r="DH390"/>
  <c r="DG390"/>
  <c r="DF390"/>
  <c r="DE390"/>
  <c r="DE386" s="1"/>
  <c r="DD390"/>
  <c r="DC390"/>
  <c r="DB390"/>
  <c r="DA390"/>
  <c r="DA386" s="1"/>
  <c r="CZ390"/>
  <c r="CY390"/>
  <c r="CX390"/>
  <c r="CW390"/>
  <c r="CW386" s="1"/>
  <c r="CV390"/>
  <c r="CU390"/>
  <c r="CT390"/>
  <c r="CS390"/>
  <c r="CS386" s="1"/>
  <c r="CS387"/>
  <c r="CR390"/>
  <c r="CQ390"/>
  <c r="CP390"/>
  <c r="CP386" s="1"/>
  <c r="CO390"/>
  <c r="CO387"/>
  <c r="CN390"/>
  <c r="CM390"/>
  <c r="CL390"/>
  <c r="D390"/>
  <c r="D389"/>
  <c r="D388"/>
  <c r="DU387"/>
  <c r="DT387"/>
  <c r="DS387"/>
  <c r="DR387"/>
  <c r="DR386" s="1"/>
  <c r="DQ387"/>
  <c r="DP387"/>
  <c r="DO387"/>
  <c r="DN387"/>
  <c r="DM387"/>
  <c r="DL387"/>
  <c r="DK387"/>
  <c r="DJ387"/>
  <c r="DJ386" s="1"/>
  <c r="DI387"/>
  <c r="DH387"/>
  <c r="DG387"/>
  <c r="DF387"/>
  <c r="DF386" s="1"/>
  <c r="DE387"/>
  <c r="DD387"/>
  <c r="DC387"/>
  <c r="DB387"/>
  <c r="DB386" s="1"/>
  <c r="DA387"/>
  <c r="CZ387"/>
  <c r="CY387"/>
  <c r="CX387"/>
  <c r="CX386" s="1"/>
  <c r="CW387"/>
  <c r="CV387"/>
  <c r="CU387"/>
  <c r="CT387"/>
  <c r="CR387"/>
  <c r="CQ387"/>
  <c r="CP387"/>
  <c r="CN387"/>
  <c r="CN386" s="1"/>
  <c r="CM387"/>
  <c r="CL387"/>
  <c r="D387"/>
  <c r="D386"/>
  <c r="D385"/>
  <c r="D384"/>
  <c r="D383"/>
  <c r="D382"/>
  <c r="D381"/>
  <c r="DU380"/>
  <c r="DU379" s="1"/>
  <c r="DT380"/>
  <c r="DT379" s="1"/>
  <c r="DS380"/>
  <c r="DS379" s="1"/>
  <c r="DR380"/>
  <c r="DR379" s="1"/>
  <c r="DQ380"/>
  <c r="DQ379" s="1"/>
  <c r="DP380"/>
  <c r="DP379" s="1"/>
  <c r="DO380"/>
  <c r="DO379" s="1"/>
  <c r="DN380"/>
  <c r="DN379" s="1"/>
  <c r="DM380"/>
  <c r="DM379" s="1"/>
  <c r="DL380"/>
  <c r="DL379" s="1"/>
  <c r="DK380"/>
  <c r="DK379" s="1"/>
  <c r="DJ380"/>
  <c r="DJ379" s="1"/>
  <c r="DI380"/>
  <c r="DI379" s="1"/>
  <c r="DH380"/>
  <c r="DH379" s="1"/>
  <c r="DG380"/>
  <c r="DG379" s="1"/>
  <c r="DF380"/>
  <c r="DF379" s="1"/>
  <c r="DE380"/>
  <c r="DE379" s="1"/>
  <c r="DD380"/>
  <c r="DD379" s="1"/>
  <c r="DC380"/>
  <c r="DC379" s="1"/>
  <c r="DB380"/>
  <c r="DB379" s="1"/>
  <c r="DA380"/>
  <c r="DA379" s="1"/>
  <c r="CZ380"/>
  <c r="CZ379" s="1"/>
  <c r="CY380"/>
  <c r="CY379" s="1"/>
  <c r="CX380"/>
  <c r="CX379" s="1"/>
  <c r="CW380"/>
  <c r="CW379" s="1"/>
  <c r="CV380"/>
  <c r="CV379" s="1"/>
  <c r="CU380"/>
  <c r="CU379" s="1"/>
  <c r="CT380"/>
  <c r="CT379" s="1"/>
  <c r="CS380"/>
  <c r="CS379" s="1"/>
  <c r="CR380"/>
  <c r="CR379" s="1"/>
  <c r="CQ380"/>
  <c r="CQ379" s="1"/>
  <c r="CP380"/>
  <c r="CP379" s="1"/>
  <c r="CO380"/>
  <c r="CO379" s="1"/>
  <c r="CN380"/>
  <c r="CN379" s="1"/>
  <c r="CM380"/>
  <c r="CM379" s="1"/>
  <c r="CL380"/>
  <c r="CL379" s="1"/>
  <c r="D380"/>
  <c r="D379"/>
  <c r="D378"/>
  <c r="D377"/>
  <c r="D376"/>
  <c r="D375"/>
  <c r="D374"/>
  <c r="D373"/>
  <c r="D372"/>
  <c r="D371"/>
  <c r="D370"/>
  <c r="DU369"/>
  <c r="DT369"/>
  <c r="DS369"/>
  <c r="DR369"/>
  <c r="DQ369"/>
  <c r="DP369"/>
  <c r="DO369"/>
  <c r="DN369"/>
  <c r="DM369"/>
  <c r="DL369"/>
  <c r="DK369"/>
  <c r="DJ369"/>
  <c r="DI369"/>
  <c r="DH369"/>
  <c r="DG369"/>
  <c r="DF369"/>
  <c r="DE369"/>
  <c r="DD369"/>
  <c r="DC369"/>
  <c r="DB369"/>
  <c r="DA369"/>
  <c r="CZ369"/>
  <c r="CY369"/>
  <c r="CX369"/>
  <c r="CW369"/>
  <c r="CV369"/>
  <c r="CU369"/>
  <c r="CT369"/>
  <c r="CS369"/>
  <c r="CR369"/>
  <c r="CQ369"/>
  <c r="CP369"/>
  <c r="CO369"/>
  <c r="CN369"/>
  <c r="CM369"/>
  <c r="CL369"/>
  <c r="D369"/>
  <c r="D368"/>
  <c r="D367"/>
  <c r="D366"/>
  <c r="D365"/>
  <c r="D364"/>
  <c r="D363"/>
  <c r="D362"/>
  <c r="DU361"/>
  <c r="DT361"/>
  <c r="DS361"/>
  <c r="DS351"/>
  <c r="DR361"/>
  <c r="DQ361"/>
  <c r="DP361"/>
  <c r="DO361"/>
  <c r="DO350" s="1"/>
  <c r="DN361"/>
  <c r="DM361"/>
  <c r="DL361"/>
  <c r="DK361"/>
  <c r="DK350" s="1"/>
  <c r="DJ361"/>
  <c r="DI361"/>
  <c r="DH361"/>
  <c r="DG361"/>
  <c r="DG350" s="1"/>
  <c r="DF361"/>
  <c r="DE361"/>
  <c r="DD361"/>
  <c r="DC361"/>
  <c r="DC350" s="1"/>
  <c r="DB361"/>
  <c r="DA361"/>
  <c r="CZ361"/>
  <c r="CY361"/>
  <c r="CY350" s="1"/>
  <c r="CX361"/>
  <c r="CW361"/>
  <c r="CV361"/>
  <c r="CU361"/>
  <c r="CT361"/>
  <c r="CS361"/>
  <c r="CR361"/>
  <c r="CQ361"/>
  <c r="CP361"/>
  <c r="CO361"/>
  <c r="CN361"/>
  <c r="CM361"/>
  <c r="CM350" s="1"/>
  <c r="CL361"/>
  <c r="D361"/>
  <c r="D360"/>
  <c r="D359"/>
  <c r="D358"/>
  <c r="D357"/>
  <c r="D356"/>
  <c r="D355"/>
  <c r="D354"/>
  <c r="D353"/>
  <c r="D352"/>
  <c r="DU351"/>
  <c r="DU350" s="1"/>
  <c r="DT351"/>
  <c r="DR351"/>
  <c r="DQ351"/>
  <c r="DP351"/>
  <c r="DP350" s="1"/>
  <c r="DO351"/>
  <c r="DN351"/>
  <c r="DM351"/>
  <c r="DL351"/>
  <c r="DL350" s="1"/>
  <c r="DK351"/>
  <c r="DJ351"/>
  <c r="DI351"/>
  <c r="DH351"/>
  <c r="DH350" s="1"/>
  <c r="DG351"/>
  <c r="DF351"/>
  <c r="DE351"/>
  <c r="DD351"/>
  <c r="DD350" s="1"/>
  <c r="DC351"/>
  <c r="DB351"/>
  <c r="DA351"/>
  <c r="CZ351"/>
  <c r="CZ350" s="1"/>
  <c r="CY351"/>
  <c r="CX351"/>
  <c r="CW351"/>
  <c r="CV351"/>
  <c r="CV350" s="1"/>
  <c r="CU351"/>
  <c r="CT351"/>
  <c r="CS351"/>
  <c r="CR351"/>
  <c r="CR350" s="1"/>
  <c r="CQ351"/>
  <c r="CP351"/>
  <c r="CO351"/>
  <c r="CN351"/>
  <c r="CN350" s="1"/>
  <c r="CM351"/>
  <c r="CL351"/>
  <c r="D351"/>
  <c r="D350"/>
  <c r="D349"/>
  <c r="D348"/>
  <c r="D347"/>
  <c r="DU346"/>
  <c r="DU321" s="1"/>
  <c r="DT346"/>
  <c r="DS346"/>
  <c r="DR346"/>
  <c r="DQ346"/>
  <c r="DQ321" s="1"/>
  <c r="DP346"/>
  <c r="DO346"/>
  <c r="DN346"/>
  <c r="DM346"/>
  <c r="DM321" s="1"/>
  <c r="DL346"/>
  <c r="DK346"/>
  <c r="DJ346"/>
  <c r="DI346"/>
  <c r="DI321" s="1"/>
  <c r="DH346"/>
  <c r="DG346"/>
  <c r="DF346"/>
  <c r="DE346"/>
  <c r="DE321" s="1"/>
  <c r="DD346"/>
  <c r="DC346"/>
  <c r="DB346"/>
  <c r="DA346"/>
  <c r="CZ346"/>
  <c r="CY346"/>
  <c r="CX346"/>
  <c r="CW346"/>
  <c r="CV346"/>
  <c r="CU346"/>
  <c r="CT346"/>
  <c r="CS346"/>
  <c r="CR346"/>
  <c r="CQ346"/>
  <c r="CP346"/>
  <c r="CO346"/>
  <c r="CN346"/>
  <c r="CM346"/>
  <c r="CL346"/>
  <c r="D346"/>
  <c r="D345"/>
  <c r="DU344"/>
  <c r="DT344"/>
  <c r="DS344"/>
  <c r="DR344"/>
  <c r="DQ344"/>
  <c r="DP344"/>
  <c r="DO344"/>
  <c r="DN344"/>
  <c r="DM344"/>
  <c r="DL344"/>
  <c r="DK344"/>
  <c r="DJ344"/>
  <c r="DI344"/>
  <c r="DH344"/>
  <c r="DG344"/>
  <c r="DF344"/>
  <c r="DE344"/>
  <c r="DD344"/>
  <c r="DC344"/>
  <c r="DB344"/>
  <c r="DA344"/>
  <c r="CZ344"/>
  <c r="CY344"/>
  <c r="CY321" s="1"/>
  <c r="CX344"/>
  <c r="CW344"/>
  <c r="CV344"/>
  <c r="CU344"/>
  <c r="CU321" s="1"/>
  <c r="CT344"/>
  <c r="CS344"/>
  <c r="CR344"/>
  <c r="CQ344"/>
  <c r="CQ321" s="1"/>
  <c r="CP344"/>
  <c r="CO344"/>
  <c r="CN344"/>
  <c r="CM344"/>
  <c r="CM321" s="1"/>
  <c r="CL344"/>
  <c r="D344"/>
  <c r="D343"/>
  <c r="D342"/>
  <c r="D341"/>
  <c r="D340"/>
  <c r="D339"/>
  <c r="D338"/>
  <c r="D337"/>
  <c r="DU336"/>
  <c r="DT336"/>
  <c r="DS336"/>
  <c r="DR336"/>
  <c r="DQ336"/>
  <c r="DP336"/>
  <c r="DO336"/>
  <c r="DN336"/>
  <c r="DM336"/>
  <c r="DL336"/>
  <c r="DK336"/>
  <c r="DJ336"/>
  <c r="DI336"/>
  <c r="DH336"/>
  <c r="DG336"/>
  <c r="DF336"/>
  <c r="DE336"/>
  <c r="DD336"/>
  <c r="DC336"/>
  <c r="DC321" s="1"/>
  <c r="DC322"/>
  <c r="DC330"/>
  <c r="DB336"/>
  <c r="DA336"/>
  <c r="CZ336"/>
  <c r="CY336"/>
  <c r="CX336"/>
  <c r="CW336"/>
  <c r="CV336"/>
  <c r="CU336"/>
  <c r="CT336"/>
  <c r="CS336"/>
  <c r="CR336"/>
  <c r="CQ336"/>
  <c r="CP336"/>
  <c r="CO336"/>
  <c r="CN336"/>
  <c r="CM336"/>
  <c r="CL336"/>
  <c r="D336"/>
  <c r="D335"/>
  <c r="D334"/>
  <c r="D333"/>
  <c r="D332"/>
  <c r="D331"/>
  <c r="DU330"/>
  <c r="DT330"/>
  <c r="DS330"/>
  <c r="DS321" s="1"/>
  <c r="DR330"/>
  <c r="DQ330"/>
  <c r="DP330"/>
  <c r="DO330"/>
  <c r="DN330"/>
  <c r="DM330"/>
  <c r="DL330"/>
  <c r="DK330"/>
  <c r="DJ330"/>
  <c r="DI330"/>
  <c r="DH330"/>
  <c r="DG330"/>
  <c r="DG321" s="1"/>
  <c r="DF330"/>
  <c r="DE330"/>
  <c r="DD330"/>
  <c r="DB330"/>
  <c r="DA330"/>
  <c r="CZ330"/>
  <c r="CY330"/>
  <c r="CX330"/>
  <c r="CX321" s="1"/>
  <c r="CW330"/>
  <c r="CV330"/>
  <c r="CU330"/>
  <c r="CT330"/>
  <c r="CT321" s="1"/>
  <c r="CS330"/>
  <c r="CR330"/>
  <c r="CQ330"/>
  <c r="CP330"/>
  <c r="CP321" s="1"/>
  <c r="CO330"/>
  <c r="CN330"/>
  <c r="CM330"/>
  <c r="CL330"/>
  <c r="D330"/>
  <c r="D329"/>
  <c r="D328"/>
  <c r="D327"/>
  <c r="D326"/>
  <c r="D325"/>
  <c r="D324"/>
  <c r="D323"/>
  <c r="DU322"/>
  <c r="DT322"/>
  <c r="DS322"/>
  <c r="DR322"/>
  <c r="DR321" s="1"/>
  <c r="DQ322"/>
  <c r="DP322"/>
  <c r="DO322"/>
  <c r="DN322"/>
  <c r="DN321" s="1"/>
  <c r="DM322"/>
  <c r="DL322"/>
  <c r="DK322"/>
  <c r="DJ322"/>
  <c r="DJ321" s="1"/>
  <c r="DI322"/>
  <c r="DH322"/>
  <c r="DG322"/>
  <c r="DF322"/>
  <c r="DF321" s="1"/>
  <c r="DE322"/>
  <c r="DD322"/>
  <c r="DB322"/>
  <c r="DA322"/>
  <c r="DA321" s="1"/>
  <c r="CZ322"/>
  <c r="CY322"/>
  <c r="CX322"/>
  <c r="CW322"/>
  <c r="CW321" s="1"/>
  <c r="CV322"/>
  <c r="CU322"/>
  <c r="CT322"/>
  <c r="CS322"/>
  <c r="CS321" s="1"/>
  <c r="CR322"/>
  <c r="CQ322"/>
  <c r="CP322"/>
  <c r="CO322"/>
  <c r="CN322"/>
  <c r="CM322"/>
  <c r="CL322"/>
  <c r="D322"/>
  <c r="D321"/>
  <c r="D320"/>
  <c r="D319"/>
  <c r="D318"/>
  <c r="D317"/>
  <c r="D316"/>
  <c r="D315"/>
  <c r="D314"/>
  <c r="D313"/>
  <c r="D312"/>
  <c r="DU311"/>
  <c r="DT311"/>
  <c r="DS311"/>
  <c r="DR311"/>
  <c r="DQ311"/>
  <c r="DP311"/>
  <c r="DO311"/>
  <c r="DN311"/>
  <c r="DM311"/>
  <c r="DL311"/>
  <c r="DK311"/>
  <c r="DJ311"/>
  <c r="DI311"/>
  <c r="DH311"/>
  <c r="DG311"/>
  <c r="DF311"/>
  <c r="DE311"/>
  <c r="DD311"/>
  <c r="DC311"/>
  <c r="DB311"/>
  <c r="DA311"/>
  <c r="CZ311"/>
  <c r="CY311"/>
  <c r="CX311"/>
  <c r="CW311"/>
  <c r="CV311"/>
  <c r="CU311"/>
  <c r="CT311"/>
  <c r="CS311"/>
  <c r="CR311"/>
  <c r="CQ311"/>
  <c r="CP311"/>
  <c r="CO311"/>
  <c r="CN311"/>
  <c r="CM311"/>
  <c r="CL311"/>
  <c r="D311"/>
  <c r="D310"/>
  <c r="D309"/>
  <c r="D308"/>
  <c r="DU307"/>
  <c r="DT307"/>
  <c r="DS307"/>
  <c r="DR307"/>
  <c r="DQ307"/>
  <c r="DP307"/>
  <c r="DO307"/>
  <c r="DN307"/>
  <c r="DM307"/>
  <c r="DL307"/>
  <c r="DK307"/>
  <c r="DJ307"/>
  <c r="DI307"/>
  <c r="DH307"/>
  <c r="DG307"/>
  <c r="DF307"/>
  <c r="DE307"/>
  <c r="DD307"/>
  <c r="DC307"/>
  <c r="DB307"/>
  <c r="DA307"/>
  <c r="CZ307"/>
  <c r="CY307"/>
  <c r="CX307"/>
  <c r="CW307"/>
  <c r="CV307"/>
  <c r="CU307"/>
  <c r="CT307"/>
  <c r="CS307"/>
  <c r="CR307"/>
  <c r="CQ307"/>
  <c r="CP307"/>
  <c r="CO307"/>
  <c r="CN307"/>
  <c r="CM307"/>
  <c r="CL307"/>
  <c r="D307"/>
  <c r="D306"/>
  <c r="D305"/>
  <c r="D304"/>
  <c r="DU303"/>
  <c r="DT303"/>
  <c r="DS303"/>
  <c r="DR303"/>
  <c r="DQ303"/>
  <c r="DP303"/>
  <c r="DO303"/>
  <c r="DN303"/>
  <c r="DM303"/>
  <c r="DL303"/>
  <c r="DK303"/>
  <c r="DJ303"/>
  <c r="DI303"/>
  <c r="DH303"/>
  <c r="DG303"/>
  <c r="DF303"/>
  <c r="DE303"/>
  <c r="DD303"/>
  <c r="DC303"/>
  <c r="DB303"/>
  <c r="DA303"/>
  <c r="CZ303"/>
  <c r="CY303"/>
  <c r="CX303"/>
  <c r="CW303"/>
  <c r="CV303"/>
  <c r="CU303"/>
  <c r="CT303"/>
  <c r="CS303"/>
  <c r="CR303"/>
  <c r="CQ303"/>
  <c r="CP303"/>
  <c r="CO303"/>
  <c r="CN303"/>
  <c r="CM303"/>
  <c r="CL303"/>
  <c r="D303"/>
  <c r="D302"/>
  <c r="D301"/>
  <c r="DU300"/>
  <c r="DT300"/>
  <c r="DS300"/>
  <c r="DR300"/>
  <c r="DQ300"/>
  <c r="DP300"/>
  <c r="DO300"/>
  <c r="DN300"/>
  <c r="DM300"/>
  <c r="DL300"/>
  <c r="DK300"/>
  <c r="DJ300"/>
  <c r="DI300"/>
  <c r="DH300"/>
  <c r="DG300"/>
  <c r="DF300"/>
  <c r="DE300"/>
  <c r="DD300"/>
  <c r="DC300"/>
  <c r="DB300"/>
  <c r="DA300"/>
  <c r="CZ300"/>
  <c r="CY300"/>
  <c r="CX300"/>
  <c r="CW300"/>
  <c r="CV300"/>
  <c r="CU300"/>
  <c r="CT300"/>
  <c r="CS300"/>
  <c r="CR300"/>
  <c r="CQ300"/>
  <c r="CP300"/>
  <c r="CO300"/>
  <c r="CN300"/>
  <c r="CM300"/>
  <c r="CL300"/>
  <c r="D300"/>
  <c r="D299"/>
  <c r="D298"/>
  <c r="DI297"/>
  <c r="DI296" s="1"/>
  <c r="D297"/>
  <c r="DU296"/>
  <c r="DT296"/>
  <c r="DS296"/>
  <c r="DR296"/>
  <c r="DQ296"/>
  <c r="DP296"/>
  <c r="DO296"/>
  <c r="DN296"/>
  <c r="DM296"/>
  <c r="DL296"/>
  <c r="DK296"/>
  <c r="DJ296"/>
  <c r="DH296"/>
  <c r="DG296"/>
  <c r="DF296"/>
  <c r="DE296"/>
  <c r="DD296"/>
  <c r="DC296"/>
  <c r="DB296"/>
  <c r="DA296"/>
  <c r="CZ296"/>
  <c r="CY296"/>
  <c r="CX296"/>
  <c r="CW296"/>
  <c r="CV296"/>
  <c r="CU296"/>
  <c r="CT296"/>
  <c r="CS296"/>
  <c r="CR296"/>
  <c r="CQ296"/>
  <c r="CP296"/>
  <c r="CO296"/>
  <c r="CN296"/>
  <c r="CM296"/>
  <c r="CL296"/>
  <c r="D296"/>
  <c r="D295"/>
  <c r="D294"/>
  <c r="D293"/>
  <c r="D292"/>
  <c r="D291"/>
  <c r="D290"/>
  <c r="D289"/>
  <c r="D288"/>
  <c r="D287"/>
  <c r="DU286"/>
  <c r="DT286"/>
  <c r="DS286"/>
  <c r="DR286"/>
  <c r="DQ286"/>
  <c r="DP286"/>
  <c r="DO286"/>
  <c r="DN286"/>
  <c r="DM286"/>
  <c r="DL286"/>
  <c r="DK286"/>
  <c r="DJ286"/>
  <c r="DI286"/>
  <c r="DH286"/>
  <c r="DG286"/>
  <c r="DF286"/>
  <c r="DE286"/>
  <c r="DD286"/>
  <c r="DC286"/>
  <c r="DB286"/>
  <c r="DA286"/>
  <c r="CZ286"/>
  <c r="CY286"/>
  <c r="CX286"/>
  <c r="CW286"/>
  <c r="CV286"/>
  <c r="CU286"/>
  <c r="CT286"/>
  <c r="CS286"/>
  <c r="CR286"/>
  <c r="CQ286"/>
  <c r="CP286"/>
  <c r="CO286"/>
  <c r="CN286"/>
  <c r="CM286"/>
  <c r="CL286"/>
  <c r="D286"/>
  <c r="D285"/>
  <c r="D284"/>
  <c r="D283"/>
  <c r="D282"/>
  <c r="D281"/>
  <c r="D280"/>
  <c r="DU279"/>
  <c r="DT279"/>
  <c r="DS279"/>
  <c r="DR279"/>
  <c r="DQ279"/>
  <c r="DP279"/>
  <c r="DO279"/>
  <c r="DN279"/>
  <c r="DM279"/>
  <c r="DL279"/>
  <c r="DK279"/>
  <c r="DJ279"/>
  <c r="DI279"/>
  <c r="DH279"/>
  <c r="DG279"/>
  <c r="DF279"/>
  <c r="DE279"/>
  <c r="DD279"/>
  <c r="DC279"/>
  <c r="DB279"/>
  <c r="DA279"/>
  <c r="CZ279"/>
  <c r="CY279"/>
  <c r="CX279"/>
  <c r="CW279"/>
  <c r="CV279"/>
  <c r="CU279"/>
  <c r="CT279"/>
  <c r="CS279"/>
  <c r="CR279"/>
  <c r="CQ279"/>
  <c r="CP279"/>
  <c r="CO279"/>
  <c r="CN279"/>
  <c r="CM279"/>
  <c r="CL279"/>
  <c r="D279"/>
  <c r="D278"/>
  <c r="D277"/>
  <c r="D276"/>
  <c r="D275"/>
  <c r="D274"/>
  <c r="D273"/>
  <c r="D272"/>
  <c r="DU271"/>
  <c r="DT271"/>
  <c r="DS271"/>
  <c r="DR271"/>
  <c r="DQ271"/>
  <c r="DP271"/>
  <c r="DO271"/>
  <c r="DN271"/>
  <c r="DM271"/>
  <c r="DL271"/>
  <c r="DK271"/>
  <c r="DJ271"/>
  <c r="DI271"/>
  <c r="DH271"/>
  <c r="DG271"/>
  <c r="DF271"/>
  <c r="DE271"/>
  <c r="DD271"/>
  <c r="DC271"/>
  <c r="DB271"/>
  <c r="DA271"/>
  <c r="CZ271"/>
  <c r="CY271"/>
  <c r="CX271"/>
  <c r="CW271"/>
  <c r="CV271"/>
  <c r="CU271"/>
  <c r="CT271"/>
  <c r="CS271"/>
  <c r="CR271"/>
  <c r="CQ271"/>
  <c r="CP271"/>
  <c r="CO271"/>
  <c r="CN271"/>
  <c r="CM271"/>
  <c r="CL271"/>
  <c r="D271"/>
  <c r="D270"/>
  <c r="D269"/>
  <c r="D268"/>
  <c r="D267"/>
  <c r="D266"/>
  <c r="DU265"/>
  <c r="DT265"/>
  <c r="DS265"/>
  <c r="DR265"/>
  <c r="DQ265"/>
  <c r="DP265"/>
  <c r="DO265"/>
  <c r="DN265"/>
  <c r="DM265"/>
  <c r="DL265"/>
  <c r="DK265"/>
  <c r="DJ265"/>
  <c r="DJ264" s="1"/>
  <c r="DI265"/>
  <c r="DH265"/>
  <c r="DG265"/>
  <c r="DF265"/>
  <c r="DE265"/>
  <c r="DD265"/>
  <c r="DC265"/>
  <c r="DB265"/>
  <c r="DA265"/>
  <c r="CZ265"/>
  <c r="CY265"/>
  <c r="CX265"/>
  <c r="CW265"/>
  <c r="CV265"/>
  <c r="CU265"/>
  <c r="CT265"/>
  <c r="CS265"/>
  <c r="CR265"/>
  <c r="CQ265"/>
  <c r="CP265"/>
  <c r="CO265"/>
  <c r="CN265"/>
  <c r="CM265"/>
  <c r="CL265"/>
  <c r="D265"/>
  <c r="D264"/>
  <c r="D263"/>
  <c r="D262"/>
  <c r="D261"/>
  <c r="DU260"/>
  <c r="DU217" s="1"/>
  <c r="DT260"/>
  <c r="DT217" s="1"/>
  <c r="DS260"/>
  <c r="DS217" s="1"/>
  <c r="DR260"/>
  <c r="DR217" s="1"/>
  <c r="DQ260"/>
  <c r="DQ217" s="1"/>
  <c r="DP260"/>
  <c r="DP217" s="1"/>
  <c r="DO260"/>
  <c r="DO217" s="1"/>
  <c r="DN260"/>
  <c r="DN217" s="1"/>
  <c r="DM260"/>
  <c r="DM217" s="1"/>
  <c r="DL260"/>
  <c r="DL217" s="1"/>
  <c r="DK260"/>
  <c r="DK217" s="1"/>
  <c r="DJ260"/>
  <c r="DI260"/>
  <c r="DH260"/>
  <c r="DG260"/>
  <c r="DF260"/>
  <c r="DE260"/>
  <c r="DD260"/>
  <c r="DC260"/>
  <c r="DB260"/>
  <c r="DA260"/>
  <c r="CZ260"/>
  <c r="CY260"/>
  <c r="CX260"/>
  <c r="CW260"/>
  <c r="CV260"/>
  <c r="CU260"/>
  <c r="CT260"/>
  <c r="CS260"/>
  <c r="CR260"/>
  <c r="CQ260"/>
  <c r="CP260"/>
  <c r="CO260"/>
  <c r="CN260"/>
  <c r="CM260"/>
  <c r="CL260"/>
  <c r="D260"/>
  <c r="D259"/>
  <c r="D258"/>
  <c r="D257"/>
  <c r="D256"/>
  <c r="D255"/>
  <c r="D254"/>
  <c r="D253"/>
  <c r="D252"/>
  <c r="D251"/>
  <c r="D250"/>
  <c r="D249"/>
  <c r="D248"/>
  <c r="D247"/>
  <c r="D246"/>
  <c r="DU245"/>
  <c r="DT245"/>
  <c r="DS245"/>
  <c r="DR245"/>
  <c r="DQ245"/>
  <c r="DP245"/>
  <c r="DO245"/>
  <c r="DN245"/>
  <c r="DM245"/>
  <c r="DL245"/>
  <c r="DK245"/>
  <c r="DJ245"/>
  <c r="DI245"/>
  <c r="DH245"/>
  <c r="DG245"/>
  <c r="DF245"/>
  <c r="DE245"/>
  <c r="DD245"/>
  <c r="DC245"/>
  <c r="DB245"/>
  <c r="DA245"/>
  <c r="CZ245"/>
  <c r="CY245"/>
  <c r="CX245"/>
  <c r="CW245"/>
  <c r="CV245"/>
  <c r="CU245"/>
  <c r="CT245"/>
  <c r="CS245"/>
  <c r="CR245"/>
  <c r="CQ245"/>
  <c r="CP245"/>
  <c r="CO245"/>
  <c r="CN245"/>
  <c r="CM245"/>
  <c r="CL245"/>
  <c r="D245"/>
  <c r="D244"/>
  <c r="D243"/>
  <c r="D242"/>
  <c r="D241"/>
  <c r="D240"/>
  <c r="D239"/>
  <c r="DQ238"/>
  <c r="DP238"/>
  <c r="DO238"/>
  <c r="DN238"/>
  <c r="DM238"/>
  <c r="DL238"/>
  <c r="DK238"/>
  <c r="DJ238"/>
  <c r="DI238"/>
  <c r="DH238"/>
  <c r="DG238"/>
  <c r="DF238"/>
  <c r="DE238"/>
  <c r="DD238"/>
  <c r="DC238"/>
  <c r="DB238"/>
  <c r="DA238"/>
  <c r="CZ238"/>
  <c r="CY238"/>
  <c r="CX238"/>
  <c r="CW238"/>
  <c r="CV238"/>
  <c r="CU238"/>
  <c r="CT238"/>
  <c r="CS238"/>
  <c r="CR238"/>
  <c r="CQ238"/>
  <c r="CP238"/>
  <c r="CO238"/>
  <c r="CN238"/>
  <c r="CM238"/>
  <c r="CL238"/>
  <c r="D238"/>
  <c r="D237"/>
  <c r="D236"/>
  <c r="D235"/>
  <c r="D234"/>
  <c r="DU233"/>
  <c r="DT233"/>
  <c r="DS233"/>
  <c r="DR233"/>
  <c r="DQ233"/>
  <c r="DP233"/>
  <c r="DO233"/>
  <c r="DN233"/>
  <c r="DM233"/>
  <c r="DL233"/>
  <c r="DK233"/>
  <c r="DJ233"/>
  <c r="DI233"/>
  <c r="DH233"/>
  <c r="DG233"/>
  <c r="DF233"/>
  <c r="DE233"/>
  <c r="DD233"/>
  <c r="DC233"/>
  <c r="DB233"/>
  <c r="DA233"/>
  <c r="CZ233"/>
  <c r="CY233"/>
  <c r="CX233"/>
  <c r="CW233"/>
  <c r="CV233"/>
  <c r="CU233"/>
  <c r="CT233"/>
  <c r="CS233"/>
  <c r="CR233"/>
  <c r="CQ233"/>
  <c r="CP233"/>
  <c r="CO233"/>
  <c r="CN233"/>
  <c r="CM233"/>
  <c r="CL233"/>
  <c r="D233"/>
  <c r="D232"/>
  <c r="D231"/>
  <c r="D230"/>
  <c r="D229"/>
  <c r="DU228"/>
  <c r="DT228"/>
  <c r="DS228"/>
  <c r="DR228"/>
  <c r="DQ228"/>
  <c r="DP228"/>
  <c r="DO228"/>
  <c r="DN228"/>
  <c r="DM228"/>
  <c r="DL228"/>
  <c r="DK228"/>
  <c r="DJ228"/>
  <c r="DI228"/>
  <c r="DH228"/>
  <c r="DG228"/>
  <c r="DF228"/>
  <c r="DE228"/>
  <c r="DD228"/>
  <c r="DC228"/>
  <c r="DB228"/>
  <c r="DA228"/>
  <c r="CZ228"/>
  <c r="CY228"/>
  <c r="CX228"/>
  <c r="CW228"/>
  <c r="CV228"/>
  <c r="CU228"/>
  <c r="CT228"/>
  <c r="CS228"/>
  <c r="CR228"/>
  <c r="CQ228"/>
  <c r="CP228"/>
  <c r="CO228"/>
  <c r="CN228"/>
  <c r="CM228"/>
  <c r="CL228"/>
  <c r="D228"/>
  <c r="D227"/>
  <c r="D225"/>
  <c r="D224"/>
  <c r="D223"/>
  <c r="D222"/>
  <c r="D221"/>
  <c r="D220"/>
  <c r="DU219"/>
  <c r="DT219"/>
  <c r="DS219"/>
  <c r="DR219"/>
  <c r="DQ219"/>
  <c r="DP219"/>
  <c r="DO219"/>
  <c r="DN219"/>
  <c r="DM219"/>
  <c r="DL219"/>
  <c r="DK219"/>
  <c r="DJ219"/>
  <c r="DI219"/>
  <c r="DH219"/>
  <c r="DG219"/>
  <c r="DF219"/>
  <c r="DE219"/>
  <c r="DD219"/>
  <c r="DC219"/>
  <c r="DB219"/>
  <c r="DA219"/>
  <c r="CZ219"/>
  <c r="CY219"/>
  <c r="CX219"/>
  <c r="CW219"/>
  <c r="CV219"/>
  <c r="CU219"/>
  <c r="CT219"/>
  <c r="CS219"/>
  <c r="CR219"/>
  <c r="CQ219"/>
  <c r="CP219"/>
  <c r="CO219"/>
  <c r="CN219"/>
  <c r="CM219"/>
  <c r="CL219"/>
  <c r="D219"/>
  <c r="D218"/>
  <c r="D217"/>
  <c r="A142" i="9"/>
  <c r="G100"/>
  <c r="DI23" i="6"/>
  <c r="DI28"/>
  <c r="DI35"/>
  <c r="DI43"/>
  <c r="DI46"/>
  <c r="DH23"/>
  <c r="DH5" s="1"/>
  <c r="DH4" s="1"/>
  <c r="DH28"/>
  <c r="DH35"/>
  <c r="DH43"/>
  <c r="DH46"/>
  <c r="DG23"/>
  <c r="DG28"/>
  <c r="DG35"/>
  <c r="DG43"/>
  <c r="DG5" s="1"/>
  <c r="DG4" s="1"/>
  <c r="DG46"/>
  <c r="DF23"/>
  <c r="DF28"/>
  <c r="DF35"/>
  <c r="DF43"/>
  <c r="DF46"/>
  <c r="DE23"/>
  <c r="DE28"/>
  <c r="DE35"/>
  <c r="DE43"/>
  <c r="DE46"/>
  <c r="DD23"/>
  <c r="DD28"/>
  <c r="DD35"/>
  <c r="DD43"/>
  <c r="DD46"/>
  <c r="DC23"/>
  <c r="DC28"/>
  <c r="DC35"/>
  <c r="DC43"/>
  <c r="DC46"/>
  <c r="DB23"/>
  <c r="DB28"/>
  <c r="DB35"/>
  <c r="DB43"/>
  <c r="DB46"/>
  <c r="DA23"/>
  <c r="DA28"/>
  <c r="DA35"/>
  <c r="DA43"/>
  <c r="DA46"/>
  <c r="CZ23"/>
  <c r="CZ5" s="1"/>
  <c r="CZ4" s="1"/>
  <c r="CZ28"/>
  <c r="CZ35"/>
  <c r="CZ43"/>
  <c r="CZ46"/>
  <c r="CY23"/>
  <c r="CY28"/>
  <c r="CY35"/>
  <c r="CY43"/>
  <c r="CY46"/>
  <c r="CX23"/>
  <c r="CX28"/>
  <c r="CX35"/>
  <c r="CX43"/>
  <c r="CX46"/>
  <c r="U12" i="8"/>
  <c r="U13"/>
  <c r="U14"/>
  <c r="U15"/>
  <c r="U16"/>
  <c r="U17"/>
  <c r="U19"/>
  <c r="U20"/>
  <c r="U25"/>
  <c r="U26"/>
  <c r="U27"/>
  <c r="U28"/>
  <c r="U29"/>
  <c r="U33"/>
  <c r="U34"/>
  <c r="U35"/>
  <c r="U36"/>
  <c r="U37"/>
  <c r="U38"/>
  <c r="U39"/>
  <c r="U40"/>
  <c r="U41"/>
  <c r="U42"/>
  <c r="U44"/>
  <c r="U45"/>
  <c r="U46"/>
  <c r="U47"/>
  <c r="U48"/>
  <c r="U49"/>
  <c r="U50"/>
  <c r="U51"/>
  <c r="U52"/>
  <c r="U53"/>
  <c r="U54"/>
  <c r="U55"/>
  <c r="T12"/>
  <c r="T13"/>
  <c r="T14"/>
  <c r="T15"/>
  <c r="T16"/>
  <c r="T17"/>
  <c r="T19"/>
  <c r="T20"/>
  <c r="T25"/>
  <c r="T26"/>
  <c r="T27"/>
  <c r="T28"/>
  <c r="T29"/>
  <c r="T33"/>
  <c r="T34"/>
  <c r="T35"/>
  <c r="T36"/>
  <c r="T37"/>
  <c r="T38"/>
  <c r="T39"/>
  <c r="T40"/>
  <c r="T41"/>
  <c r="T42"/>
  <c r="T44"/>
  <c r="T45"/>
  <c r="T46"/>
  <c r="T47"/>
  <c r="T48"/>
  <c r="T49"/>
  <c r="T50"/>
  <c r="T51"/>
  <c r="T52"/>
  <c r="T53"/>
  <c r="T54"/>
  <c r="T55"/>
  <c r="S12"/>
  <c r="S13"/>
  <c r="S14"/>
  <c r="S15"/>
  <c r="S16"/>
  <c r="S17"/>
  <c r="S19"/>
  <c r="S20"/>
  <c r="S25"/>
  <c r="S26"/>
  <c r="S27"/>
  <c r="S28"/>
  <c r="S29"/>
  <c r="S33"/>
  <c r="S34"/>
  <c r="S35"/>
  <c r="S36"/>
  <c r="S37"/>
  <c r="S38"/>
  <c r="S39"/>
  <c r="S40"/>
  <c r="S41"/>
  <c r="S42"/>
  <c r="S44"/>
  <c r="S45"/>
  <c r="S46"/>
  <c r="S47"/>
  <c r="S48"/>
  <c r="S49"/>
  <c r="S50"/>
  <c r="S51"/>
  <c r="S52"/>
  <c r="S53"/>
  <c r="S54"/>
  <c r="S55"/>
  <c r="Q12"/>
  <c r="Q13"/>
  <c r="Q14"/>
  <c r="Q15"/>
  <c r="Q16"/>
  <c r="Q17"/>
  <c r="Q19"/>
  <c r="Q20"/>
  <c r="Q25"/>
  <c r="Q26"/>
  <c r="Q27"/>
  <c r="Q28"/>
  <c r="Q29"/>
  <c r="Q33"/>
  <c r="Q34"/>
  <c r="Q35"/>
  <c r="Q36"/>
  <c r="Q37"/>
  <c r="Q38"/>
  <c r="Q39"/>
  <c r="Q40"/>
  <c r="Q41"/>
  <c r="Q42"/>
  <c r="Q44"/>
  <c r="Q45"/>
  <c r="Q46"/>
  <c r="Q47"/>
  <c r="Q48"/>
  <c r="Q49"/>
  <c r="Q50"/>
  <c r="Q51"/>
  <c r="Q52"/>
  <c r="Q53"/>
  <c r="Q54"/>
  <c r="Q55"/>
  <c r="P12"/>
  <c r="P13"/>
  <c r="P14"/>
  <c r="P15"/>
  <c r="P16"/>
  <c r="P17"/>
  <c r="P19"/>
  <c r="P20"/>
  <c r="P25"/>
  <c r="P26"/>
  <c r="P27"/>
  <c r="P28"/>
  <c r="P29"/>
  <c r="P33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4"/>
  <c r="P55"/>
  <c r="O12"/>
  <c r="O13"/>
  <c r="O14"/>
  <c r="O15"/>
  <c r="O16"/>
  <c r="O17"/>
  <c r="O19"/>
  <c r="O20"/>
  <c r="O25"/>
  <c r="O26"/>
  <c r="O27"/>
  <c r="O28"/>
  <c r="O29"/>
  <c r="O33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4"/>
  <c r="O55"/>
  <c r="M12"/>
  <c r="M13"/>
  <c r="M14"/>
  <c r="M15"/>
  <c r="M16"/>
  <c r="M17"/>
  <c r="M19"/>
  <c r="M20"/>
  <c r="M25"/>
  <c r="M26"/>
  <c r="M27"/>
  <c r="M28"/>
  <c r="M29"/>
  <c r="M33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4"/>
  <c r="M55"/>
  <c r="L12"/>
  <c r="L13"/>
  <c r="L14"/>
  <c r="L15"/>
  <c r="L16"/>
  <c r="L17"/>
  <c r="L19"/>
  <c r="L20"/>
  <c r="L25"/>
  <c r="L26"/>
  <c r="L27"/>
  <c r="L28"/>
  <c r="L29"/>
  <c r="L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4"/>
  <c r="L55"/>
  <c r="K12"/>
  <c r="K13"/>
  <c r="K14"/>
  <c r="K15"/>
  <c r="K16"/>
  <c r="K17"/>
  <c r="K19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4"/>
  <c r="K55"/>
  <c r="I12"/>
  <c r="I13"/>
  <c r="I14"/>
  <c r="I15"/>
  <c r="I16"/>
  <c r="I17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4"/>
  <c r="I55"/>
  <c r="H12"/>
  <c r="H13"/>
  <c r="H14"/>
  <c r="H15"/>
  <c r="H16"/>
  <c r="H17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4"/>
  <c r="H55"/>
  <c r="G12"/>
  <c r="G13"/>
  <c r="G14"/>
  <c r="G15"/>
  <c r="G16"/>
  <c r="G17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G55"/>
  <c r="E193" i="6"/>
  <c r="DI50"/>
  <c r="DH50"/>
  <c r="DG50"/>
  <c r="DF50"/>
  <c r="DE50"/>
  <c r="DD50"/>
  <c r="DC50"/>
  <c r="DB50"/>
  <c r="DA50"/>
  <c r="CZ50"/>
  <c r="CY50"/>
  <c r="CX50"/>
  <c r="DI49"/>
  <c r="DH49"/>
  <c r="DG49"/>
  <c r="DF49"/>
  <c r="DE49"/>
  <c r="DD49"/>
  <c r="DC49"/>
  <c r="DB49"/>
  <c r="DA49"/>
  <c r="CZ49"/>
  <c r="CY49"/>
  <c r="CX49"/>
  <c r="DI40"/>
  <c r="DH40"/>
  <c r="DG40"/>
  <c r="DF40"/>
  <c r="DE40"/>
  <c r="DD40"/>
  <c r="DC40"/>
  <c r="DB40"/>
  <c r="DA40"/>
  <c r="CZ40"/>
  <c r="CX40"/>
  <c r="A106" i="9"/>
  <c r="A107"/>
  <c r="A108"/>
  <c r="A109"/>
  <c r="A110"/>
  <c r="A111"/>
  <c r="A112"/>
  <c r="A113"/>
  <c r="A115"/>
  <c r="A116"/>
  <c r="A117"/>
  <c r="A118"/>
  <c r="A119"/>
  <c r="A120"/>
  <c r="A121"/>
  <c r="B121" s="1"/>
  <c r="A122"/>
  <c r="A123"/>
  <c r="A127"/>
  <c r="A128"/>
  <c r="A129"/>
  <c r="B129" s="1"/>
  <c r="A130"/>
  <c r="A131"/>
  <c r="A132"/>
  <c r="A133"/>
  <c r="A134"/>
  <c r="A135"/>
  <c r="A136"/>
  <c r="A138"/>
  <c r="A139"/>
  <c r="A140"/>
  <c r="A141"/>
  <c r="A143"/>
  <c r="A144"/>
  <c r="A145"/>
  <c r="A146"/>
  <c r="A147"/>
  <c r="A151"/>
  <c r="A152"/>
  <c r="A153"/>
  <c r="A156"/>
  <c r="A157"/>
  <c r="A158"/>
  <c r="H100"/>
  <c r="I100"/>
  <c r="J100"/>
  <c r="K100"/>
  <c r="L100"/>
  <c r="M100"/>
  <c r="N100"/>
  <c r="O100"/>
  <c r="P100"/>
  <c r="Q100"/>
  <c r="R100"/>
  <c r="A159"/>
  <c r="A155"/>
  <c r="B155" s="1"/>
  <c r="A154"/>
  <c r="A150"/>
  <c r="A149"/>
  <c r="A148"/>
  <c r="B148" s="1"/>
  <c r="A137"/>
  <c r="A126"/>
  <c r="A125"/>
  <c r="A124"/>
  <c r="A114"/>
  <c r="A105"/>
  <c r="A104"/>
  <c r="T102"/>
  <c r="G12"/>
  <c r="G13"/>
  <c r="G14"/>
  <c r="G15"/>
  <c r="G16"/>
  <c r="G17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7"/>
  <c r="G58"/>
  <c r="G59"/>
  <c r="G62"/>
  <c r="G63"/>
  <c r="G64"/>
  <c r="H12"/>
  <c r="H13"/>
  <c r="H14"/>
  <c r="H15"/>
  <c r="H16"/>
  <c r="H17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7"/>
  <c r="H58"/>
  <c r="H59"/>
  <c r="H62"/>
  <c r="H63"/>
  <c r="H64"/>
  <c r="I12"/>
  <c r="I13"/>
  <c r="I14"/>
  <c r="I15"/>
  <c r="I16"/>
  <c r="I17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7"/>
  <c r="I58"/>
  <c r="I59"/>
  <c r="I62"/>
  <c r="I63"/>
  <c r="I64"/>
  <c r="J12"/>
  <c r="J13"/>
  <c r="J14"/>
  <c r="J15"/>
  <c r="J16"/>
  <c r="J17"/>
  <c r="J19"/>
  <c r="J20"/>
  <c r="J25"/>
  <c r="J26"/>
  <c r="J27"/>
  <c r="J28"/>
  <c r="J29"/>
  <c r="J33"/>
  <c r="J34"/>
  <c r="J35"/>
  <c r="J36"/>
  <c r="J37"/>
  <c r="J38"/>
  <c r="J39"/>
  <c r="J40"/>
  <c r="J41"/>
  <c r="J42"/>
  <c r="J44"/>
  <c r="J45"/>
  <c r="J46"/>
  <c r="J47"/>
  <c r="J48"/>
  <c r="J49"/>
  <c r="J50"/>
  <c r="J51"/>
  <c r="J52"/>
  <c r="J53"/>
  <c r="J57"/>
  <c r="J58"/>
  <c r="J59"/>
  <c r="J62"/>
  <c r="J63"/>
  <c r="J64"/>
  <c r="K12"/>
  <c r="K13"/>
  <c r="K14"/>
  <c r="K15"/>
  <c r="K16"/>
  <c r="K17"/>
  <c r="K19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7"/>
  <c r="K58"/>
  <c r="K59"/>
  <c r="K62"/>
  <c r="K63"/>
  <c r="K64"/>
  <c r="L12"/>
  <c r="L13"/>
  <c r="L14"/>
  <c r="L15"/>
  <c r="L16"/>
  <c r="L17"/>
  <c r="L19"/>
  <c r="L20"/>
  <c r="L25"/>
  <c r="L26"/>
  <c r="L27"/>
  <c r="L28"/>
  <c r="L29"/>
  <c r="L33"/>
  <c r="M33"/>
  <c r="N33"/>
  <c r="O33"/>
  <c r="P33"/>
  <c r="Q33"/>
  <c r="R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7"/>
  <c r="L58"/>
  <c r="L59"/>
  <c r="L62"/>
  <c r="L63"/>
  <c r="L64"/>
  <c r="M12"/>
  <c r="M13"/>
  <c r="M14"/>
  <c r="M15"/>
  <c r="M16"/>
  <c r="M17"/>
  <c r="M19"/>
  <c r="M20"/>
  <c r="M25"/>
  <c r="M26"/>
  <c r="M27"/>
  <c r="M28"/>
  <c r="M29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7"/>
  <c r="M58"/>
  <c r="M59"/>
  <c r="M62"/>
  <c r="M63"/>
  <c r="N63"/>
  <c r="O63"/>
  <c r="P63"/>
  <c r="Q63"/>
  <c r="R63"/>
  <c r="M64"/>
  <c r="N12"/>
  <c r="N13"/>
  <c r="N14"/>
  <c r="N15"/>
  <c r="N16"/>
  <c r="N17"/>
  <c r="N19"/>
  <c r="N20"/>
  <c r="N25"/>
  <c r="N26"/>
  <c r="N27"/>
  <c r="N28"/>
  <c r="N29"/>
  <c r="N34"/>
  <c r="N35"/>
  <c r="N36"/>
  <c r="N37"/>
  <c r="N38"/>
  <c r="N39"/>
  <c r="N40"/>
  <c r="N41"/>
  <c r="N42"/>
  <c r="N44"/>
  <c r="N45"/>
  <c r="N46"/>
  <c r="N47"/>
  <c r="N48"/>
  <c r="N49"/>
  <c r="N50"/>
  <c r="N51"/>
  <c r="N52"/>
  <c r="N53"/>
  <c r="N57"/>
  <c r="N58"/>
  <c r="N59"/>
  <c r="N62"/>
  <c r="N64"/>
  <c r="O12"/>
  <c r="O13"/>
  <c r="O14"/>
  <c r="O15"/>
  <c r="O16"/>
  <c r="O17"/>
  <c r="O19"/>
  <c r="O20"/>
  <c r="O25"/>
  <c r="O26"/>
  <c r="O27"/>
  <c r="O28"/>
  <c r="O29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7"/>
  <c r="O58"/>
  <c r="O59"/>
  <c r="O62"/>
  <c r="O64"/>
  <c r="P12"/>
  <c r="P13"/>
  <c r="P14"/>
  <c r="P15"/>
  <c r="P16"/>
  <c r="P17"/>
  <c r="P19"/>
  <c r="P20"/>
  <c r="P25"/>
  <c r="P26"/>
  <c r="P27"/>
  <c r="P28"/>
  <c r="P29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7"/>
  <c r="P58"/>
  <c r="P59"/>
  <c r="P62"/>
  <c r="P64"/>
  <c r="Q12"/>
  <c r="Q13"/>
  <c r="Q14"/>
  <c r="Q15"/>
  <c r="Q16"/>
  <c r="Q17"/>
  <c r="Q19"/>
  <c r="Q20"/>
  <c r="Q25"/>
  <c r="Q26"/>
  <c r="Q27"/>
  <c r="Q28"/>
  <c r="Q29"/>
  <c r="Q34"/>
  <c r="Q35"/>
  <c r="Q36"/>
  <c r="R36"/>
  <c r="Q37"/>
  <c r="Q38"/>
  <c r="Q39"/>
  <c r="Q40"/>
  <c r="Q41"/>
  <c r="Q42"/>
  <c r="Q44"/>
  <c r="Q45"/>
  <c r="Q46"/>
  <c r="Q47"/>
  <c r="Q48"/>
  <c r="Q49"/>
  <c r="Q50"/>
  <c r="Q51"/>
  <c r="Q52"/>
  <c r="Q53"/>
  <c r="Q57"/>
  <c r="Q58"/>
  <c r="Q59"/>
  <c r="Q62"/>
  <c r="Q64"/>
  <c r="R12"/>
  <c r="R13"/>
  <c r="R14"/>
  <c r="R15"/>
  <c r="R16"/>
  <c r="R17"/>
  <c r="R19"/>
  <c r="R20"/>
  <c r="R25"/>
  <c r="R26"/>
  <c r="R27"/>
  <c r="R28"/>
  <c r="R29"/>
  <c r="R34"/>
  <c r="R35"/>
  <c r="R37"/>
  <c r="R38"/>
  <c r="R39"/>
  <c r="R40"/>
  <c r="R41"/>
  <c r="R42"/>
  <c r="R44"/>
  <c r="R45"/>
  <c r="R46"/>
  <c r="R47"/>
  <c r="R48"/>
  <c r="R49"/>
  <c r="R50"/>
  <c r="R51"/>
  <c r="R52"/>
  <c r="R53"/>
  <c r="R57"/>
  <c r="R58"/>
  <c r="R59"/>
  <c r="R62"/>
  <c r="R64"/>
  <c r="B61"/>
  <c r="B60"/>
  <c r="B56"/>
  <c r="B53"/>
  <c r="B52"/>
  <c r="B45"/>
  <c r="B41"/>
  <c r="B39"/>
  <c r="B36"/>
  <c r="B34"/>
  <c r="B32"/>
  <c r="B27"/>
  <c r="G24"/>
  <c r="H24"/>
  <c r="I24"/>
  <c r="J24"/>
  <c r="K24"/>
  <c r="L24"/>
  <c r="M24"/>
  <c r="N24"/>
  <c r="O24"/>
  <c r="P24"/>
  <c r="Q24"/>
  <c r="R24"/>
  <c r="G23"/>
  <c r="H23"/>
  <c r="I23"/>
  <c r="J23"/>
  <c r="K23"/>
  <c r="L23"/>
  <c r="M23"/>
  <c r="N23"/>
  <c r="O23"/>
  <c r="P23"/>
  <c r="Q23"/>
  <c r="R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18"/>
  <c r="B17"/>
  <c r="B13"/>
  <c r="B10"/>
  <c r="B7"/>
  <c r="R5"/>
  <c r="Q5"/>
  <c r="P5"/>
  <c r="O5"/>
  <c r="N5"/>
  <c r="M5"/>
  <c r="L5"/>
  <c r="K5"/>
  <c r="J5"/>
  <c r="I5"/>
  <c r="H5"/>
  <c r="G5"/>
  <c r="E4"/>
  <c r="E3"/>
  <c r="E2"/>
  <c r="A107" i="8"/>
  <c r="H101"/>
  <c r="G101"/>
  <c r="A108"/>
  <c r="A109"/>
  <c r="A110"/>
  <c r="A111"/>
  <c r="A112"/>
  <c r="A113"/>
  <c r="A114"/>
  <c r="S101"/>
  <c r="A116"/>
  <c r="A117"/>
  <c r="A118"/>
  <c r="A119"/>
  <c r="A120"/>
  <c r="A121"/>
  <c r="A122"/>
  <c r="B122" s="1"/>
  <c r="A123"/>
  <c r="B123" s="1"/>
  <c r="A124"/>
  <c r="B124" s="1"/>
  <c r="O101"/>
  <c r="A128"/>
  <c r="A129"/>
  <c r="B129" s="1"/>
  <c r="A130"/>
  <c r="A131"/>
  <c r="B131" s="1"/>
  <c r="A132"/>
  <c r="A133"/>
  <c r="A134"/>
  <c r="B134" s="1"/>
  <c r="A135"/>
  <c r="A136"/>
  <c r="A137"/>
  <c r="A139"/>
  <c r="A140"/>
  <c r="A141"/>
  <c r="A142"/>
  <c r="A143"/>
  <c r="A144"/>
  <c r="B144" s="1"/>
  <c r="A145"/>
  <c r="A146"/>
  <c r="A147"/>
  <c r="A148"/>
  <c r="B148" s="1"/>
  <c r="A152"/>
  <c r="A153"/>
  <c r="A154"/>
  <c r="A157"/>
  <c r="A158"/>
  <c r="A159"/>
  <c r="I101"/>
  <c r="K101"/>
  <c r="L101"/>
  <c r="M101"/>
  <c r="P101"/>
  <c r="Q101"/>
  <c r="T101"/>
  <c r="U101"/>
  <c r="A160"/>
  <c r="A156"/>
  <c r="B156" s="1"/>
  <c r="A155"/>
  <c r="A151"/>
  <c r="B151" s="1"/>
  <c r="A150"/>
  <c r="A149"/>
  <c r="B149" s="1"/>
  <c r="A138"/>
  <c r="A127"/>
  <c r="B127" s="1"/>
  <c r="A126"/>
  <c r="A125"/>
  <c r="A115"/>
  <c r="A106"/>
  <c r="A105"/>
  <c r="B105" s="1"/>
  <c r="X103"/>
  <c r="U8"/>
  <c r="U103" s="1"/>
  <c r="T8"/>
  <c r="T103" s="1"/>
  <c r="S8"/>
  <c r="S103" s="1"/>
  <c r="O8"/>
  <c r="O103" s="1"/>
  <c r="I8"/>
  <c r="I103" s="1"/>
  <c r="H8"/>
  <c r="H103" s="1"/>
  <c r="B102"/>
  <c r="G59"/>
  <c r="G60"/>
  <c r="G63"/>
  <c r="G64"/>
  <c r="G65"/>
  <c r="H59"/>
  <c r="H60"/>
  <c r="H63"/>
  <c r="H64"/>
  <c r="H65"/>
  <c r="I59"/>
  <c r="I60"/>
  <c r="I63"/>
  <c r="I64"/>
  <c r="I65"/>
  <c r="K59"/>
  <c r="K60"/>
  <c r="K63"/>
  <c r="K64"/>
  <c r="K65"/>
  <c r="L59"/>
  <c r="L60"/>
  <c r="L63"/>
  <c r="L64"/>
  <c r="L65"/>
  <c r="M59"/>
  <c r="M60"/>
  <c r="M63"/>
  <c r="M64"/>
  <c r="M65"/>
  <c r="O59"/>
  <c r="O60"/>
  <c r="O63"/>
  <c r="O64"/>
  <c r="O65"/>
  <c r="P59"/>
  <c r="P60"/>
  <c r="P63"/>
  <c r="P64"/>
  <c r="P65"/>
  <c r="Q59"/>
  <c r="Q60"/>
  <c r="Q63"/>
  <c r="Q64"/>
  <c r="Q65"/>
  <c r="S59"/>
  <c r="S60"/>
  <c r="S63"/>
  <c r="S64"/>
  <c r="S65"/>
  <c r="T59"/>
  <c r="T60"/>
  <c r="T63"/>
  <c r="T64"/>
  <c r="T65"/>
  <c r="U59"/>
  <c r="U60"/>
  <c r="U63"/>
  <c r="U64"/>
  <c r="U65"/>
  <c r="B62"/>
  <c r="B60"/>
  <c r="B58"/>
  <c r="B56"/>
  <c r="B54"/>
  <c r="B53"/>
  <c r="B52"/>
  <c r="B48"/>
  <c r="B41"/>
  <c r="B40"/>
  <c r="B39"/>
  <c r="B35"/>
  <c r="B34"/>
  <c r="B32"/>
  <c r="B29"/>
  <c r="B27"/>
  <c r="G24"/>
  <c r="H24"/>
  <c r="I24"/>
  <c r="K24"/>
  <c r="L24"/>
  <c r="M24"/>
  <c r="O24"/>
  <c r="P24"/>
  <c r="Q24"/>
  <c r="S24"/>
  <c r="T24"/>
  <c r="U24"/>
  <c r="G23"/>
  <c r="H23"/>
  <c r="I23"/>
  <c r="K23"/>
  <c r="L23"/>
  <c r="M23"/>
  <c r="O23"/>
  <c r="P23"/>
  <c r="Q23"/>
  <c r="S23"/>
  <c r="T23"/>
  <c r="U23"/>
  <c r="G22"/>
  <c r="H22"/>
  <c r="I22"/>
  <c r="K22"/>
  <c r="L22"/>
  <c r="M22"/>
  <c r="O22"/>
  <c r="P22"/>
  <c r="Q22"/>
  <c r="S22"/>
  <c r="T22"/>
  <c r="U22"/>
  <c r="B22"/>
  <c r="G21"/>
  <c r="H21"/>
  <c r="I21"/>
  <c r="K21"/>
  <c r="L21"/>
  <c r="M21"/>
  <c r="O21"/>
  <c r="P21"/>
  <c r="Q21"/>
  <c r="S21"/>
  <c r="T21"/>
  <c r="U21"/>
  <c r="B18"/>
  <c r="B17"/>
  <c r="B13"/>
  <c r="B10"/>
  <c r="U5"/>
  <c r="T5"/>
  <c r="S5"/>
  <c r="Q5"/>
  <c r="P5"/>
  <c r="O5"/>
  <c r="M5"/>
  <c r="L5"/>
  <c r="K5"/>
  <c r="I5"/>
  <c r="H5"/>
  <c r="G5"/>
  <c r="E3"/>
  <c r="E2"/>
  <c r="A106" i="4"/>
  <c r="G100"/>
  <c r="A132"/>
  <c r="A107"/>
  <c r="L100"/>
  <c r="A108"/>
  <c r="B108"/>
  <c r="A109"/>
  <c r="P100"/>
  <c r="A110"/>
  <c r="Q100"/>
  <c r="A111"/>
  <c r="N100"/>
  <c r="A112"/>
  <c r="B112"/>
  <c r="A113"/>
  <c r="A115"/>
  <c r="M100"/>
  <c r="A116"/>
  <c r="A117"/>
  <c r="A118"/>
  <c r="A119"/>
  <c r="A120"/>
  <c r="A121"/>
  <c r="A122"/>
  <c r="A123"/>
  <c r="A127"/>
  <c r="R100"/>
  <c r="A128"/>
  <c r="B128" s="1"/>
  <c r="A129"/>
  <c r="B129" s="1"/>
  <c r="H100"/>
  <c r="H112" s="1"/>
  <c r="A130"/>
  <c r="A131"/>
  <c r="A133"/>
  <c r="A134"/>
  <c r="A135"/>
  <c r="B135" s="1"/>
  <c r="A136"/>
  <c r="A138"/>
  <c r="A139"/>
  <c r="A140"/>
  <c r="A141"/>
  <c r="A142"/>
  <c r="A143"/>
  <c r="A144"/>
  <c r="A145"/>
  <c r="A146"/>
  <c r="A147"/>
  <c r="A151"/>
  <c r="A152"/>
  <c r="A153"/>
  <c r="A156"/>
  <c r="A157"/>
  <c r="A158"/>
  <c r="I100"/>
  <c r="J100"/>
  <c r="K100"/>
  <c r="O100"/>
  <c r="A159"/>
  <c r="A155"/>
  <c r="B155" s="1"/>
  <c r="A154"/>
  <c r="A150"/>
  <c r="B150" s="1"/>
  <c r="A149"/>
  <c r="A148"/>
  <c r="B148"/>
  <c r="A137"/>
  <c r="A126"/>
  <c r="B126"/>
  <c r="A125"/>
  <c r="A124"/>
  <c r="A114"/>
  <c r="A105"/>
  <c r="A104"/>
  <c r="B104" s="1"/>
  <c r="T102"/>
  <c r="R8"/>
  <c r="R102" s="1"/>
  <c r="Q8"/>
  <c r="Q102" s="1"/>
  <c r="P8"/>
  <c r="P102" s="1"/>
  <c r="N8"/>
  <c r="N102" s="1"/>
  <c r="M8"/>
  <c r="M102" s="1"/>
  <c r="L8"/>
  <c r="L102" s="1"/>
  <c r="J8"/>
  <c r="J102" s="1"/>
  <c r="I8"/>
  <c r="I102" s="1"/>
  <c r="H8"/>
  <c r="H102" s="1"/>
  <c r="B101"/>
  <c r="B61"/>
  <c r="B60"/>
  <c r="B57"/>
  <c r="B55"/>
  <c r="B54"/>
  <c r="B52"/>
  <c r="B51"/>
  <c r="B49"/>
  <c r="B44"/>
  <c r="B40"/>
  <c r="B39"/>
  <c r="B38"/>
  <c r="B34"/>
  <c r="B33"/>
  <c r="B31"/>
  <c r="B28"/>
  <c r="B26"/>
  <c r="B24"/>
  <c r="B21"/>
  <c r="B17"/>
  <c r="B13"/>
  <c r="B12"/>
  <c r="B10"/>
  <c r="R5"/>
  <c r="Q5"/>
  <c r="P5"/>
  <c r="O5"/>
  <c r="N5"/>
  <c r="M5"/>
  <c r="L5"/>
  <c r="K5"/>
  <c r="J5"/>
  <c r="I5"/>
  <c r="H5"/>
  <c r="G5"/>
  <c r="E2"/>
  <c r="A106" i="10"/>
  <c r="G100"/>
  <c r="A107"/>
  <c r="B107" s="1"/>
  <c r="A108"/>
  <c r="A109"/>
  <c r="A110"/>
  <c r="A111"/>
  <c r="A112"/>
  <c r="A114"/>
  <c r="A115"/>
  <c r="B115" s="1"/>
  <c r="A116"/>
  <c r="A117"/>
  <c r="A118"/>
  <c r="B118" s="1"/>
  <c r="A119"/>
  <c r="A120"/>
  <c r="A121"/>
  <c r="A122"/>
  <c r="B122" s="1"/>
  <c r="A126"/>
  <c r="A127"/>
  <c r="L100"/>
  <c r="A128"/>
  <c r="A129"/>
  <c r="A130"/>
  <c r="A131"/>
  <c r="A132"/>
  <c r="O100"/>
  <c r="A133"/>
  <c r="A134"/>
  <c r="N100"/>
  <c r="A135"/>
  <c r="A137"/>
  <c r="A138"/>
  <c r="A139"/>
  <c r="J100"/>
  <c r="A140"/>
  <c r="M100"/>
  <c r="A141"/>
  <c r="A142"/>
  <c r="A143"/>
  <c r="A144"/>
  <c r="A145"/>
  <c r="A146"/>
  <c r="A150"/>
  <c r="A151"/>
  <c r="A152"/>
  <c r="A155"/>
  <c r="A156"/>
  <c r="A157"/>
  <c r="H100"/>
  <c r="I100"/>
  <c r="K100"/>
  <c r="P100"/>
  <c r="Q100"/>
  <c r="R100"/>
  <c r="A158"/>
  <c r="A154"/>
  <c r="B154" s="1"/>
  <c r="A153"/>
  <c r="A149"/>
  <c r="B149" s="1"/>
  <c r="A148"/>
  <c r="A147"/>
  <c r="B147" s="1"/>
  <c r="A136"/>
  <c r="A125"/>
  <c r="B125" s="1"/>
  <c r="A124"/>
  <c r="A123"/>
  <c r="B123" s="1"/>
  <c r="A113"/>
  <c r="A105"/>
  <c r="A104"/>
  <c r="B104"/>
  <c r="T102"/>
  <c r="Q8"/>
  <c r="Q102" s="1"/>
  <c r="N8"/>
  <c r="N102" s="1"/>
  <c r="M8"/>
  <c r="M102" s="1"/>
  <c r="I8"/>
  <c r="I102" s="1"/>
  <c r="H8"/>
  <c r="H102" s="1"/>
  <c r="T101"/>
  <c r="S7"/>
  <c r="S101" s="1"/>
  <c r="B101"/>
  <c r="G12"/>
  <c r="G13"/>
  <c r="G14"/>
  <c r="G15"/>
  <c r="G16"/>
  <c r="G17"/>
  <c r="G18"/>
  <c r="G19"/>
  <c r="G24"/>
  <c r="G25"/>
  <c r="G26"/>
  <c r="G27"/>
  <c r="G28"/>
  <c r="G32"/>
  <c r="G33"/>
  <c r="G34"/>
  <c r="G35"/>
  <c r="G36"/>
  <c r="G37"/>
  <c r="G38"/>
  <c r="G39"/>
  <c r="G40"/>
  <c r="G41"/>
  <c r="G43"/>
  <c r="G44"/>
  <c r="G45"/>
  <c r="G46"/>
  <c r="G47"/>
  <c r="G48"/>
  <c r="G50"/>
  <c r="G51"/>
  <c r="G52"/>
  <c r="G53"/>
  <c r="G58"/>
  <c r="H58"/>
  <c r="H59"/>
  <c r="I58"/>
  <c r="J58"/>
  <c r="K58"/>
  <c r="L58"/>
  <c r="M58"/>
  <c r="N58"/>
  <c r="O58"/>
  <c r="P58"/>
  <c r="Q58"/>
  <c r="R58"/>
  <c r="G59"/>
  <c r="G62"/>
  <c r="G63"/>
  <c r="G64"/>
  <c r="H64"/>
  <c r="I64"/>
  <c r="J64"/>
  <c r="K64"/>
  <c r="L64"/>
  <c r="M64"/>
  <c r="N64"/>
  <c r="O64"/>
  <c r="P64"/>
  <c r="Q64"/>
  <c r="R64"/>
  <c r="H12"/>
  <c r="H13"/>
  <c r="H14"/>
  <c r="H15"/>
  <c r="I15"/>
  <c r="J15"/>
  <c r="K15"/>
  <c r="L15"/>
  <c r="O15"/>
  <c r="P15"/>
  <c r="Q15"/>
  <c r="R15"/>
  <c r="H16"/>
  <c r="H17"/>
  <c r="H18"/>
  <c r="H19"/>
  <c r="H24"/>
  <c r="H25"/>
  <c r="H26"/>
  <c r="I26"/>
  <c r="J26"/>
  <c r="K26"/>
  <c r="L26"/>
  <c r="O26"/>
  <c r="P26"/>
  <c r="Q26"/>
  <c r="R26"/>
  <c r="H27"/>
  <c r="H28"/>
  <c r="H32"/>
  <c r="H33"/>
  <c r="H34"/>
  <c r="H36"/>
  <c r="H37"/>
  <c r="H38"/>
  <c r="H39"/>
  <c r="H40"/>
  <c r="H41"/>
  <c r="H43"/>
  <c r="H44"/>
  <c r="H45"/>
  <c r="H46"/>
  <c r="I46"/>
  <c r="J46"/>
  <c r="K46"/>
  <c r="L46"/>
  <c r="O46"/>
  <c r="P46"/>
  <c r="Q46"/>
  <c r="R46"/>
  <c r="H47"/>
  <c r="H48"/>
  <c r="H50"/>
  <c r="I50"/>
  <c r="J50"/>
  <c r="K50"/>
  <c r="L50"/>
  <c r="O50"/>
  <c r="P50"/>
  <c r="Q50"/>
  <c r="R50"/>
  <c r="H51"/>
  <c r="H52"/>
  <c r="H53"/>
  <c r="H62"/>
  <c r="H63"/>
  <c r="I12"/>
  <c r="I13"/>
  <c r="I14"/>
  <c r="I16"/>
  <c r="I17"/>
  <c r="I18"/>
  <c r="I19"/>
  <c r="I24"/>
  <c r="I25"/>
  <c r="I27"/>
  <c r="I28"/>
  <c r="I32"/>
  <c r="I33"/>
  <c r="I34"/>
  <c r="I37"/>
  <c r="I38"/>
  <c r="I39"/>
  <c r="I40"/>
  <c r="I41"/>
  <c r="I43"/>
  <c r="I44"/>
  <c r="I45"/>
  <c r="I47"/>
  <c r="I48"/>
  <c r="I51"/>
  <c r="I52"/>
  <c r="I53"/>
  <c r="I59"/>
  <c r="I62"/>
  <c r="I63"/>
  <c r="J12"/>
  <c r="J13"/>
  <c r="J14"/>
  <c r="J16"/>
  <c r="J17"/>
  <c r="J18"/>
  <c r="J19"/>
  <c r="J24"/>
  <c r="J25"/>
  <c r="J27"/>
  <c r="J28"/>
  <c r="J32"/>
  <c r="J33"/>
  <c r="J34"/>
  <c r="J36"/>
  <c r="J37"/>
  <c r="J38"/>
  <c r="J39"/>
  <c r="J40"/>
  <c r="J41"/>
  <c r="J43"/>
  <c r="J44"/>
  <c r="J45"/>
  <c r="J47"/>
  <c r="J48"/>
  <c r="J51"/>
  <c r="J52"/>
  <c r="J53"/>
  <c r="J59"/>
  <c r="J62"/>
  <c r="J63"/>
  <c r="K12"/>
  <c r="K13"/>
  <c r="K14"/>
  <c r="K16"/>
  <c r="K17"/>
  <c r="K18"/>
  <c r="K19"/>
  <c r="K24"/>
  <c r="K25"/>
  <c r="K27"/>
  <c r="K28"/>
  <c r="K32"/>
  <c r="K33"/>
  <c r="K34"/>
  <c r="K36"/>
  <c r="K37"/>
  <c r="K38"/>
  <c r="K39"/>
  <c r="K40"/>
  <c r="K41"/>
  <c r="K43"/>
  <c r="K44"/>
  <c r="K45"/>
  <c r="K47"/>
  <c r="K48"/>
  <c r="K51"/>
  <c r="K52"/>
  <c r="K53"/>
  <c r="K59"/>
  <c r="K62"/>
  <c r="K63"/>
  <c r="L12"/>
  <c r="L13"/>
  <c r="L14"/>
  <c r="L16"/>
  <c r="L17"/>
  <c r="L18"/>
  <c r="L19"/>
  <c r="L24"/>
  <c r="L25"/>
  <c r="L27"/>
  <c r="L28"/>
  <c r="L32"/>
  <c r="L33"/>
  <c r="L34"/>
  <c r="L36"/>
  <c r="L37"/>
  <c r="L38"/>
  <c r="L39"/>
  <c r="L40"/>
  <c r="L41"/>
  <c r="L43"/>
  <c r="L44"/>
  <c r="L45"/>
  <c r="L47"/>
  <c r="L48"/>
  <c r="L51"/>
  <c r="L52"/>
  <c r="L53"/>
  <c r="L59"/>
  <c r="L62"/>
  <c r="L63"/>
  <c r="M59"/>
  <c r="M62"/>
  <c r="M63"/>
  <c r="N63"/>
  <c r="O63"/>
  <c r="P63"/>
  <c r="N59"/>
  <c r="N62"/>
  <c r="O62"/>
  <c r="P62"/>
  <c r="R6" i="11"/>
  <c r="O12" i="10"/>
  <c r="O13"/>
  <c r="P13"/>
  <c r="Q13"/>
  <c r="R13"/>
  <c r="O14"/>
  <c r="O16"/>
  <c r="O17"/>
  <c r="P17"/>
  <c r="Q17"/>
  <c r="R17"/>
  <c r="O18"/>
  <c r="O19"/>
  <c r="O24"/>
  <c r="P24"/>
  <c r="Q24"/>
  <c r="R24"/>
  <c r="O25"/>
  <c r="O27"/>
  <c r="O28"/>
  <c r="P28"/>
  <c r="Q28"/>
  <c r="R28"/>
  <c r="O32"/>
  <c r="O33"/>
  <c r="O34"/>
  <c r="P35"/>
  <c r="Q35"/>
  <c r="R35"/>
  <c r="O36"/>
  <c r="O37"/>
  <c r="O38"/>
  <c r="O39"/>
  <c r="P39"/>
  <c r="Q39"/>
  <c r="R39"/>
  <c r="O40"/>
  <c r="O41"/>
  <c r="O43"/>
  <c r="O44"/>
  <c r="P44"/>
  <c r="Q44"/>
  <c r="R44"/>
  <c r="O45"/>
  <c r="O47"/>
  <c r="O48"/>
  <c r="O51"/>
  <c r="O52"/>
  <c r="O53"/>
  <c r="O59"/>
  <c r="P12"/>
  <c r="P14"/>
  <c r="P16"/>
  <c r="P18"/>
  <c r="P19"/>
  <c r="P25"/>
  <c r="P27"/>
  <c r="Q27"/>
  <c r="R27"/>
  <c r="P32"/>
  <c r="P33"/>
  <c r="P34"/>
  <c r="Q34"/>
  <c r="R34"/>
  <c r="P36"/>
  <c r="P37"/>
  <c r="P38"/>
  <c r="Q38"/>
  <c r="R38"/>
  <c r="P40"/>
  <c r="P41"/>
  <c r="P43"/>
  <c r="Q43"/>
  <c r="R43"/>
  <c r="P45"/>
  <c r="P47"/>
  <c r="Q47"/>
  <c r="R47"/>
  <c r="P48"/>
  <c r="P49"/>
  <c r="P51"/>
  <c r="P52"/>
  <c r="P53"/>
  <c r="Q53"/>
  <c r="R53"/>
  <c r="P59"/>
  <c r="Q12"/>
  <c r="Q14"/>
  <c r="Q16"/>
  <c r="Q18"/>
  <c r="R18"/>
  <c r="Q19"/>
  <c r="Q25"/>
  <c r="Q32"/>
  <c r="Q33"/>
  <c r="Q36"/>
  <c r="Q37"/>
  <c r="Q40"/>
  <c r="Q41"/>
  <c r="Q45"/>
  <c r="Q48"/>
  <c r="Q49"/>
  <c r="Q51"/>
  <c r="Q52"/>
  <c r="Q59"/>
  <c r="Q62"/>
  <c r="R62"/>
  <c r="Q63"/>
  <c r="R12"/>
  <c r="R14"/>
  <c r="R16"/>
  <c r="R19"/>
  <c r="R25"/>
  <c r="R32"/>
  <c r="R33"/>
  <c r="R36"/>
  <c r="R37"/>
  <c r="R40"/>
  <c r="R41"/>
  <c r="R45"/>
  <c r="R48"/>
  <c r="R49"/>
  <c r="R51"/>
  <c r="R52"/>
  <c r="R59"/>
  <c r="R63"/>
  <c r="B62"/>
  <c r="B61"/>
  <c r="B57"/>
  <c r="B55"/>
  <c r="G54"/>
  <c r="H54"/>
  <c r="I54"/>
  <c r="J54"/>
  <c r="K54"/>
  <c r="L54"/>
  <c r="M54"/>
  <c r="N54"/>
  <c r="O54"/>
  <c r="P54"/>
  <c r="Q54"/>
  <c r="R54"/>
  <c r="B52"/>
  <c r="B51"/>
  <c r="B50"/>
  <c r="B46"/>
  <c r="B40"/>
  <c r="B39"/>
  <c r="B38"/>
  <c r="B37"/>
  <c r="B34"/>
  <c r="B33"/>
  <c r="B31"/>
  <c r="B28"/>
  <c r="B26"/>
  <c r="G23"/>
  <c r="H23"/>
  <c r="I23"/>
  <c r="J23"/>
  <c r="K23"/>
  <c r="L23"/>
  <c r="M23"/>
  <c r="N23"/>
  <c r="O23"/>
  <c r="P23"/>
  <c r="Q23"/>
  <c r="R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21"/>
  <c r="G20"/>
  <c r="H20"/>
  <c r="I20"/>
  <c r="J20"/>
  <c r="K20"/>
  <c r="L20"/>
  <c r="M20"/>
  <c r="N20"/>
  <c r="O20"/>
  <c r="P20"/>
  <c r="Q20"/>
  <c r="R20"/>
  <c r="B17"/>
  <c r="B13"/>
  <c r="B10"/>
  <c r="B7"/>
  <c r="R5"/>
  <c r="Q5"/>
  <c r="P5"/>
  <c r="O5"/>
  <c r="N5"/>
  <c r="M5"/>
  <c r="L5"/>
  <c r="K5"/>
  <c r="J5"/>
  <c r="I5"/>
  <c r="H5"/>
  <c r="G5"/>
  <c r="E4"/>
  <c r="E3"/>
  <c r="E2"/>
  <c r="T67" i="3"/>
  <c r="S67"/>
  <c r="Q67"/>
  <c r="P67"/>
  <c r="M67"/>
  <c r="L67"/>
  <c r="J67"/>
  <c r="I67"/>
  <c r="T66"/>
  <c r="S66"/>
  <c r="Q66"/>
  <c r="P66"/>
  <c r="M66"/>
  <c r="L66"/>
  <c r="J66"/>
  <c r="I66"/>
  <c r="T65"/>
  <c r="S65"/>
  <c r="Q65"/>
  <c r="P65"/>
  <c r="M65"/>
  <c r="L65"/>
  <c r="J65"/>
  <c r="I65"/>
  <c r="T64"/>
  <c r="S64"/>
  <c r="Q64"/>
  <c r="P64"/>
  <c r="M64"/>
  <c r="L64"/>
  <c r="J64"/>
  <c r="I64"/>
  <c r="T63"/>
  <c r="S63"/>
  <c r="Q63"/>
  <c r="P63"/>
  <c r="M63"/>
  <c r="L63"/>
  <c r="J63"/>
  <c r="I63"/>
  <c r="B63"/>
  <c r="T62"/>
  <c r="S62"/>
  <c r="Q62"/>
  <c r="P62"/>
  <c r="M62"/>
  <c r="L62"/>
  <c r="J62"/>
  <c r="I62"/>
  <c r="M61"/>
  <c r="L61"/>
  <c r="J61"/>
  <c r="I61"/>
  <c r="T60"/>
  <c r="S60"/>
  <c r="Q60"/>
  <c r="P60"/>
  <c r="M60"/>
  <c r="L60"/>
  <c r="J60"/>
  <c r="I60"/>
  <c r="T59"/>
  <c r="S59"/>
  <c r="Q59"/>
  <c r="P59"/>
  <c r="M59"/>
  <c r="L59"/>
  <c r="J59"/>
  <c r="I59"/>
  <c r="T58"/>
  <c r="S58"/>
  <c r="Q58"/>
  <c r="P58"/>
  <c r="M58"/>
  <c r="L58"/>
  <c r="J58"/>
  <c r="I58"/>
  <c r="B58"/>
  <c r="T57"/>
  <c r="S57"/>
  <c r="Q57"/>
  <c r="P57"/>
  <c r="M57"/>
  <c r="L57"/>
  <c r="J57"/>
  <c r="I57"/>
  <c r="B57"/>
  <c r="T56"/>
  <c r="S56"/>
  <c r="Q56"/>
  <c r="P56"/>
  <c r="M56"/>
  <c r="L56"/>
  <c r="J56"/>
  <c r="I56"/>
  <c r="B56"/>
  <c r="T55"/>
  <c r="S55"/>
  <c r="Q55"/>
  <c r="P55"/>
  <c r="M55"/>
  <c r="L55"/>
  <c r="J55"/>
  <c r="I55"/>
  <c r="T54"/>
  <c r="S54"/>
  <c r="Q54"/>
  <c r="P54"/>
  <c r="M54"/>
  <c r="L54"/>
  <c r="J54"/>
  <c r="I54"/>
  <c r="T53"/>
  <c r="S53"/>
  <c r="Q53"/>
  <c r="P53"/>
  <c r="M53"/>
  <c r="L53"/>
  <c r="J53"/>
  <c r="I53"/>
  <c r="B53"/>
  <c r="T52"/>
  <c r="S52"/>
  <c r="Q52"/>
  <c r="P52"/>
  <c r="M52"/>
  <c r="L52"/>
  <c r="J52"/>
  <c r="I52"/>
  <c r="B52"/>
  <c r="T51"/>
  <c r="S51"/>
  <c r="Q51"/>
  <c r="P51"/>
  <c r="M51"/>
  <c r="L51"/>
  <c r="J51"/>
  <c r="I51"/>
  <c r="T50"/>
  <c r="S50"/>
  <c r="Q50"/>
  <c r="P50"/>
  <c r="M50"/>
  <c r="L50"/>
  <c r="J50"/>
  <c r="I50"/>
  <c r="T49"/>
  <c r="S49"/>
  <c r="Q49"/>
  <c r="P49"/>
  <c r="M49"/>
  <c r="L49"/>
  <c r="J49"/>
  <c r="I49"/>
  <c r="T48"/>
  <c r="S48"/>
  <c r="Q48"/>
  <c r="P48"/>
  <c r="M48"/>
  <c r="L48"/>
  <c r="J48"/>
  <c r="I48"/>
  <c r="T47"/>
  <c r="S47"/>
  <c r="Q47"/>
  <c r="P47"/>
  <c r="M47"/>
  <c r="L47"/>
  <c r="J47"/>
  <c r="I47"/>
  <c r="T46"/>
  <c r="S46"/>
  <c r="Q46"/>
  <c r="P46"/>
  <c r="M46"/>
  <c r="L46"/>
  <c r="J46"/>
  <c r="I46"/>
  <c r="T45"/>
  <c r="S45"/>
  <c r="Q45"/>
  <c r="P45"/>
  <c r="M45"/>
  <c r="L45"/>
  <c r="J45"/>
  <c r="I45"/>
  <c r="B45"/>
  <c r="T44"/>
  <c r="S44"/>
  <c r="Q44"/>
  <c r="P44"/>
  <c r="M44"/>
  <c r="L44"/>
  <c r="J44"/>
  <c r="I44"/>
  <c r="T43"/>
  <c r="S43"/>
  <c r="Q43"/>
  <c r="P43"/>
  <c r="M43"/>
  <c r="L43"/>
  <c r="J43"/>
  <c r="I43"/>
  <c r="T42"/>
  <c r="S42"/>
  <c r="Q42"/>
  <c r="P42"/>
  <c r="M42"/>
  <c r="L42"/>
  <c r="J42"/>
  <c r="I42"/>
  <c r="T41"/>
  <c r="S41"/>
  <c r="Q41"/>
  <c r="P41"/>
  <c r="M41"/>
  <c r="L41"/>
  <c r="J41"/>
  <c r="I41"/>
  <c r="B41"/>
  <c r="T40"/>
  <c r="S40"/>
  <c r="Q40"/>
  <c r="P40"/>
  <c r="M40"/>
  <c r="L40"/>
  <c r="J40"/>
  <c r="I40"/>
  <c r="B40"/>
  <c r="T39"/>
  <c r="S39"/>
  <c r="Q39"/>
  <c r="P39"/>
  <c r="M39"/>
  <c r="L39"/>
  <c r="J39"/>
  <c r="I39"/>
  <c r="B39"/>
  <c r="T38"/>
  <c r="S38"/>
  <c r="Q38"/>
  <c r="P38"/>
  <c r="M38"/>
  <c r="L38"/>
  <c r="J38"/>
  <c r="I38"/>
  <c r="T37"/>
  <c r="S37"/>
  <c r="Q37"/>
  <c r="P37"/>
  <c r="M37"/>
  <c r="L37"/>
  <c r="J37"/>
  <c r="I37"/>
  <c r="T36"/>
  <c r="S36"/>
  <c r="Q36"/>
  <c r="P36"/>
  <c r="M36"/>
  <c r="L36"/>
  <c r="J36"/>
  <c r="I36"/>
  <c r="T35"/>
  <c r="S35"/>
  <c r="Q35"/>
  <c r="P35"/>
  <c r="M35"/>
  <c r="L35"/>
  <c r="J35"/>
  <c r="I35"/>
  <c r="B35"/>
  <c r="T34"/>
  <c r="S34"/>
  <c r="Q34"/>
  <c r="P34"/>
  <c r="M34"/>
  <c r="L34"/>
  <c r="J34"/>
  <c r="I34"/>
  <c r="B34"/>
  <c r="T33"/>
  <c r="S33"/>
  <c r="Q33"/>
  <c r="P33"/>
  <c r="M33"/>
  <c r="L33"/>
  <c r="J33"/>
  <c r="I33"/>
  <c r="T32"/>
  <c r="S32"/>
  <c r="Q32"/>
  <c r="P32"/>
  <c r="M32"/>
  <c r="L32"/>
  <c r="J32"/>
  <c r="I32"/>
  <c r="B32"/>
  <c r="T31"/>
  <c r="S31"/>
  <c r="Q31"/>
  <c r="P31"/>
  <c r="M31"/>
  <c r="L31"/>
  <c r="J31"/>
  <c r="I31"/>
  <c r="T30"/>
  <c r="S30"/>
  <c r="Q30"/>
  <c r="P30"/>
  <c r="M30"/>
  <c r="L30"/>
  <c r="J30"/>
  <c r="I30"/>
  <c r="T29"/>
  <c r="S29"/>
  <c r="Q29"/>
  <c r="P29"/>
  <c r="M29"/>
  <c r="L29"/>
  <c r="J29"/>
  <c r="I29"/>
  <c r="B29"/>
  <c r="T28"/>
  <c r="S28"/>
  <c r="Q28"/>
  <c r="P28"/>
  <c r="M28"/>
  <c r="L28"/>
  <c r="J28"/>
  <c r="I28"/>
  <c r="T27"/>
  <c r="S27"/>
  <c r="Q27"/>
  <c r="P27"/>
  <c r="M27"/>
  <c r="L27"/>
  <c r="J27"/>
  <c r="I27"/>
  <c r="B27"/>
  <c r="T26"/>
  <c r="S26"/>
  <c r="Q26"/>
  <c r="P26"/>
  <c r="M26"/>
  <c r="L26"/>
  <c r="J26"/>
  <c r="I26"/>
  <c r="T25"/>
  <c r="S25"/>
  <c r="Q25"/>
  <c r="P25"/>
  <c r="M25"/>
  <c r="L25"/>
  <c r="J25"/>
  <c r="I25"/>
  <c r="B25"/>
  <c r="T24"/>
  <c r="S24"/>
  <c r="Q24"/>
  <c r="P24"/>
  <c r="M24"/>
  <c r="L24"/>
  <c r="J24"/>
  <c r="I24"/>
  <c r="T23"/>
  <c r="S23"/>
  <c r="Q23"/>
  <c r="P23"/>
  <c r="M23"/>
  <c r="L23"/>
  <c r="J23"/>
  <c r="I23"/>
  <c r="T22"/>
  <c r="S22"/>
  <c r="Q22"/>
  <c r="P22"/>
  <c r="M22"/>
  <c r="L22"/>
  <c r="J22"/>
  <c r="I22"/>
  <c r="B22"/>
  <c r="T21"/>
  <c r="S21"/>
  <c r="Q21"/>
  <c r="P21"/>
  <c r="M21"/>
  <c r="L21"/>
  <c r="J21"/>
  <c r="I21"/>
  <c r="T20"/>
  <c r="S20"/>
  <c r="Q20"/>
  <c r="P20"/>
  <c r="M20"/>
  <c r="L20"/>
  <c r="J20"/>
  <c r="I20"/>
  <c r="T19"/>
  <c r="S19"/>
  <c r="Q19"/>
  <c r="P19"/>
  <c r="M19"/>
  <c r="L19"/>
  <c r="J19"/>
  <c r="I19"/>
  <c r="B19"/>
  <c r="T18"/>
  <c r="S18"/>
  <c r="Q18"/>
  <c r="P18"/>
  <c r="M18"/>
  <c r="L18"/>
  <c r="J18"/>
  <c r="I18"/>
  <c r="B18"/>
  <c r="T17"/>
  <c r="S17"/>
  <c r="Q17"/>
  <c r="P17"/>
  <c r="M17"/>
  <c r="L17"/>
  <c r="J17"/>
  <c r="I17"/>
  <c r="B17"/>
  <c r="T16"/>
  <c r="S16"/>
  <c r="Q16"/>
  <c r="P16"/>
  <c r="M16"/>
  <c r="L16"/>
  <c r="J16"/>
  <c r="I16"/>
  <c r="T15"/>
  <c r="S15"/>
  <c r="Q15"/>
  <c r="P15"/>
  <c r="M15"/>
  <c r="L15"/>
  <c r="J15"/>
  <c r="I15"/>
  <c r="T14"/>
  <c r="S14"/>
  <c r="Q14"/>
  <c r="P14"/>
  <c r="M14"/>
  <c r="L14"/>
  <c r="J14"/>
  <c r="I14"/>
  <c r="B14"/>
  <c r="T13"/>
  <c r="S13"/>
  <c r="Q13"/>
  <c r="P13"/>
  <c r="M13"/>
  <c r="L13"/>
  <c r="J13"/>
  <c r="I13"/>
  <c r="B13"/>
  <c r="T12"/>
  <c r="S12"/>
  <c r="Q12"/>
  <c r="P12"/>
  <c r="M12"/>
  <c r="L12"/>
  <c r="J12"/>
  <c r="I12"/>
  <c r="T11"/>
  <c r="S11"/>
  <c r="Q11"/>
  <c r="P11"/>
  <c r="M11"/>
  <c r="L11"/>
  <c r="J11"/>
  <c r="I11"/>
  <c r="T10"/>
  <c r="S10"/>
  <c r="Q10"/>
  <c r="P10"/>
  <c r="M10"/>
  <c r="L10"/>
  <c r="J10"/>
  <c r="I10"/>
  <c r="B10"/>
  <c r="I8"/>
  <c r="L8" s="1"/>
  <c r="G8"/>
  <c r="N8" s="1"/>
  <c r="R6"/>
  <c r="N6"/>
  <c r="O6" s="1"/>
  <c r="E4"/>
  <c r="E2"/>
  <c r="B63" i="11"/>
  <c r="B53"/>
  <c r="B57"/>
  <c r="B55"/>
  <c r="B54"/>
  <c r="B52"/>
  <c r="B51"/>
  <c r="B49"/>
  <c r="B48"/>
  <c r="B45"/>
  <c r="B43"/>
  <c r="B40"/>
  <c r="B39"/>
  <c r="B38"/>
  <c r="B35"/>
  <c r="B34"/>
  <c r="B33"/>
  <c r="B32"/>
  <c r="B31"/>
  <c r="B28"/>
  <c r="B27"/>
  <c r="B26"/>
  <c r="B21"/>
  <c r="B17"/>
  <c r="B15"/>
  <c r="B13"/>
  <c r="B12"/>
  <c r="B10"/>
  <c r="G8"/>
  <c r="N8" s="1"/>
  <c r="E4"/>
  <c r="E3"/>
  <c r="E2"/>
  <c r="H21" i="1"/>
  <c r="D17"/>
  <c r="D21" s="1"/>
  <c r="H17"/>
  <c r="H13"/>
  <c r="E2"/>
  <c r="S14" i="4"/>
  <c r="T14" s="1"/>
  <c r="S16"/>
  <c r="T16" s="1"/>
  <c r="S12"/>
  <c r="T12" s="1"/>
  <c r="H118"/>
  <c r="B123"/>
  <c r="B113"/>
  <c r="B130"/>
  <c r="B146"/>
  <c r="S18"/>
  <c r="T18" s="1"/>
  <c r="S17"/>
  <c r="S15"/>
  <c r="S32"/>
  <c r="T32" s="1"/>
  <c r="S35"/>
  <c r="T35" s="1"/>
  <c r="S13"/>
  <c r="S39"/>
  <c r="CV321" i="6"/>
  <c r="DH321"/>
  <c r="CO350"/>
  <c r="CW350"/>
  <c r="DE350"/>
  <c r="DM350"/>
  <c r="CL321"/>
  <c r="CN321"/>
  <c r="CZ321"/>
  <c r="DD321"/>
  <c r="DT321"/>
  <c r="S28" i="4"/>
  <c r="T28" s="1"/>
  <c r="CR386" i="6"/>
  <c r="CV386"/>
  <c r="CZ386"/>
  <c r="DD386"/>
  <c r="DH386"/>
  <c r="DL386"/>
  <c r="DP386"/>
  <c r="DT386"/>
  <c r="CL350"/>
  <c r="CP350"/>
  <c r="CT350"/>
  <c r="DB350"/>
  <c r="DF350"/>
  <c r="DJ350"/>
  <c r="DR350"/>
  <c r="CL386"/>
  <c r="CT386"/>
  <c r="DN386"/>
  <c r="S40" i="4"/>
  <c r="S36"/>
  <c r="T36" s="1"/>
  <c r="S38"/>
  <c r="S34"/>
  <c r="S50"/>
  <c r="T50" s="1"/>
  <c r="S41"/>
  <c r="T41" s="1"/>
  <c r="S37"/>
  <c r="S33"/>
  <c r="S53"/>
  <c r="T53"/>
  <c r="S49"/>
  <c r="T49" s="1"/>
  <c r="S51"/>
  <c r="T51"/>
  <c r="S52"/>
  <c r="T52" s="1"/>
  <c r="S48"/>
  <c r="T48"/>
  <c r="S23"/>
  <c r="S58"/>
  <c r="T58" s="1"/>
  <c r="S63"/>
  <c r="T63" s="1"/>
  <c r="S62"/>
  <c r="T62" s="1"/>
  <c r="S20"/>
  <c r="S22"/>
  <c r="S21"/>
  <c r="S54"/>
  <c r="T54" s="1"/>
  <c r="S59"/>
  <c r="T59"/>
  <c r="S27"/>
  <c r="T27" s="1"/>
  <c r="S26"/>
  <c r="S25"/>
  <c r="S24"/>
  <c r="T24" s="1"/>
  <c r="K112"/>
  <c r="Q119" i="8"/>
  <c r="M112" i="4"/>
  <c r="I112"/>
  <c r="J112"/>
  <c r="B108" i="8"/>
  <c r="B110"/>
  <c r="B117"/>
  <c r="B130"/>
  <c r="B132"/>
  <c r="B136"/>
  <c r="R111" i="9"/>
  <c r="B107"/>
  <c r="B111"/>
  <c r="B116"/>
  <c r="DK321" i="6"/>
  <c r="DO321"/>
  <c r="DT350"/>
  <c r="T22" i="4"/>
  <c r="T34"/>
  <c r="T40"/>
  <c r="T20"/>
  <c r="T39"/>
  <c r="T25"/>
  <c r="T26"/>
  <c r="T37"/>
  <c r="T17"/>
  <c r="T15"/>
  <c r="T21"/>
  <c r="T23"/>
  <c r="T33"/>
  <c r="T38"/>
  <c r="T13"/>
  <c r="S11"/>
  <c r="T11" s="1"/>
  <c r="S31"/>
  <c r="T31" s="1"/>
  <c r="S57"/>
  <c r="T57" s="1"/>
  <c r="S65"/>
  <c r="T65" s="1"/>
  <c r="S64"/>
  <c r="T64"/>
  <c r="B155" i="10"/>
  <c r="E4" i="8"/>
  <c r="B118"/>
  <c r="B144" i="9"/>
  <c r="B50"/>
  <c r="B46" i="4"/>
  <c r="B117"/>
  <c r="P8" i="8"/>
  <c r="P103" s="1"/>
  <c r="B11" i="9"/>
  <c r="B37"/>
  <c r="B113"/>
  <c r="B33" i="8"/>
  <c r="Q8"/>
  <c r="Q103" s="1"/>
  <c r="B33" i="9"/>
  <c r="B26" i="8"/>
  <c r="B42" i="9"/>
  <c r="B158"/>
  <c r="B115" i="8"/>
  <c r="B43" i="9"/>
  <c r="B145"/>
  <c r="B104" i="12"/>
  <c r="B120"/>
  <c r="B124"/>
  <c r="B121"/>
  <c r="B125"/>
  <c r="B150"/>
  <c r="B155"/>
  <c r="B53"/>
  <c r="B122"/>
  <c r="U111" i="8"/>
  <c r="U110"/>
  <c r="CS350" i="6"/>
  <c r="I109" i="9"/>
  <c r="DP321" i="6"/>
  <c r="Q112" i="12"/>
  <c r="J118"/>
  <c r="G110"/>
  <c r="K114"/>
  <c r="O114"/>
  <c r="R110"/>
  <c r="R120"/>
  <c r="B156"/>
  <c r="N109"/>
  <c r="N116"/>
  <c r="B126"/>
  <c r="B128"/>
  <c r="B130"/>
  <c r="B132"/>
  <c r="B133"/>
  <c r="B134"/>
  <c r="H140"/>
  <c r="B140"/>
  <c r="P114"/>
  <c r="H117"/>
  <c r="B145"/>
  <c r="B158"/>
  <c r="M106"/>
  <c r="I112"/>
  <c r="M115"/>
  <c r="M121"/>
  <c r="B146"/>
  <c r="B135"/>
  <c r="B143" i="10"/>
  <c r="Q116" i="4"/>
  <c r="R108"/>
  <c r="B112" i="8"/>
  <c r="K119"/>
  <c r="B121" i="4"/>
  <c r="P107" i="8"/>
  <c r="K117"/>
  <c r="B110" i="4"/>
  <c r="R112"/>
  <c r="B109" i="8"/>
  <c r="B152"/>
  <c r="B108" i="9"/>
  <c r="B134"/>
  <c r="B146"/>
  <c r="DQ350" i="6"/>
  <c r="CQ386"/>
  <c r="CU386"/>
  <c r="B112" i="9"/>
  <c r="B152"/>
  <c r="CY386" i="6"/>
  <c r="DC386"/>
  <c r="S61" i="4"/>
  <c r="T61" s="1"/>
  <c r="B123" i="9"/>
  <c r="M116"/>
  <c r="K117"/>
  <c r="DG386" i="6"/>
  <c r="DK386"/>
  <c r="B147" i="4"/>
  <c r="B132"/>
  <c r="B106"/>
  <c r="B146" i="10"/>
  <c r="L115" i="4"/>
  <c r="B111"/>
  <c r="B128" i="10"/>
  <c r="B144" i="4"/>
  <c r="B141"/>
  <c r="P118"/>
  <c r="B107"/>
  <c r="M111" i="8"/>
  <c r="G122"/>
  <c r="B133"/>
  <c r="B133" i="4"/>
  <c r="H120"/>
  <c r="B111" i="8"/>
  <c r="Q159"/>
  <c r="B113"/>
  <c r="R116" i="4"/>
  <c r="H109"/>
  <c r="G108" i="8"/>
  <c r="K121"/>
  <c r="R108" i="9"/>
  <c r="O116"/>
  <c r="L113"/>
  <c r="G113"/>
  <c r="B142" i="8"/>
  <c r="T119"/>
  <c r="B156" i="9"/>
  <c r="R116"/>
  <c r="N106"/>
  <c r="M107"/>
  <c r="J113"/>
  <c r="B147"/>
  <c r="G110"/>
  <c r="M117"/>
  <c r="I115"/>
  <c r="G120"/>
  <c r="H109"/>
  <c r="S147" i="12"/>
  <c r="T147" s="1"/>
  <c r="B153" i="4"/>
  <c r="N111"/>
  <c r="P117" i="8"/>
  <c r="B156" i="4"/>
  <c r="B118"/>
  <c r="P108"/>
  <c r="M116" i="8"/>
  <c r="B104" i="9"/>
  <c r="B154"/>
  <c r="K115" i="4"/>
  <c r="P116"/>
  <c r="B131"/>
  <c r="H8" i="9"/>
  <c r="H102" s="1"/>
  <c r="I118"/>
  <c r="CU350" i="6"/>
  <c r="DI350"/>
  <c r="G112" i="4"/>
  <c r="S112" s="1"/>
  <c r="T112" s="1"/>
  <c r="B158"/>
  <c r="P8" i="9"/>
  <c r="P102" s="1"/>
  <c r="E191" i="6"/>
  <c r="B101" i="9"/>
  <c r="M8"/>
  <c r="M102" s="1"/>
  <c r="Q8"/>
  <c r="Q102" s="1"/>
  <c r="B135"/>
  <c r="B126"/>
  <c r="B133"/>
  <c r="B128"/>
  <c r="O112" i="4"/>
  <c r="B132" i="10"/>
  <c r="U120" i="8"/>
  <c r="B114"/>
  <c r="Q112" i="4"/>
  <c r="B147" i="8"/>
  <c r="DU386" i="6"/>
  <c r="L137" i="10"/>
  <c r="B152" i="4"/>
  <c r="B116"/>
  <c r="B134"/>
  <c r="H111"/>
  <c r="B135" i="8"/>
  <c r="B159"/>
  <c r="T107"/>
  <c r="I49" i="12"/>
  <c r="I64"/>
  <c r="I63"/>
  <c r="I59"/>
  <c r="I58"/>
  <c r="I53"/>
  <c r="I52"/>
  <c r="I51"/>
  <c r="I50"/>
  <c r="I48"/>
  <c r="I47"/>
  <c r="I46"/>
  <c r="I44"/>
  <c r="I41"/>
  <c r="I40"/>
  <c r="I39"/>
  <c r="I38"/>
  <c r="I37"/>
  <c r="I36"/>
  <c r="I34"/>
  <c r="I28"/>
  <c r="I27"/>
  <c r="I26"/>
  <c r="I25"/>
  <c r="I24"/>
  <c r="I23"/>
  <c r="I22"/>
  <c r="I21"/>
  <c r="I20"/>
  <c r="I19"/>
  <c r="I18"/>
  <c r="I17"/>
  <c r="I16"/>
  <c r="I15"/>
  <c r="I14"/>
  <c r="I13"/>
  <c r="I43"/>
  <c r="G51"/>
  <c r="H51"/>
  <c r="G15"/>
  <c r="H15"/>
  <c r="H44"/>
  <c r="H20"/>
  <c r="H21"/>
  <c r="H49"/>
  <c r="H50"/>
  <c r="H36"/>
  <c r="H38"/>
  <c r="H37"/>
  <c r="H27"/>
  <c r="H62"/>
  <c r="I62"/>
  <c r="G19"/>
  <c r="H19"/>
  <c r="G37"/>
  <c r="G47"/>
  <c r="H47"/>
  <c r="G52"/>
  <c r="H52"/>
  <c r="G58"/>
  <c r="H58"/>
  <c r="G38"/>
  <c r="G43"/>
  <c r="H43"/>
  <c r="G46"/>
  <c r="H46"/>
  <c r="G48"/>
  <c r="H48"/>
  <c r="G50"/>
  <c r="G20"/>
  <c r="G44"/>
  <c r="G53"/>
  <c r="H53"/>
  <c r="G33"/>
  <c r="H33"/>
  <c r="I33"/>
  <c r="G23"/>
  <c r="H23"/>
  <c r="G64"/>
  <c r="H64"/>
  <c r="G28"/>
  <c r="H28"/>
  <c r="G39"/>
  <c r="H39"/>
  <c r="H63"/>
  <c r="H12"/>
  <c r="I12"/>
  <c r="G12"/>
  <c r="G13"/>
  <c r="G14"/>
  <c r="G16"/>
  <c r="G17"/>
  <c r="G18"/>
  <c r="H13"/>
  <c r="H14"/>
  <c r="H16"/>
  <c r="H17"/>
  <c r="H18"/>
  <c r="H41"/>
  <c r="H59"/>
  <c r="G21"/>
  <c r="G27"/>
  <c r="H22"/>
  <c r="G59"/>
  <c r="G49"/>
  <c r="G41"/>
  <c r="G22"/>
  <c r="G36"/>
  <c r="G25"/>
  <c r="H25"/>
  <c r="G34"/>
  <c r="H34"/>
  <c r="G63"/>
  <c r="G26"/>
  <c r="H26"/>
  <c r="H40"/>
  <c r="G35"/>
  <c r="G24"/>
  <c r="H24"/>
  <c r="CR321" i="6"/>
  <c r="DB321"/>
  <c r="DL321"/>
  <c r="CX350"/>
  <c r="DN350"/>
  <c r="B107" i="12"/>
  <c r="B148"/>
  <c r="Q119" i="4"/>
  <c r="P113"/>
  <c r="DA350" i="6"/>
  <c r="F251" i="2"/>
  <c r="O119" i="4"/>
  <c r="R133"/>
  <c r="P112"/>
  <c r="O131" i="10"/>
  <c r="M120" i="4"/>
  <c r="M130"/>
  <c r="J122" i="10"/>
  <c r="L112" i="4"/>
  <c r="M121"/>
  <c r="N112"/>
  <c r="H119" i="10"/>
  <c r="S121" i="8"/>
  <c r="CO321" i="6"/>
  <c r="CQ350"/>
  <c r="DO386"/>
  <c r="DS386"/>
  <c r="H153" i="4"/>
  <c r="Q122"/>
  <c r="K113"/>
  <c r="I106"/>
  <c r="P121"/>
  <c r="L120"/>
  <c r="P108" i="10"/>
  <c r="N108"/>
  <c r="O122"/>
  <c r="J118"/>
  <c r="O117" i="4"/>
  <c r="N108"/>
  <c r="O115" i="12"/>
  <c r="R119"/>
  <c r="DM386" i="6"/>
  <c r="Q156" i="4"/>
  <c r="B133" i="10"/>
  <c r="B120"/>
  <c r="L120"/>
  <c r="P120"/>
  <c r="H120"/>
  <c r="N120"/>
  <c r="B135"/>
  <c r="R117"/>
  <c r="R109"/>
  <c r="R115"/>
  <c r="R108"/>
  <c r="K112"/>
  <c r="K119"/>
  <c r="K107"/>
  <c r="K108"/>
  <c r="K106"/>
  <c r="K115"/>
  <c r="B145"/>
  <c r="N141"/>
  <c r="R141"/>
  <c r="B130"/>
  <c r="J130"/>
  <c r="B127"/>
  <c r="B116"/>
  <c r="H116"/>
  <c r="O116"/>
  <c r="L116"/>
  <c r="M116"/>
  <c r="B111"/>
  <c r="M111"/>
  <c r="N111"/>
  <c r="R111"/>
  <c r="P111"/>
  <c r="K111"/>
  <c r="Q116"/>
  <c r="Q109"/>
  <c r="Q108"/>
  <c r="Q115"/>
  <c r="I144"/>
  <c r="I106"/>
  <c r="I119"/>
  <c r="I116"/>
  <c r="I112"/>
  <c r="I107"/>
  <c r="L129"/>
  <c r="Q107"/>
  <c r="Q106"/>
  <c r="B150"/>
  <c r="O143"/>
  <c r="N143"/>
  <c r="B134"/>
  <c r="Q134"/>
  <c r="H132"/>
  <c r="B114"/>
  <c r="J114"/>
  <c r="N114"/>
  <c r="R114"/>
  <c r="L114"/>
  <c r="P114"/>
  <c r="M110"/>
  <c r="Q110"/>
  <c r="R110"/>
  <c r="I110"/>
  <c r="P110"/>
  <c r="B152"/>
  <c r="P152"/>
  <c r="H152"/>
  <c r="O121"/>
  <c r="G121"/>
  <c r="P117"/>
  <c r="Q117"/>
  <c r="G117"/>
  <c r="N117"/>
  <c r="Q131"/>
  <c r="P129"/>
  <c r="I156"/>
  <c r="L127"/>
  <c r="I143" i="12"/>
  <c r="B139"/>
  <c r="K119"/>
  <c r="G107"/>
  <c r="Q111"/>
  <c r="L135"/>
  <c r="P120"/>
  <c r="L119"/>
  <c r="L115"/>
  <c r="H114"/>
  <c r="H109"/>
  <c r="P107"/>
  <c r="R157"/>
  <c r="B131"/>
  <c r="B127"/>
  <c r="J139"/>
  <c r="O135"/>
  <c r="N111"/>
  <c r="K111"/>
  <c r="Q152"/>
  <c r="L122"/>
  <c r="H153"/>
  <c r="B111"/>
  <c r="B115"/>
  <c r="P121"/>
  <c r="L120"/>
  <c r="H119"/>
  <c r="L116"/>
  <c r="H115"/>
  <c r="P112"/>
  <c r="H110"/>
  <c r="P108"/>
  <c r="L107"/>
  <c r="B157"/>
  <c r="J127"/>
  <c r="R115"/>
  <c r="R143"/>
  <c r="M139"/>
  <c r="J111"/>
  <c r="O107"/>
  <c r="O119"/>
  <c r="B152"/>
  <c r="B127" i="4"/>
  <c r="B50" l="1"/>
  <c r="B159"/>
  <c r="B105" i="10"/>
  <c r="G8" i="4"/>
  <c r="G102" s="1"/>
  <c r="K8"/>
  <c r="K102" s="1"/>
  <c r="O8"/>
  <c r="O102" s="1"/>
  <c r="S7" i="9"/>
  <c r="S101" s="1"/>
  <c r="Q111" i="4"/>
  <c r="G118" i="10"/>
  <c r="M117"/>
  <c r="R119"/>
  <c r="M108" i="8"/>
  <c r="R107" i="9"/>
  <c r="L110"/>
  <c r="R158"/>
  <c r="I121"/>
  <c r="N116" i="4"/>
  <c r="N114" s="1"/>
  <c r="U108" i="8"/>
  <c r="J119" i="9"/>
  <c r="G121" i="8"/>
  <c r="G117" i="9"/>
  <c r="G106" i="12"/>
  <c r="Q117"/>
  <c r="Q116"/>
  <c r="J107"/>
  <c r="G119"/>
  <c r="G115"/>
  <c r="G109"/>
  <c r="K117"/>
  <c r="K113" s="1"/>
  <c r="K110"/>
  <c r="O118"/>
  <c r="O112"/>
  <c r="K106"/>
  <c r="K105" s="1"/>
  <c r="R117"/>
  <c r="N110"/>
  <c r="J112"/>
  <c r="R118"/>
  <c r="J110"/>
  <c r="P106"/>
  <c r="L109"/>
  <c r="H112"/>
  <c r="P115"/>
  <c r="L118"/>
  <c r="I107"/>
  <c r="I109"/>
  <c r="I111"/>
  <c r="I114"/>
  <c r="I116"/>
  <c r="I118"/>
  <c r="S118" s="1"/>
  <c r="T118" s="1"/>
  <c r="I120"/>
  <c r="Q109" i="4"/>
  <c r="O118" i="8"/>
  <c r="I118"/>
  <c r="I115" s="1"/>
  <c r="M119"/>
  <c r="N117" i="4"/>
  <c r="P118" i="8"/>
  <c r="I109"/>
  <c r="O109" i="4"/>
  <c r="J120"/>
  <c r="S118" i="8"/>
  <c r="O119"/>
  <c r="I120"/>
  <c r="K113" i="9"/>
  <c r="Q119"/>
  <c r="N110"/>
  <c r="K110"/>
  <c r="T110" i="8"/>
  <c r="P119" i="9"/>
  <c r="I119"/>
  <c r="K117" i="4"/>
  <c r="R106"/>
  <c r="K119"/>
  <c r="J115"/>
  <c r="O118"/>
  <c r="Q110" i="8"/>
  <c r="O111"/>
  <c r="K111"/>
  <c r="J110" i="4"/>
  <c r="U107" i="8"/>
  <c r="N115" i="4"/>
  <c r="G109" i="10"/>
  <c r="I107" i="4"/>
  <c r="N120"/>
  <c r="L107" i="10"/>
  <c r="T120" i="8"/>
  <c r="I111"/>
  <c r="O115" i="9"/>
  <c r="Q107"/>
  <c r="H117"/>
  <c r="H114" s="1"/>
  <c r="M107" i="8"/>
  <c r="M110" i="9"/>
  <c r="N109"/>
  <c r="O122" i="8"/>
  <c r="T117"/>
  <c r="M108" i="9"/>
  <c r="O106" i="12"/>
  <c r="Q106"/>
  <c r="Q118"/>
  <c r="R116"/>
  <c r="G118"/>
  <c r="G114"/>
  <c r="G108"/>
  <c r="K116"/>
  <c r="K109"/>
  <c r="O117"/>
  <c r="O113" s="1"/>
  <c r="O110"/>
  <c r="J108"/>
  <c r="N118"/>
  <c r="R112"/>
  <c r="N106"/>
  <c r="R114"/>
  <c r="J120"/>
  <c r="N112"/>
  <c r="H107"/>
  <c r="P109"/>
  <c r="L112"/>
  <c r="H116"/>
  <c r="P118"/>
  <c r="M107"/>
  <c r="M109"/>
  <c r="M111"/>
  <c r="M105" s="1"/>
  <c r="M114"/>
  <c r="M116"/>
  <c r="M118"/>
  <c r="M120"/>
  <c r="L121" i="4"/>
  <c r="P121" i="8"/>
  <c r="O107"/>
  <c r="I122"/>
  <c r="J140" i="4"/>
  <c r="P114" i="8"/>
  <c r="O109"/>
  <c r="Q121"/>
  <c r="O110"/>
  <c r="H117"/>
  <c r="Q108" i="9"/>
  <c r="K106"/>
  <c r="S106" s="1"/>
  <c r="T106" s="1"/>
  <c r="G119"/>
  <c r="P108"/>
  <c r="M119"/>
  <c r="N116"/>
  <c r="I111"/>
  <c r="K121" i="4"/>
  <c r="G106"/>
  <c r="H142"/>
  <c r="R111"/>
  <c r="K108"/>
  <c r="R118"/>
  <c r="Q118" i="8"/>
  <c r="P111"/>
  <c r="G107"/>
  <c r="G120"/>
  <c r="K110" i="4"/>
  <c r="K105" s="1"/>
  <c r="U112" i="8"/>
  <c r="M109" i="10"/>
  <c r="H107"/>
  <c r="O108" i="8"/>
  <c r="P121" i="9"/>
  <c r="P107"/>
  <c r="O120" i="8"/>
  <c r="K107" i="9"/>
  <c r="S107" s="1"/>
  <c r="T107" s="1"/>
  <c r="I112" i="8"/>
  <c r="Q108" i="12"/>
  <c r="Q120"/>
  <c r="G117"/>
  <c r="K120"/>
  <c r="K108"/>
  <c r="O109"/>
  <c r="J119"/>
  <c r="J116"/>
  <c r="J117"/>
  <c r="H111"/>
  <c r="L117"/>
  <c r="L113" s="1"/>
  <c r="M108"/>
  <c r="M112"/>
  <c r="M117"/>
  <c r="P107" i="4"/>
  <c r="P116" i="8"/>
  <c r="H119"/>
  <c r="O107" i="4"/>
  <c r="H121" i="8"/>
  <c r="T118"/>
  <c r="L114"/>
  <c r="N115" i="9"/>
  <c r="N119"/>
  <c r="R106"/>
  <c r="K109" i="4"/>
  <c r="G107"/>
  <c r="T111" i="8"/>
  <c r="U121"/>
  <c r="U117"/>
  <c r="L109"/>
  <c r="Q157"/>
  <c r="G116"/>
  <c r="K112"/>
  <c r="U119"/>
  <c r="L136" i="9"/>
  <c r="J120"/>
  <c r="H113"/>
  <c r="H118"/>
  <c r="P119" i="8"/>
  <c r="P115" s="1"/>
  <c r="H112"/>
  <c r="Q115" i="9"/>
  <c r="N118"/>
  <c r="K109"/>
  <c r="J106"/>
  <c r="H115"/>
  <c r="G106"/>
  <c r="M106"/>
  <c r="I107"/>
  <c r="G115"/>
  <c r="O114" i="8"/>
  <c r="R115" i="4"/>
  <c r="N156"/>
  <c r="Q106"/>
  <c r="L118"/>
  <c r="P112" i="8"/>
  <c r="R157" i="4"/>
  <c r="L107" i="8"/>
  <c r="H134" i="4"/>
  <c r="L107"/>
  <c r="M108" i="10"/>
  <c r="N113" i="4"/>
  <c r="K118" i="8"/>
  <c r="K108" i="9"/>
  <c r="L118" i="8"/>
  <c r="P109" i="9"/>
  <c r="Q110" i="12"/>
  <c r="R106"/>
  <c r="R105" s="1"/>
  <c r="G116"/>
  <c r="K118"/>
  <c r="O120"/>
  <c r="O108"/>
  <c r="R109"/>
  <c r="N108"/>
  <c r="R108"/>
  <c r="H108"/>
  <c r="S108" s="1"/>
  <c r="T108" s="1"/>
  <c r="L114"/>
  <c r="P119"/>
  <c r="I106"/>
  <c r="I110"/>
  <c r="I115"/>
  <c r="I119"/>
  <c r="G119" i="4"/>
  <c r="P108" i="8"/>
  <c r="L119"/>
  <c r="G110" i="4"/>
  <c r="K107" i="8"/>
  <c r="P115" i="4"/>
  <c r="P122" i="8"/>
  <c r="O116"/>
  <c r="N107" i="9"/>
  <c r="G108"/>
  <c r="L106"/>
  <c r="Q118"/>
  <c r="G115" i="4"/>
  <c r="H111" i="8"/>
  <c r="U114"/>
  <c r="Q109"/>
  <c r="Q122"/>
  <c r="G112"/>
  <c r="K114"/>
  <c r="G117"/>
  <c r="L109" i="9"/>
  <c r="M113"/>
  <c r="M109"/>
  <c r="H106"/>
  <c r="L110" i="8"/>
  <c r="Q121" i="9"/>
  <c r="M115"/>
  <c r="K115"/>
  <c r="H111"/>
  <c r="G116"/>
  <c r="N111"/>
  <c r="K121"/>
  <c r="H110"/>
  <c r="G109"/>
  <c r="S109" s="1"/>
  <c r="T109" s="1"/>
  <c r="U159" i="8"/>
  <c r="P111" i="4"/>
  <c r="L120" i="8"/>
  <c r="J118" i="9"/>
  <c r="P117" i="4"/>
  <c r="P117" i="9"/>
  <c r="M118" i="8"/>
  <c r="J106" i="4"/>
  <c r="I116"/>
  <c r="L111"/>
  <c r="L108"/>
  <c r="M113"/>
  <c r="G121"/>
  <c r="Q120"/>
  <c r="K120"/>
  <c r="R157" i="10"/>
  <c r="J123" i="4"/>
  <c r="DD5" i="6"/>
  <c r="DD4" s="1"/>
  <c r="Q107" i="12"/>
  <c r="J115"/>
  <c r="S115" s="1"/>
  <c r="T115" s="1"/>
  <c r="R111"/>
  <c r="H106"/>
  <c r="L111"/>
  <c r="P117"/>
  <c r="P138"/>
  <c r="Q115"/>
  <c r="K107"/>
  <c r="R107"/>
  <c r="Q157"/>
  <c r="L110"/>
  <c r="P116"/>
  <c r="H122"/>
  <c r="M152"/>
  <c r="K115"/>
  <c r="N119"/>
  <c r="Q156" i="10"/>
  <c r="J117"/>
  <c r="O117"/>
  <c r="K117"/>
  <c r="P121"/>
  <c r="H110"/>
  <c r="G110"/>
  <c r="K114"/>
  <c r="M114"/>
  <c r="N129"/>
  <c r="I111"/>
  <c r="I120"/>
  <c r="I118"/>
  <c r="Q119"/>
  <c r="Q112"/>
  <c r="O111"/>
  <c r="Q111"/>
  <c r="Q105" s="1"/>
  <c r="G111"/>
  <c r="N116"/>
  <c r="G116"/>
  <c r="N127"/>
  <c r="G139"/>
  <c r="K109"/>
  <c r="K110"/>
  <c r="R112"/>
  <c r="R121"/>
  <c r="R118"/>
  <c r="G120"/>
  <c r="R120"/>
  <c r="R133"/>
  <c r="T121" i="8"/>
  <c r="O111" i="12"/>
  <c r="H114" i="10"/>
  <c r="H113" s="1"/>
  <c r="N157"/>
  <c r="P116"/>
  <c r="Q107" i="4"/>
  <c r="N158"/>
  <c r="O121" i="8"/>
  <c r="P119" i="10"/>
  <c r="I120" i="4"/>
  <c r="R120"/>
  <c r="O120"/>
  <c r="R116" i="10"/>
  <c r="S110" i="8"/>
  <c r="O111" i="4"/>
  <c r="K118"/>
  <c r="Q110"/>
  <c r="M115"/>
  <c r="H120" i="9"/>
  <c r="I120"/>
  <c r="G121"/>
  <c r="K116"/>
  <c r="P110"/>
  <c r="I108" i="8"/>
  <c r="O110" i="9"/>
  <c r="J115"/>
  <c r="I107" i="8"/>
  <c r="L111"/>
  <c r="G109"/>
  <c r="Q112"/>
  <c r="Q117"/>
  <c r="K118" i="9"/>
  <c r="H116"/>
  <c r="L122" i="8"/>
  <c r="T108"/>
  <c r="M121"/>
  <c r="M119" i="12"/>
  <c r="M110"/>
  <c r="P110"/>
  <c r="N115"/>
  <c r="J114"/>
  <c r="O116"/>
  <c r="G112"/>
  <c r="S112" s="1"/>
  <c r="T112" s="1"/>
  <c r="Q109"/>
  <c r="O106" i="9"/>
  <c r="H110" i="8"/>
  <c r="K109"/>
  <c r="G119" i="10"/>
  <c r="Q121" i="4"/>
  <c r="L106" i="12"/>
  <c r="P111"/>
  <c r="H118"/>
  <c r="N153"/>
  <c r="G111"/>
  <c r="N107"/>
  <c r="N105" s="1"/>
  <c r="J127" i="10"/>
  <c r="I108"/>
  <c r="I117"/>
  <c r="H117"/>
  <c r="J121"/>
  <c r="K121"/>
  <c r="I152"/>
  <c r="L110"/>
  <c r="S110" s="1"/>
  <c r="T110" s="1"/>
  <c r="N110"/>
  <c r="Q114"/>
  <c r="I114"/>
  <c r="Q132"/>
  <c r="R140"/>
  <c r="Q120"/>
  <c r="M129"/>
  <c r="I109"/>
  <c r="I105" s="1"/>
  <c r="I115"/>
  <c r="I122"/>
  <c r="Q118"/>
  <c r="O120"/>
  <c r="H111"/>
  <c r="L111"/>
  <c r="J116"/>
  <c r="K116"/>
  <c r="N130"/>
  <c r="M139"/>
  <c r="G156"/>
  <c r="K128"/>
  <c r="K118"/>
  <c r="R144"/>
  <c r="R106"/>
  <c r="J120"/>
  <c r="S120" s="1"/>
  <c r="T120" s="1"/>
  <c r="K120"/>
  <c r="M120"/>
  <c r="P109" i="4"/>
  <c r="Q118"/>
  <c r="O118" i="10"/>
  <c r="O157"/>
  <c r="G108" i="4"/>
  <c r="H113"/>
  <c r="H106"/>
  <c r="O141" i="8"/>
  <c r="G120" i="4"/>
  <c r="J156"/>
  <c r="P146" i="10"/>
  <c r="N121" i="4"/>
  <c r="S114" i="8"/>
  <c r="L110" i="4"/>
  <c r="Q117"/>
  <c r="J109"/>
  <c r="M118" i="9"/>
  <c r="M111"/>
  <c r="K120"/>
  <c r="L118"/>
  <c r="Q109"/>
  <c r="K116" i="8"/>
  <c r="K115" s="1"/>
  <c r="P156" i="9"/>
  <c r="J109"/>
  <c r="I121" i="8"/>
  <c r="Q116"/>
  <c r="U109"/>
  <c r="Q114"/>
  <c r="N129" i="9"/>
  <c r="J111"/>
  <c r="U116" i="8"/>
  <c r="R121" i="4"/>
  <c r="I117" i="12"/>
  <c r="I108"/>
  <c r="I105" s="1"/>
  <c r="H120"/>
  <c r="L108"/>
  <c r="J109"/>
  <c r="N114"/>
  <c r="K112"/>
  <c r="G120"/>
  <c r="P120" i="8"/>
  <c r="M119" i="4"/>
  <c r="N145" i="9"/>
  <c r="H119"/>
  <c r="CO386" i="6"/>
  <c r="DA5"/>
  <c r="DA4" s="1"/>
  <c r="DB5"/>
  <c r="DB4" s="1"/>
  <c r="DC5"/>
  <c r="DC4" s="1"/>
  <c r="DE5"/>
  <c r="DE4" s="1"/>
  <c r="DI5"/>
  <c r="DI4" s="1"/>
  <c r="DJ218"/>
  <c r="DJ217" s="1"/>
  <c r="N67" i="11"/>
  <c r="B120" i="8"/>
  <c r="B153"/>
  <c r="B115" i="4"/>
  <c r="B106" i="9"/>
  <c r="B153"/>
  <c r="B130"/>
  <c r="B119"/>
  <c r="B140" i="8"/>
  <c r="B138" i="4"/>
  <c r="B142" i="12"/>
  <c r="B141"/>
  <c r="B129"/>
  <c r="B110"/>
  <c r="H8" i="11"/>
  <c r="O8" s="1"/>
  <c r="B20"/>
  <c r="B44"/>
  <c r="B62"/>
  <c r="B48" i="3"/>
  <c r="B55"/>
  <c r="B60"/>
  <c r="B29" i="10"/>
  <c r="B35"/>
  <c r="B47"/>
  <c r="P8"/>
  <c r="P102" s="1"/>
  <c r="B151"/>
  <c r="B138"/>
  <c r="B47" i="4"/>
  <c r="B154"/>
  <c r="B12" i="8"/>
  <c r="B49"/>
  <c r="B55"/>
  <c r="B61"/>
  <c r="B154"/>
  <c r="B143"/>
  <c r="B30" i="9"/>
  <c r="B48"/>
  <c r="B115"/>
  <c r="B110"/>
  <c r="E192" i="6"/>
  <c r="B110" i="10"/>
  <c r="B129"/>
  <c r="B137" i="12"/>
  <c r="B139" i="9"/>
  <c r="L8"/>
  <c r="L102" s="1"/>
  <c r="B138" i="12"/>
  <c r="B118"/>
  <c r="B106"/>
  <c r="B123"/>
  <c r="B141" i="10"/>
  <c r="B49" i="3"/>
  <c r="B54"/>
  <c r="B61" s="1"/>
  <c r="B24" i="10"/>
  <c r="B43"/>
  <c r="B48"/>
  <c r="B53"/>
  <c r="B59"/>
  <c r="L8"/>
  <c r="L102" s="1"/>
  <c r="B137"/>
  <c r="B7" i="4"/>
  <c r="B48"/>
  <c r="B143"/>
  <c r="B139"/>
  <c r="B30" i="8"/>
  <c r="B36"/>
  <c r="B44"/>
  <c r="M8"/>
  <c r="M103" s="1"/>
  <c r="B12" i="9"/>
  <c r="B49"/>
  <c r="B58"/>
  <c r="B138"/>
  <c r="B143"/>
  <c r="B116" i="8"/>
  <c r="B124" i="9"/>
  <c r="B114" i="12"/>
  <c r="B154"/>
  <c r="B107" i="8"/>
  <c r="B139"/>
  <c r="B142" i="4"/>
  <c r="B119"/>
  <c r="B16" i="11"/>
  <c r="B24"/>
  <c r="B29"/>
  <c r="B47"/>
  <c r="B59"/>
  <c r="B30" i="3"/>
  <c r="B36"/>
  <c r="B44"/>
  <c r="B62"/>
  <c r="B44" i="10"/>
  <c r="B54"/>
  <c r="B60"/>
  <c r="B153"/>
  <c r="B142"/>
  <c r="B29" i="4"/>
  <c r="B35"/>
  <c r="B43"/>
  <c r="B53"/>
  <c r="B59"/>
  <c r="B124"/>
  <c r="B7" i="8"/>
  <c r="B16"/>
  <c r="B25"/>
  <c r="B45"/>
  <c r="B125"/>
  <c r="B155"/>
  <c r="B25" i="9"/>
  <c r="B44"/>
  <c r="B59"/>
  <c r="G152" i="12"/>
  <c r="I139"/>
  <c r="N132" i="10"/>
  <c r="O140"/>
  <c r="J143"/>
  <c r="Q126"/>
  <c r="Q130"/>
  <c r="O145"/>
  <c r="O128"/>
  <c r="G140" i="4"/>
  <c r="N145"/>
  <c r="G141"/>
  <c r="K142" i="10"/>
  <c r="N144" i="9"/>
  <c r="R135"/>
  <c r="J142" i="4"/>
  <c r="CY5" i="6"/>
  <c r="CY4" s="1"/>
  <c r="R110" i="4"/>
  <c r="H119"/>
  <c r="Q108"/>
  <c r="G117"/>
  <c r="G108" i="10"/>
  <c r="H108"/>
  <c r="M118"/>
  <c r="P118"/>
  <c r="O110"/>
  <c r="M109" i="4"/>
  <c r="J119"/>
  <c r="I109"/>
  <c r="Q108" i="8"/>
  <c r="H112" i="10"/>
  <c r="L112"/>
  <c r="H109"/>
  <c r="L109"/>
  <c r="J106"/>
  <c r="O106"/>
  <c r="P120" i="4"/>
  <c r="N106"/>
  <c r="K107"/>
  <c r="J111"/>
  <c r="H121"/>
  <c r="L119"/>
  <c r="J117"/>
  <c r="I108"/>
  <c r="O116"/>
  <c r="M117"/>
  <c r="I118"/>
  <c r="G113"/>
  <c r="O106"/>
  <c r="J119" i="10"/>
  <c r="O119"/>
  <c r="J115"/>
  <c r="O115"/>
  <c r="P107"/>
  <c r="N107"/>
  <c r="U118" i="8"/>
  <c r="S111"/>
  <c r="S116"/>
  <c r="M120"/>
  <c r="L121"/>
  <c r="K120"/>
  <c r="H120"/>
  <c r="G114"/>
  <c r="K122"/>
  <c r="I110"/>
  <c r="P118" i="9"/>
  <c r="O109"/>
  <c r="O119"/>
  <c r="L117"/>
  <c r="R117"/>
  <c r="P115"/>
  <c r="R121"/>
  <c r="Q120"/>
  <c r="P120"/>
  <c r="O121"/>
  <c r="N121"/>
  <c r="M121"/>
  <c r="J121"/>
  <c r="I117"/>
  <c r="H108"/>
  <c r="H110" i="4"/>
  <c r="K110" i="8"/>
  <c r="I113" i="9"/>
  <c r="N120"/>
  <c r="L116" i="8"/>
  <c r="S112"/>
  <c r="I116" i="9"/>
  <c r="I114" s="1"/>
  <c r="P113"/>
  <c r="M114" i="8"/>
  <c r="H116" i="4"/>
  <c r="M120" i="9"/>
  <c r="I106"/>
  <c r="S109" i="8"/>
  <c r="J116" i="9"/>
  <c r="L113" i="4"/>
  <c r="I116" i="8"/>
  <c r="N119" i="4"/>
  <c r="H107"/>
  <c r="H105" s="1"/>
  <c r="N110"/>
  <c r="L108" i="10"/>
  <c r="M111" i="4"/>
  <c r="H118" i="10"/>
  <c r="G114"/>
  <c r="P106" i="4"/>
  <c r="L117"/>
  <c r="J113"/>
  <c r="H108"/>
  <c r="P109" i="8"/>
  <c r="N112" i="10"/>
  <c r="P112"/>
  <c r="N109"/>
  <c r="P109"/>
  <c r="M106"/>
  <c r="G106"/>
  <c r="O113" i="4"/>
  <c r="M118"/>
  <c r="K111"/>
  <c r="I119"/>
  <c r="I121"/>
  <c r="P119"/>
  <c r="R117"/>
  <c r="J108"/>
  <c r="N109"/>
  <c r="M110"/>
  <c r="I111"/>
  <c r="G111"/>
  <c r="S111" s="1"/>
  <c r="T111" s="1"/>
  <c r="H116" i="8"/>
  <c r="M119" i="10"/>
  <c r="L115"/>
  <c r="M115"/>
  <c r="J111"/>
  <c r="J107"/>
  <c r="R107"/>
  <c r="T112" i="8"/>
  <c r="Q120"/>
  <c r="O117"/>
  <c r="M117"/>
  <c r="L117"/>
  <c r="W117" s="1"/>
  <c r="X117" s="1"/>
  <c r="K108"/>
  <c r="H114"/>
  <c r="I114"/>
  <c r="G119"/>
  <c r="G115" s="1"/>
  <c r="L111" i="9"/>
  <c r="P106"/>
  <c r="L115"/>
  <c r="O113"/>
  <c r="L120"/>
  <c r="R113"/>
  <c r="O118"/>
  <c r="R118"/>
  <c r="Q116"/>
  <c r="P116"/>
  <c r="O117"/>
  <c r="N117"/>
  <c r="L119"/>
  <c r="J117"/>
  <c r="I108"/>
  <c r="O121" i="4"/>
  <c r="H122" i="8"/>
  <c r="J107" i="9"/>
  <c r="Q106"/>
  <c r="M110" i="8"/>
  <c r="S122"/>
  <c r="J110" i="9"/>
  <c r="Q113"/>
  <c r="S108" i="8"/>
  <c r="L116" i="4"/>
  <c r="N113" i="9"/>
  <c r="L109" i="4"/>
  <c r="M109" i="8"/>
  <c r="G111" i="9"/>
  <c r="T116" i="8"/>
  <c r="G118"/>
  <c r="G118" i="9"/>
  <c r="R113" i="4"/>
  <c r="L106"/>
  <c r="R109"/>
  <c r="R119"/>
  <c r="J108" i="10"/>
  <c r="M116" i="4"/>
  <c r="N118" i="10"/>
  <c r="O114"/>
  <c r="O108" i="4"/>
  <c r="J107"/>
  <c r="S119" i="8"/>
  <c r="L117" i="10"/>
  <c r="L113" s="1"/>
  <c r="O112"/>
  <c r="J112"/>
  <c r="O109"/>
  <c r="J109"/>
  <c r="H106"/>
  <c r="L106"/>
  <c r="N118" i="4"/>
  <c r="K116"/>
  <c r="K114" s="1"/>
  <c r="I113"/>
  <c r="J121"/>
  <c r="H117"/>
  <c r="O115"/>
  <c r="O110"/>
  <c r="S107" i="8"/>
  <c r="N107" i="4"/>
  <c r="M107"/>
  <c r="G118"/>
  <c r="G109"/>
  <c r="L119" i="10"/>
  <c r="N119"/>
  <c r="P115"/>
  <c r="H115"/>
  <c r="G107"/>
  <c r="M107"/>
  <c r="O107"/>
  <c r="S117" i="8"/>
  <c r="Q111"/>
  <c r="O112"/>
  <c r="M112"/>
  <c r="L112"/>
  <c r="I117"/>
  <c r="H109"/>
  <c r="G111"/>
  <c r="I119"/>
  <c r="R119" i="9"/>
  <c r="O120"/>
  <c r="R115"/>
  <c r="O107"/>
  <c r="L107"/>
  <c r="R110"/>
  <c r="O111"/>
  <c r="R109"/>
  <c r="Q111"/>
  <c r="P111"/>
  <c r="O108"/>
  <c r="N108"/>
  <c r="L116"/>
  <c r="J108"/>
  <c r="H121"/>
  <c r="S120" i="8"/>
  <c r="H107" i="9"/>
  <c r="K111"/>
  <c r="R120"/>
  <c r="M122" i="8"/>
  <c r="T122"/>
  <c r="K119" i="9"/>
  <c r="H118" i="8"/>
  <c r="U122"/>
  <c r="I110" i="9"/>
  <c r="Q117"/>
  <c r="J116" i="4"/>
  <c r="Q110" i="9"/>
  <c r="G107"/>
  <c r="P110" i="8"/>
  <c r="T109"/>
  <c r="H108"/>
  <c r="N120" i="12"/>
  <c r="Q119"/>
  <c r="Q114"/>
  <c r="J106"/>
  <c r="N117"/>
  <c r="G122" i="4"/>
  <c r="H127" i="12"/>
  <c r="G131"/>
  <c r="P131"/>
  <c r="L134"/>
  <c r="R131"/>
  <c r="J156" i="10"/>
  <c r="L134"/>
  <c r="O139"/>
  <c r="Q18" i="9"/>
  <c r="Q11" s="1"/>
  <c r="Q10" s="1"/>
  <c r="O142" i="10"/>
  <c r="R128" i="4"/>
  <c r="J147"/>
  <c r="L140" i="10"/>
  <c r="N136" i="4"/>
  <c r="Q141"/>
  <c r="N131" i="9"/>
  <c r="H133" i="12"/>
  <c r="P153"/>
  <c r="R152"/>
  <c r="M143"/>
  <c r="P133"/>
  <c r="P143"/>
  <c r="M131"/>
  <c r="P156" i="10"/>
  <c r="O129"/>
  <c r="L152"/>
  <c r="I132"/>
  <c r="N134"/>
  <c r="M140"/>
  <c r="O150"/>
  <c r="J129"/>
  <c r="I145"/>
  <c r="Q145"/>
  <c r="P130"/>
  <c r="R139"/>
  <c r="K141"/>
  <c r="J145"/>
  <c r="R135"/>
  <c r="H133"/>
  <c r="L157" i="12"/>
  <c r="J18" i="9"/>
  <c r="P135" i="4"/>
  <c r="O136"/>
  <c r="Q142"/>
  <c r="G132"/>
  <c r="G144" i="8"/>
  <c r="Q148"/>
  <c r="R136" i="4"/>
  <c r="L138" i="10"/>
  <c r="J152" i="4"/>
  <c r="O128"/>
  <c r="L141" i="9"/>
  <c r="L152" i="8"/>
  <c r="H139" i="9"/>
  <c r="H146" i="8"/>
  <c r="R146" i="12"/>
  <c r="N138"/>
  <c r="L121" i="9"/>
  <c r="M152"/>
  <c r="Q144"/>
  <c r="L108"/>
  <c r="G110" i="8"/>
  <c r="L108"/>
  <c r="T114"/>
  <c r="N115" i="10"/>
  <c r="M106" i="4"/>
  <c r="Q107" i="8"/>
  <c r="Q115" i="4"/>
  <c r="Q114" s="1"/>
  <c r="J118"/>
  <c r="P106" i="10"/>
  <c r="M112"/>
  <c r="I115" i="4"/>
  <c r="J110" i="10"/>
  <c r="O108"/>
  <c r="Q113" i="4"/>
  <c r="R131" i="10"/>
  <c r="N135"/>
  <c r="J133"/>
  <c r="H135" i="12"/>
  <c r="H144"/>
  <c r="Q151" i="4"/>
  <c r="M142"/>
  <c r="T18" i="8"/>
  <c r="M144"/>
  <c r="H145" i="4"/>
  <c r="S133" i="8"/>
  <c r="N140" i="4"/>
  <c r="N126" i="10"/>
  <c r="Q147" i="8"/>
  <c r="N147" i="4"/>
  <c r="H146"/>
  <c r="G113" i="8"/>
  <c r="W113" s="1"/>
  <c r="X113" s="1"/>
  <c r="H133"/>
  <c r="P157" i="4"/>
  <c r="G132" i="9"/>
  <c r="N135" i="12"/>
  <c r="O145"/>
  <c r="R107" i="4"/>
  <c r="G115" i="10"/>
  <c r="G116" i="4"/>
  <c r="P110"/>
  <c r="I117"/>
  <c r="M108"/>
  <c r="N106" i="10"/>
  <c r="G112"/>
  <c r="K106" i="4"/>
  <c r="L118" i="10"/>
  <c r="H115" i="4"/>
  <c r="I110"/>
  <c r="L153" i="12"/>
  <c r="Q143"/>
  <c r="J131"/>
  <c r="H129"/>
  <c r="O153"/>
  <c r="L132"/>
  <c r="P139"/>
  <c r="O143"/>
  <c r="G127"/>
  <c r="P140"/>
  <c r="P127"/>
  <c r="G153"/>
  <c r="L131"/>
  <c r="O152"/>
  <c r="L139"/>
  <c r="K143"/>
  <c r="R127"/>
  <c r="G131" i="10"/>
  <c r="K127"/>
  <c r="L156"/>
  <c r="K156"/>
  <c r="I146"/>
  <c r="K129"/>
  <c r="I121"/>
  <c r="H121"/>
  <c r="N152"/>
  <c r="M152"/>
  <c r="R152"/>
  <c r="K132"/>
  <c r="M134"/>
  <c r="R134"/>
  <c r="Q140"/>
  <c r="N140"/>
  <c r="K143"/>
  <c r="R143"/>
  <c r="G150"/>
  <c r="R129"/>
  <c r="I129"/>
  <c r="I130"/>
  <c r="I138"/>
  <c r="I128"/>
  <c r="I139"/>
  <c r="Q128"/>
  <c r="I127"/>
  <c r="R127"/>
  <c r="L130"/>
  <c r="K130"/>
  <c r="N139"/>
  <c r="P139"/>
  <c r="L141"/>
  <c r="H141"/>
  <c r="R145"/>
  <c r="P135"/>
  <c r="G135"/>
  <c r="I133"/>
  <c r="G133"/>
  <c r="N133"/>
  <c r="P144"/>
  <c r="L147" i="8"/>
  <c r="L152" i="12"/>
  <c r="K131"/>
  <c r="O155" i="10"/>
  <c r="O18" i="9"/>
  <c r="O11" s="1"/>
  <c r="O10" s="1"/>
  <c r="I18"/>
  <c r="I11" s="1"/>
  <c r="I10" s="1"/>
  <c r="L138" i="4"/>
  <c r="N133"/>
  <c r="M122" i="10"/>
  <c r="M144"/>
  <c r="H139"/>
  <c r="G157"/>
  <c r="I155"/>
  <c r="J142"/>
  <c r="R142" i="4"/>
  <c r="O156"/>
  <c r="M155" i="10"/>
  <c r="P18" i="9"/>
  <c r="P11" s="1"/>
  <c r="P10" s="1"/>
  <c r="S18" i="8"/>
  <c r="V18" s="1"/>
  <c r="O130" i="10"/>
  <c r="K143" i="4"/>
  <c r="O143"/>
  <c r="U135" i="8"/>
  <c r="S152"/>
  <c r="Q143"/>
  <c r="M123" i="4"/>
  <c r="I128"/>
  <c r="H136"/>
  <c r="P152"/>
  <c r="K146"/>
  <c r="O140"/>
  <c r="P137" i="8"/>
  <c r="H130" i="4"/>
  <c r="K139"/>
  <c r="O134"/>
  <c r="I151" i="10"/>
  <c r="N144"/>
  <c r="I134"/>
  <c r="K144" i="8"/>
  <c r="L145" i="4"/>
  <c r="H147"/>
  <c r="K122" i="10"/>
  <c r="K157"/>
  <c r="O157" i="4"/>
  <c r="Q157"/>
  <c r="L126" i="10"/>
  <c r="N130" i="4"/>
  <c r="I130"/>
  <c r="N157"/>
  <c r="I150" i="10"/>
  <c r="S153" i="8"/>
  <c r="H135" i="10"/>
  <c r="O137"/>
  <c r="N137" i="12"/>
  <c r="T132" i="8"/>
  <c r="O140"/>
  <c r="J143" i="9"/>
  <c r="G123" i="4"/>
  <c r="P131"/>
  <c r="L128"/>
  <c r="J130"/>
  <c r="K129" i="9"/>
  <c r="H129"/>
  <c r="Q134"/>
  <c r="O137" i="8"/>
  <c r="N156" i="9"/>
  <c r="I140" i="8"/>
  <c r="K137"/>
  <c r="S131"/>
  <c r="P129"/>
  <c r="G153"/>
  <c r="M157"/>
  <c r="L133" i="4"/>
  <c r="U148" i="8"/>
  <c r="M157" i="4"/>
  <c r="Q152" i="10"/>
  <c r="J158" i="4"/>
  <c r="M128" i="10"/>
  <c r="K132" i="4"/>
  <c r="Q147"/>
  <c r="K144"/>
  <c r="I130" i="9"/>
  <c r="N142"/>
  <c r="M130"/>
  <c r="P139"/>
  <c r="H113" i="8"/>
  <c r="K151" i="10"/>
  <c r="I157" i="12"/>
  <c r="O128"/>
  <c r="G131" i="9"/>
  <c r="M128" i="8"/>
  <c r="S157"/>
  <c r="U153"/>
  <c r="R122" i="4"/>
  <c r="P113" i="8"/>
  <c r="N128" i="4"/>
  <c r="L145" i="10"/>
  <c r="O132" i="4"/>
  <c r="N132"/>
  <c r="J146"/>
  <c r="O158"/>
  <c r="L147"/>
  <c r="P145"/>
  <c r="N141"/>
  <c r="J136"/>
  <c r="P134"/>
  <c r="L130"/>
  <c r="M128"/>
  <c r="P123"/>
  <c r="S143" i="8"/>
  <c r="O122" i="4"/>
  <c r="N122"/>
  <c r="M141"/>
  <c r="I131"/>
  <c r="G146"/>
  <c r="G133"/>
  <c r="U136" i="8"/>
  <c r="P141" i="4"/>
  <c r="N155" i="10"/>
  <c r="I157"/>
  <c r="P138"/>
  <c r="O127" i="4"/>
  <c r="N123"/>
  <c r="N138"/>
  <c r="J138"/>
  <c r="I139"/>
  <c r="M156"/>
  <c r="M147"/>
  <c r="Q145"/>
  <c r="L139"/>
  <c r="M136"/>
  <c r="I132"/>
  <c r="P130"/>
  <c r="Q128"/>
  <c r="S137" i="8"/>
  <c r="N131" i="4"/>
  <c r="M138"/>
  <c r="I123"/>
  <c r="G142"/>
  <c r="G129"/>
  <c r="U113" i="8"/>
  <c r="S142"/>
  <c r="Q141"/>
  <c r="P135"/>
  <c r="O132"/>
  <c r="L158"/>
  <c r="L136"/>
  <c r="K152"/>
  <c r="K134"/>
  <c r="I157"/>
  <c r="H128"/>
  <c r="G154"/>
  <c r="G143"/>
  <c r="H134"/>
  <c r="G123"/>
  <c r="H158"/>
  <c r="I147"/>
  <c r="K133"/>
  <c r="N128" i="10"/>
  <c r="G140"/>
  <c r="O138" i="4"/>
  <c r="K158"/>
  <c r="J139"/>
  <c r="Q133" i="8"/>
  <c r="Q135"/>
  <c r="L135" i="10"/>
  <c r="P140" i="4"/>
  <c r="M133"/>
  <c r="K138"/>
  <c r="J131"/>
  <c r="I127"/>
  <c r="H158"/>
  <c r="H152"/>
  <c r="R147"/>
  <c r="H141"/>
  <c r="O139"/>
  <c r="K134"/>
  <c r="J132"/>
  <c r="H128"/>
  <c r="K123"/>
  <c r="O129"/>
  <c r="N135"/>
  <c r="M131"/>
  <c r="G138"/>
  <c r="G127"/>
  <c r="T141" i="8"/>
  <c r="S132"/>
  <c r="Q131"/>
  <c r="P157"/>
  <c r="P131"/>
  <c r="O153"/>
  <c r="O128"/>
  <c r="M152"/>
  <c r="L153"/>
  <c r="L132"/>
  <c r="T148"/>
  <c r="K128"/>
  <c r="I148"/>
  <c r="H154"/>
  <c r="H143"/>
  <c r="I134"/>
  <c r="H123"/>
  <c r="H136"/>
  <c r="G139"/>
  <c r="G130"/>
  <c r="R127" i="9"/>
  <c r="P132"/>
  <c r="O129"/>
  <c r="L142"/>
  <c r="R146"/>
  <c r="O127"/>
  <c r="L127"/>
  <c r="R130"/>
  <c r="P129"/>
  <c r="O131"/>
  <c r="L145"/>
  <c r="R152"/>
  <c r="R128"/>
  <c r="Q157"/>
  <c r="Q135"/>
  <c r="P151"/>
  <c r="P131"/>
  <c r="O145"/>
  <c r="O128"/>
  <c r="N141"/>
  <c r="M158"/>
  <c r="M136"/>
  <c r="L147"/>
  <c r="L123"/>
  <c r="J141"/>
  <c r="I158"/>
  <c r="I136"/>
  <c r="H152"/>
  <c r="H132"/>
  <c r="H112"/>
  <c r="Q155" i="10"/>
  <c r="Q140" i="4"/>
  <c r="K153"/>
  <c r="G134"/>
  <c r="Q128" i="8"/>
  <c r="K142" i="4"/>
  <c r="I145"/>
  <c r="M132"/>
  <c r="Q146" i="8"/>
  <c r="T133"/>
  <c r="T113"/>
  <c r="Q124"/>
  <c r="P142"/>
  <c r="O145"/>
  <c r="L141"/>
  <c r="K143"/>
  <c r="I131"/>
  <c r="H140"/>
  <c r="I154"/>
  <c r="G131"/>
  <c r="G147"/>
  <c r="H130"/>
  <c r="P112" i="9"/>
  <c r="O134"/>
  <c r="L133"/>
  <c r="R131"/>
  <c r="O139"/>
  <c r="R122"/>
  <c r="P146"/>
  <c r="R139"/>
  <c r="Q140"/>
  <c r="P144"/>
  <c r="O157"/>
  <c r="O132"/>
  <c r="N136"/>
  <c r="M145"/>
  <c r="J158"/>
  <c r="J132"/>
  <c r="J112"/>
  <c r="I141"/>
  <c r="H145"/>
  <c r="K143"/>
  <c r="P151" i="10"/>
  <c r="P144" i="4"/>
  <c r="U139" i="8"/>
  <c r="M130"/>
  <c r="K158" i="9"/>
  <c r="G153"/>
  <c r="G130"/>
  <c r="K153" i="12"/>
  <c r="I127" i="9"/>
  <c r="J138"/>
  <c r="M127"/>
  <c r="P152"/>
  <c r="O154" i="8"/>
  <c r="U154"/>
  <c r="S158"/>
  <c r="I131" i="9"/>
  <c r="J142"/>
  <c r="Q153"/>
  <c r="M145" i="8"/>
  <c r="Q154"/>
  <c r="S123"/>
  <c r="T139"/>
  <c r="R153" i="4"/>
  <c r="I135" i="9"/>
  <c r="L158"/>
  <c r="N147"/>
  <c r="Q142"/>
  <c r="L157"/>
  <c r="P132" i="10"/>
  <c r="H130"/>
  <c r="T129" i="8"/>
  <c r="P145"/>
  <c r="L146"/>
  <c r="M135" i="9"/>
  <c r="R139" i="4"/>
  <c r="O151"/>
  <c r="O146" i="8"/>
  <c r="G158" i="9"/>
  <c r="I145" i="8"/>
  <c r="Q112" i="9"/>
  <c r="Q105" s="1"/>
  <c r="P135" i="12"/>
  <c r="L133"/>
  <c r="Q121"/>
  <c r="K152"/>
  <c r="G121"/>
  <c r="K138"/>
  <c r="P122" i="10"/>
  <c r="N139" i="4"/>
  <c r="M127"/>
  <c r="I141"/>
  <c r="J128"/>
  <c r="S148" i="8"/>
  <c r="T128"/>
  <c r="P124"/>
  <c r="O136"/>
  <c r="M140"/>
  <c r="L128"/>
  <c r="G148"/>
  <c r="K129"/>
  <c r="H147"/>
  <c r="I130"/>
  <c r="K113"/>
  <c r="R142" i="9"/>
  <c r="P138"/>
  <c r="L122"/>
  <c r="R123"/>
  <c r="O133"/>
  <c r="L131"/>
  <c r="R145"/>
  <c r="P141"/>
  <c r="O138"/>
  <c r="L138"/>
  <c r="R136"/>
  <c r="Q131"/>
  <c r="P140"/>
  <c r="O152"/>
  <c r="N158"/>
  <c r="N132"/>
  <c r="N112"/>
  <c r="M141"/>
  <c r="L139"/>
  <c r="J152"/>
  <c r="J128"/>
  <c r="I132"/>
  <c r="I112"/>
  <c r="H141"/>
  <c r="M143" i="10"/>
  <c r="H156" i="4"/>
  <c r="T146" i="8"/>
  <c r="S154"/>
  <c r="Q158" i="9"/>
  <c r="J133"/>
  <c r="G146"/>
  <c r="K123"/>
  <c r="I153" i="12"/>
  <c r="I142" i="9"/>
  <c r="M146"/>
  <c r="L131" i="8"/>
  <c r="M141"/>
  <c r="P123"/>
  <c r="U128"/>
  <c r="I144" i="9"/>
  <c r="M134"/>
  <c r="P153"/>
  <c r="R144"/>
  <c r="L134" i="8"/>
  <c r="O139"/>
  <c r="S159"/>
  <c r="S139"/>
  <c r="I153" i="4"/>
  <c r="H138" i="9"/>
  <c r="O158"/>
  <c r="R147"/>
  <c r="H144" i="10"/>
  <c r="K133" i="4"/>
  <c r="I158"/>
  <c r="I136"/>
  <c r="L123"/>
  <c r="O133"/>
  <c r="N146"/>
  <c r="G135"/>
  <c r="S128" i="8"/>
  <c r="Q153"/>
  <c r="M131"/>
  <c r="K158"/>
  <c r="I143"/>
  <c r="I123"/>
  <c r="H139"/>
  <c r="R133" i="9"/>
  <c r="P123"/>
  <c r="O146"/>
  <c r="L112"/>
  <c r="L135"/>
  <c r="R140"/>
  <c r="P134"/>
  <c r="O123"/>
  <c r="L129"/>
  <c r="R132"/>
  <c r="Q151"/>
  <c r="Q127"/>
  <c r="P135"/>
  <c r="O141"/>
  <c r="N152"/>
  <c r="N128"/>
  <c r="M132"/>
  <c r="L134"/>
  <c r="K112"/>
  <c r="J145"/>
  <c r="I152"/>
  <c r="I128"/>
  <c r="H136"/>
  <c r="R150" i="10"/>
  <c r="H143"/>
  <c r="L135" i="4"/>
  <c r="Q127"/>
  <c r="T124" i="8"/>
  <c r="P141"/>
  <c r="L123"/>
  <c r="P158" i="9"/>
  <c r="I133"/>
  <c r="M139"/>
  <c r="H153"/>
  <c r="K152"/>
  <c r="Q123"/>
  <c r="H141" i="8"/>
  <c r="L154"/>
  <c r="M154"/>
  <c r="P154"/>
  <c r="U129"/>
  <c r="U145"/>
  <c r="K153" i="9"/>
  <c r="M147"/>
  <c r="S135" i="8"/>
  <c r="U131"/>
  <c r="J135" i="9"/>
  <c r="M142"/>
  <c r="P133"/>
  <c r="Q157" i="10"/>
  <c r="R155"/>
  <c r="M126"/>
  <c r="U141" i="8"/>
  <c r="M134"/>
  <c r="H132"/>
  <c r="I156" i="9"/>
  <c r="N135"/>
  <c r="O147" i="4"/>
  <c r="H159" i="8"/>
  <c r="M137"/>
  <c r="M129" i="9"/>
  <c r="G158" i="8"/>
  <c r="M136"/>
  <c r="L151" i="9"/>
  <c r="M134" i="4"/>
  <c r="I138"/>
  <c r="O148" i="8"/>
  <c r="I139"/>
  <c r="R141" i="9"/>
  <c r="P157"/>
  <c r="M128"/>
  <c r="I157" i="4"/>
  <c r="J123" i="9"/>
  <c r="N151"/>
  <c r="K148" i="8"/>
  <c r="P158"/>
  <c r="T131"/>
  <c r="Q122" i="9"/>
  <c r="P157" i="10"/>
  <c r="S129" i="8"/>
  <c r="Q139" i="4"/>
  <c r="H142" i="8"/>
  <c r="P132"/>
  <c r="M122" i="12"/>
  <c r="J152"/>
  <c r="O121"/>
  <c r="H139"/>
  <c r="G143"/>
  <c r="O156"/>
  <c r="N156"/>
  <c r="M156"/>
  <c r="R126"/>
  <c r="M126"/>
  <c r="K128"/>
  <c r="J128"/>
  <c r="K129"/>
  <c r="J129"/>
  <c r="K130"/>
  <c r="J130"/>
  <c r="N131"/>
  <c r="R132"/>
  <c r="M132"/>
  <c r="R133"/>
  <c r="M133"/>
  <c r="R134"/>
  <c r="Q134"/>
  <c r="O140"/>
  <c r="N140"/>
  <c r="M140"/>
  <c r="O144"/>
  <c r="N144"/>
  <c r="I144"/>
  <c r="N157"/>
  <c r="H121"/>
  <c r="H128"/>
  <c r="H132"/>
  <c r="L138"/>
  <c r="J138"/>
  <c r="G138"/>
  <c r="L141"/>
  <c r="G141"/>
  <c r="P145"/>
  <c r="K145"/>
  <c r="J145"/>
  <c r="I145"/>
  <c r="O158"/>
  <c r="N158"/>
  <c r="M158"/>
  <c r="O122"/>
  <c r="J122"/>
  <c r="Q126"/>
  <c r="Q128"/>
  <c r="Q130"/>
  <c r="Q132"/>
  <c r="P142"/>
  <c r="K142"/>
  <c r="J142"/>
  <c r="I142"/>
  <c r="O146"/>
  <c r="N146"/>
  <c r="M146"/>
  <c r="H151"/>
  <c r="R151"/>
  <c r="M151"/>
  <c r="Q135"/>
  <c r="R135"/>
  <c r="K137"/>
  <c r="R151" i="10"/>
  <c r="J151"/>
  <c r="G138"/>
  <c r="O123" i="4"/>
  <c r="P152" i="8"/>
  <c r="L140" i="9"/>
  <c r="P127"/>
  <c r="O112"/>
  <c r="Q151" i="10"/>
  <c r="O152" i="8"/>
  <c r="M112" i="9"/>
  <c r="J153" i="12"/>
  <c r="K130" i="8"/>
  <c r="S134"/>
  <c r="L144" i="9"/>
  <c r="M158" i="4"/>
  <c r="K139" i="9"/>
  <c r="N150" i="10"/>
  <c r="K154" i="8"/>
  <c r="K135" i="4"/>
  <c r="M129" i="8"/>
  <c r="S147"/>
  <c r="J121" i="12"/>
  <c r="L128"/>
  <c r="I152"/>
  <c r="R121"/>
  <c r="R139"/>
  <c r="P156"/>
  <c r="K156"/>
  <c r="J156"/>
  <c r="I156"/>
  <c r="O126"/>
  <c r="N126"/>
  <c r="O127"/>
  <c r="G128"/>
  <c r="G129"/>
  <c r="G130"/>
  <c r="O132"/>
  <c r="N132"/>
  <c r="O133"/>
  <c r="N133"/>
  <c r="O134"/>
  <c r="N134"/>
  <c r="M134"/>
  <c r="K140"/>
  <c r="J140"/>
  <c r="I140"/>
  <c r="K144"/>
  <c r="J144"/>
  <c r="P157"/>
  <c r="J157"/>
  <c r="L121"/>
  <c r="P128"/>
  <c r="P132"/>
  <c r="H138"/>
  <c r="Q138"/>
  <c r="M138"/>
  <c r="H141"/>
  <c r="R141"/>
  <c r="Q141"/>
  <c r="L145"/>
  <c r="G145"/>
  <c r="P158"/>
  <c r="K158"/>
  <c r="J158"/>
  <c r="I158"/>
  <c r="K122"/>
  <c r="I122"/>
  <c r="I127"/>
  <c r="I129"/>
  <c r="I131"/>
  <c r="I133"/>
  <c r="L142"/>
  <c r="G142"/>
  <c r="P146"/>
  <c r="K146"/>
  <c r="J146"/>
  <c r="I146"/>
  <c r="O151"/>
  <c r="N151"/>
  <c r="I151"/>
  <c r="R137"/>
  <c r="I143" i="9"/>
  <c r="P134" i="10"/>
  <c r="J134"/>
  <c r="G129"/>
  <c r="N134" i="4"/>
  <c r="I142"/>
  <c r="T158" i="8"/>
  <c r="O145" i="4"/>
  <c r="I152"/>
  <c r="U147" i="8"/>
  <c r="H145"/>
  <c r="G134"/>
  <c r="O136" i="9"/>
  <c r="L130"/>
  <c r="J136"/>
  <c r="I145"/>
  <c r="H158"/>
  <c r="R146" i="4"/>
  <c r="Q145" i="9"/>
  <c r="Q145" i="8"/>
  <c r="Q133" i="9"/>
  <c r="S113" i="8"/>
  <c r="U158"/>
  <c r="M150" i="10"/>
  <c r="H122" i="4"/>
  <c r="T154" i="8"/>
  <c r="O144" i="9"/>
  <c r="J156"/>
  <c r="G152"/>
  <c r="H152" i="8"/>
  <c r="G157" i="9"/>
  <c r="L129" i="12"/>
  <c r="G122"/>
  <c r="K121"/>
  <c r="Q139"/>
  <c r="L156"/>
  <c r="G156"/>
  <c r="K126"/>
  <c r="J126"/>
  <c r="N127"/>
  <c r="R128"/>
  <c r="M128"/>
  <c r="R129"/>
  <c r="M129"/>
  <c r="R130"/>
  <c r="M130"/>
  <c r="K132"/>
  <c r="J132"/>
  <c r="K133"/>
  <c r="J133"/>
  <c r="K134"/>
  <c r="J134"/>
  <c r="L140"/>
  <c r="G140"/>
  <c r="P144"/>
  <c r="G144"/>
  <c r="Q144"/>
  <c r="O157"/>
  <c r="M157"/>
  <c r="H126"/>
  <c r="H130"/>
  <c r="H134"/>
  <c r="R138"/>
  <c r="I138"/>
  <c r="O141"/>
  <c r="N141"/>
  <c r="M141"/>
  <c r="H145"/>
  <c r="R145"/>
  <c r="Q145"/>
  <c r="L158"/>
  <c r="G158"/>
  <c r="I121"/>
  <c r="R122"/>
  <c r="Q122"/>
  <c r="Q127"/>
  <c r="Q129"/>
  <c r="Q131"/>
  <c r="Q133"/>
  <c r="H142"/>
  <c r="R142"/>
  <c r="Q142"/>
  <c r="L146"/>
  <c r="G146"/>
  <c r="P151"/>
  <c r="K151"/>
  <c r="J151"/>
  <c r="I135"/>
  <c r="J135"/>
  <c r="G135"/>
  <c r="I144" i="8"/>
  <c r="P126" i="10"/>
  <c r="H151"/>
  <c r="G152" i="4"/>
  <c r="T140" i="8"/>
  <c r="P147"/>
  <c r="Q143" i="10"/>
  <c r="J131"/>
  <c r="R151" i="4"/>
  <c r="M140"/>
  <c r="P136" i="8"/>
  <c r="G152"/>
  <c r="I128"/>
  <c r="M124"/>
  <c r="P127" i="10"/>
  <c r="M127"/>
  <c r="N152" i="4"/>
  <c r="G139"/>
  <c r="T145" i="8"/>
  <c r="Q152"/>
  <c r="L139"/>
  <c r="K123"/>
  <c r="N140" i="9"/>
  <c r="I157"/>
  <c r="L134" i="4"/>
  <c r="I136" i="8"/>
  <c r="J144" i="9"/>
  <c r="K141" i="8"/>
  <c r="N121" i="12"/>
  <c r="N128"/>
  <c r="O131"/>
  <c r="R140"/>
  <c r="R144"/>
  <c r="P126"/>
  <c r="O138"/>
  <c r="J141"/>
  <c r="N145"/>
  <c r="R158"/>
  <c r="N122"/>
  <c r="I132"/>
  <c r="Q151"/>
  <c r="K135"/>
  <c r="S136" i="8"/>
  <c r="I131" i="10"/>
  <c r="G130" i="4"/>
  <c r="S140" i="8"/>
  <c r="I152"/>
  <c r="M113"/>
  <c r="K135"/>
  <c r="J126" i="10"/>
  <c r="R140" i="4"/>
  <c r="U140" i="8"/>
  <c r="K142"/>
  <c r="H124"/>
  <c r="O134"/>
  <c r="O135" i="9"/>
  <c r="R157"/>
  <c r="O153"/>
  <c r="K138"/>
  <c r="J157"/>
  <c r="I122"/>
  <c r="Q146"/>
  <c r="P142"/>
  <c r="N127"/>
  <c r="L152"/>
  <c r="J153"/>
  <c r="O144" i="8"/>
  <c r="K131" i="4"/>
  <c r="L151"/>
  <c r="N144"/>
  <c r="J153"/>
  <c r="M153"/>
  <c r="L132"/>
  <c r="H157" i="10"/>
  <c r="G132"/>
  <c r="K151" i="4"/>
  <c r="R158"/>
  <c r="O142"/>
  <c r="M146" i="10"/>
  <c r="K140"/>
  <c r="P151" i="4"/>
  <c r="K140"/>
  <c r="H157"/>
  <c r="J145"/>
  <c r="Q123" i="8"/>
  <c r="K157"/>
  <c r="G124"/>
  <c r="M143"/>
  <c r="I133"/>
  <c r="L133"/>
  <c r="G129"/>
  <c r="G156" i="4"/>
  <c r="U146" i="8"/>
  <c r="L157"/>
  <c r="I159"/>
  <c r="M159"/>
  <c r="M153"/>
  <c r="K146"/>
  <c r="I146"/>
  <c r="G128"/>
  <c r="L113"/>
  <c r="K127" i="4"/>
  <c r="Q142" i="8"/>
  <c r="O133"/>
  <c r="L135"/>
  <c r="O135"/>
  <c r="H131"/>
  <c r="I132"/>
  <c r="I142"/>
  <c r="Q156" i="9"/>
  <c r="M123"/>
  <c r="H142"/>
  <c r="H135"/>
  <c r="P128"/>
  <c r="M156"/>
  <c r="H127"/>
  <c r="R112"/>
  <c r="G156"/>
  <c r="R151"/>
  <c r="U142" i="8"/>
  <c r="Q137"/>
  <c r="O123"/>
  <c r="L142"/>
  <c r="N138" i="9"/>
  <c r="M122"/>
  <c r="J131"/>
  <c r="H146"/>
  <c r="G147"/>
  <c r="O147"/>
  <c r="K144"/>
  <c r="G144"/>
  <c r="G140"/>
  <c r="G134"/>
  <c r="G123"/>
  <c r="P122"/>
  <c r="I134"/>
  <c r="G133"/>
  <c r="G147" i="4"/>
  <c r="Q131"/>
  <c r="P136"/>
  <c r="P147"/>
  <c r="S130" i="8"/>
  <c r="O132" i="10"/>
  <c r="M137" i="12"/>
  <c r="O137"/>
  <c r="R137" i="10"/>
  <c r="J137"/>
  <c r="P137" i="12"/>
  <c r="Q137" i="10"/>
  <c r="P150"/>
  <c r="P149" s="1"/>
  <c r="L151"/>
  <c r="J150"/>
  <c r="P129" i="4"/>
  <c r="M132" i="10"/>
  <c r="I135" i="8"/>
  <c r="H122" i="10"/>
  <c r="Q152" i="4"/>
  <c r="G146" i="10"/>
  <c r="L141" i="4"/>
  <c r="H139"/>
  <c r="P133"/>
  <c r="L139" i="10"/>
  <c r="H146"/>
  <c r="J141"/>
  <c r="H133" i="4"/>
  <c r="H140"/>
  <c r="K129"/>
  <c r="K155" i="10"/>
  <c r="O146"/>
  <c r="J128"/>
  <c r="O141" i="4"/>
  <c r="L145" i="8"/>
  <c r="O140" i="9"/>
  <c r="N134"/>
  <c r="N130"/>
  <c r="J138" i="10"/>
  <c r="P153" i="8"/>
  <c r="P151" s="1"/>
  <c r="L143" i="12"/>
  <c r="Q156"/>
  <c r="G126"/>
  <c r="O130"/>
  <c r="G132"/>
  <c r="G134"/>
  <c r="M144"/>
  <c r="P130"/>
  <c r="I126"/>
  <c r="I134"/>
  <c r="M142"/>
  <c r="Q146"/>
  <c r="M135"/>
  <c r="T147" i="8"/>
  <c r="P143" i="10"/>
  <c r="G126"/>
  <c r="P130" i="8"/>
  <c r="K136"/>
  <c r="G145"/>
  <c r="K140"/>
  <c r="O151" i="10"/>
  <c r="H129"/>
  <c r="H131" i="4"/>
  <c r="T134" i="8"/>
  <c r="T143"/>
  <c r="P140"/>
  <c r="O158"/>
  <c r="L137"/>
  <c r="K124"/>
  <c r="U130"/>
  <c r="N133" i="9"/>
  <c r="K142"/>
  <c r="K157"/>
  <c r="Q152"/>
  <c r="P145"/>
  <c r="N157"/>
  <c r="L153"/>
  <c r="K130"/>
  <c r="J130"/>
  <c r="H133"/>
  <c r="Q138"/>
  <c r="K145"/>
  <c r="I146"/>
  <c r="M143"/>
  <c r="H151" i="4"/>
  <c r="R144"/>
  <c r="H144"/>
  <c r="P153"/>
  <c r="P150" s="1"/>
  <c r="N153"/>
  <c r="I147"/>
  <c r="P132"/>
  <c r="M157" i="10"/>
  <c r="Q144" i="4"/>
  <c r="G158"/>
  <c r="P142"/>
  <c r="J157" i="10"/>
  <c r="H140"/>
  <c r="N151" i="4"/>
  <c r="K157"/>
  <c r="G145"/>
  <c r="Q134" i="8"/>
  <c r="H148"/>
  <c r="Q132"/>
  <c r="O143"/>
  <c r="P133"/>
  <c r="G133"/>
  <c r="I129"/>
  <c r="L146" i="4"/>
  <c r="U132" i="8"/>
  <c r="U143"/>
  <c r="L143"/>
  <c r="G159"/>
  <c r="O159"/>
  <c r="T153"/>
  <c r="S146"/>
  <c r="P146"/>
  <c r="I113"/>
  <c r="P127" i="4"/>
  <c r="U124" i="8"/>
  <c r="M133"/>
  <c r="M135"/>
  <c r="T135"/>
  <c r="K131"/>
  <c r="M142"/>
  <c r="G140"/>
  <c r="R156" i="9"/>
  <c r="Q128"/>
  <c r="M131"/>
  <c r="K156"/>
  <c r="H123"/>
  <c r="O156"/>
  <c r="L128"/>
  <c r="R134"/>
  <c r="H156"/>
  <c r="G151"/>
  <c r="T142" i="8"/>
  <c r="P128"/>
  <c r="M132"/>
  <c r="L130"/>
  <c r="I141"/>
  <c r="P136" i="9"/>
  <c r="M151"/>
  <c r="K127"/>
  <c r="J122"/>
  <c r="H130"/>
  <c r="I147"/>
  <c r="P147"/>
  <c r="H144"/>
  <c r="G141"/>
  <c r="H122"/>
  <c r="H134"/>
  <c r="O130"/>
  <c r="J134"/>
  <c r="I129"/>
  <c r="K131"/>
  <c r="I143" i="10"/>
  <c r="O131" i="4"/>
  <c r="K132" i="9"/>
  <c r="Q135" i="4"/>
  <c r="L122"/>
  <c r="G128" i="10"/>
  <c r="I122" i="4"/>
  <c r="R141"/>
  <c r="J135"/>
  <c r="O147" i="8"/>
  <c r="L131" i="4"/>
  <c r="G142" i="9"/>
  <c r="Q137" i="12"/>
  <c r="L137"/>
  <c r="K137" i="10"/>
  <c r="P137"/>
  <c r="H137" i="12"/>
  <c r="Q134" i="4"/>
  <c r="H128" i="9"/>
  <c r="T136" i="8"/>
  <c r="J127" i="9"/>
  <c r="I123"/>
  <c r="O113" i="8"/>
  <c r="P152" i="12"/>
  <c r="H156"/>
  <c r="O129"/>
  <c r="N130"/>
  <c r="Q140"/>
  <c r="K157"/>
  <c r="P134"/>
  <c r="P141"/>
  <c r="I141"/>
  <c r="M145"/>
  <c r="Q158"/>
  <c r="I128"/>
  <c r="O142"/>
  <c r="H146"/>
  <c r="L151"/>
  <c r="L150" s="1"/>
  <c r="P131" i="10"/>
  <c r="U152" i="8"/>
  <c r="P139"/>
  <c r="O142"/>
  <c r="M145" i="10"/>
  <c r="J151" i="4"/>
  <c r="T157" i="8"/>
  <c r="I137"/>
  <c r="K145"/>
  <c r="L124"/>
  <c r="N151" i="10"/>
  <c r="J144"/>
  <c r="T130" i="8"/>
  <c r="T137"/>
  <c r="P134"/>
  <c r="O130"/>
  <c r="I158"/>
  <c r="K139"/>
  <c r="N122" i="9"/>
  <c r="K133"/>
  <c r="J146"/>
  <c r="Q139"/>
  <c r="P130"/>
  <c r="N146"/>
  <c r="M157"/>
  <c r="I153"/>
  <c r="G128"/>
  <c r="K147" i="8"/>
  <c r="R153" i="9"/>
  <c r="Q130"/>
  <c r="N153"/>
  <c r="M153"/>
  <c r="K136"/>
  <c r="I138"/>
  <c r="H157"/>
  <c r="K136" i="4"/>
  <c r="G151"/>
  <c r="M151"/>
  <c r="I144"/>
  <c r="G153"/>
  <c r="Q153"/>
  <c r="K147"/>
  <c r="Q132"/>
  <c r="R146" i="10"/>
  <c r="O144" i="4"/>
  <c r="J144"/>
  <c r="Q158"/>
  <c r="J152" i="10"/>
  <c r="G134"/>
  <c r="M144" i="4"/>
  <c r="L157"/>
  <c r="J157"/>
  <c r="K141"/>
  <c r="H157" i="8"/>
  <c r="M148"/>
  <c r="P143"/>
  <c r="H129"/>
  <c r="L129"/>
  <c r="Q146" i="4"/>
  <c r="O157" i="8"/>
  <c r="P159"/>
  <c r="K159"/>
  <c r="I153"/>
  <c r="H153"/>
  <c r="G146"/>
  <c r="G142"/>
  <c r="I135" i="4"/>
  <c r="J122"/>
  <c r="U134" i="8"/>
  <c r="H135"/>
  <c r="O131"/>
  <c r="L140"/>
  <c r="G137"/>
  <c r="R138" i="9"/>
  <c r="M138"/>
  <c r="K128"/>
  <c r="J140"/>
  <c r="K135"/>
  <c r="R129"/>
  <c r="O142"/>
  <c r="H140"/>
  <c r="H131"/>
  <c r="L132"/>
  <c r="L156"/>
  <c r="H151"/>
  <c r="M123" i="8"/>
  <c r="I124"/>
  <c r="Q129" i="9"/>
  <c r="O151"/>
  <c r="N123"/>
  <c r="M140"/>
  <c r="K140"/>
  <c r="J151"/>
  <c r="J147"/>
  <c r="Q147"/>
  <c r="M144"/>
  <c r="K141"/>
  <c r="G139"/>
  <c r="G129"/>
  <c r="K134"/>
  <c r="J129"/>
  <c r="G145"/>
  <c r="G122"/>
  <c r="G112"/>
  <c r="S112" s="1"/>
  <c r="T112" s="1"/>
  <c r="N143"/>
  <c r="P139" i="4"/>
  <c r="Q123"/>
  <c r="R135"/>
  <c r="Q139" i="8"/>
  <c r="Q136" i="9"/>
  <c r="M122" i="4"/>
  <c r="H135"/>
  <c r="K122"/>
  <c r="M147" i="8"/>
  <c r="O130" i="4"/>
  <c r="G157"/>
  <c r="H138"/>
  <c r="G137" i="12"/>
  <c r="H137" i="10"/>
  <c r="M137"/>
  <c r="G137"/>
  <c r="J137" i="12"/>
  <c r="L150" i="10"/>
  <c r="O152" i="4"/>
  <c r="U133" i="8"/>
  <c r="N139" i="9"/>
  <c r="P143"/>
  <c r="N142" i="4"/>
  <c r="G155" i="10"/>
  <c r="N145"/>
  <c r="Q136" i="4"/>
  <c r="L158"/>
  <c r="M152"/>
  <c r="R152"/>
  <c r="K145"/>
  <c r="O141" i="10"/>
  <c r="P128"/>
  <c r="M138"/>
  <c r="R130" i="4"/>
  <c r="O134" i="10"/>
  <c r="K152"/>
  <c r="O144"/>
  <c r="G122"/>
  <c r="J127" i="4"/>
  <c r="S141" i="8"/>
  <c r="N129" i="4"/>
  <c r="Q153" i="12"/>
  <c r="Q150" s="1"/>
  <c r="N139"/>
  <c r="G157"/>
  <c r="H131"/>
  <c r="L127"/>
  <c r="H152"/>
  <c r="K139"/>
  <c r="N143"/>
  <c r="H157"/>
  <c r="P129"/>
  <c r="R153"/>
  <c r="L126"/>
  <c r="N152"/>
  <c r="G139"/>
  <c r="J143"/>
  <c r="M127"/>
  <c r="H127" i="10"/>
  <c r="Q127"/>
  <c r="R156"/>
  <c r="H156"/>
  <c r="Q144"/>
  <c r="I137"/>
  <c r="N121"/>
  <c r="Q121"/>
  <c r="G152"/>
  <c r="J132"/>
  <c r="L132"/>
  <c r="K134"/>
  <c r="H134"/>
  <c r="J140"/>
  <c r="I140"/>
  <c r="L143"/>
  <c r="K150"/>
  <c r="H150"/>
  <c r="Q129"/>
  <c r="I135"/>
  <c r="I126"/>
  <c r="I141"/>
  <c r="Q141"/>
  <c r="Q122"/>
  <c r="Q146"/>
  <c r="Q138"/>
  <c r="G127"/>
  <c r="O127"/>
  <c r="R130"/>
  <c r="Q139"/>
  <c r="K139"/>
  <c r="P141"/>
  <c r="G141"/>
  <c r="H145"/>
  <c r="N156"/>
  <c r="K131"/>
  <c r="K138"/>
  <c r="R132"/>
  <c r="R126"/>
  <c r="K135"/>
  <c r="J135"/>
  <c r="G130"/>
  <c r="Q133"/>
  <c r="L133"/>
  <c r="P133"/>
  <c r="O124" i="8"/>
  <c r="H143" i="12"/>
  <c r="K127"/>
  <c r="P122"/>
  <c r="L18" i="9"/>
  <c r="L11" s="1"/>
  <c r="L10" s="1"/>
  <c r="H18"/>
  <c r="H11" s="1"/>
  <c r="H10" s="1"/>
  <c r="R18"/>
  <c r="R11" s="1"/>
  <c r="R10" s="1"/>
  <c r="R138" i="10"/>
  <c r="K126"/>
  <c r="O126"/>
  <c r="H155"/>
  <c r="U144" i="8"/>
  <c r="G136" i="4"/>
  <c r="O135"/>
  <c r="Q129"/>
  <c r="Q133"/>
  <c r="N18" i="9"/>
  <c r="N11" s="1"/>
  <c r="N10" s="1"/>
  <c r="Q18" i="8"/>
  <c r="Q11" s="1"/>
  <c r="Q10" s="1"/>
  <c r="CT191" i="6" s="1"/>
  <c r="U18" i="8"/>
  <c r="U11" s="1"/>
  <c r="U10" s="1"/>
  <c r="CW191" i="6" s="1"/>
  <c r="H143" i="4"/>
  <c r="M158" i="8"/>
  <c r="Q136"/>
  <c r="T152"/>
  <c r="M145" i="4"/>
  <c r="K130"/>
  <c r="J141"/>
  <c r="L156"/>
  <c r="M146"/>
  <c r="P138"/>
  <c r="Q113" i="8"/>
  <c r="P128" i="4"/>
  <c r="P145" i="10"/>
  <c r="O152"/>
  <c r="O149" s="1"/>
  <c r="P155"/>
  <c r="H142"/>
  <c r="Q138" i="4"/>
  <c r="N131" i="10"/>
  <c r="I129" i="4"/>
  <c r="K152"/>
  <c r="G151" i="10"/>
  <c r="O138"/>
  <c r="N122"/>
  <c r="L157"/>
  <c r="P146" i="4"/>
  <c r="G142" i="10"/>
  <c r="P140"/>
  <c r="H144" i="8"/>
  <c r="H129" i="4"/>
  <c r="O156" i="10"/>
  <c r="I137" i="12"/>
  <c r="H143" i="9"/>
  <c r="R134" i="4"/>
  <c r="J139" i="10"/>
  <c r="K144"/>
  <c r="G138" i="9"/>
  <c r="G136"/>
  <c r="K147"/>
  <c r="K132" i="8"/>
  <c r="K151" i="9"/>
  <c r="K150" s="1"/>
  <c r="G135"/>
  <c r="H137" i="8"/>
  <c r="G135"/>
  <c r="K153"/>
  <c r="G136"/>
  <c r="G157"/>
  <c r="L153" i="4"/>
  <c r="G144"/>
  <c r="K146" i="9"/>
  <c r="K122"/>
  <c r="L152" i="4"/>
  <c r="G143" i="10"/>
  <c r="G151" i="12"/>
  <c r="N142"/>
  <c r="H158"/>
  <c r="K141"/>
  <c r="L144"/>
  <c r="M141" i="10"/>
  <c r="G145"/>
  <c r="K145"/>
  <c r="M156"/>
  <c r="K146"/>
  <c r="R122"/>
  <c r="R128"/>
  <c r="O135"/>
  <c r="M135"/>
  <c r="M130"/>
  <c r="M133"/>
  <c r="K133"/>
  <c r="O133"/>
  <c r="T159" i="8"/>
  <c r="R127" i="4"/>
  <c r="M153" i="12"/>
  <c r="O139"/>
  <c r="L130"/>
  <c r="U157" i="8"/>
  <c r="K18" i="9"/>
  <c r="K11" s="1"/>
  <c r="K10" s="1"/>
  <c r="G18"/>
  <c r="S18" s="1"/>
  <c r="T18" s="1"/>
  <c r="M129" i="4"/>
  <c r="O146"/>
  <c r="H131" i="10"/>
  <c r="L155"/>
  <c r="J146"/>
  <c r="L128"/>
  <c r="L142"/>
  <c r="J134" i="4"/>
  <c r="P156"/>
  <c r="R156"/>
  <c r="L140"/>
  <c r="H123"/>
  <c r="M18" i="9"/>
  <c r="M11" s="1"/>
  <c r="M10" s="1"/>
  <c r="P18" i="8"/>
  <c r="P11" s="1"/>
  <c r="P10" s="1"/>
  <c r="CS191" i="6" s="1"/>
  <c r="N143" i="4"/>
  <c r="R142" i="10"/>
  <c r="Q158" i="8"/>
  <c r="G131" i="4"/>
  <c r="N127"/>
  <c r="R123"/>
  <c r="H132"/>
  <c r="R145"/>
  <c r="I133"/>
  <c r="P122"/>
  <c r="L121" i="10"/>
  <c r="Q140" i="8"/>
  <c r="I146" i="4"/>
  <c r="M139"/>
  <c r="L122" i="10"/>
  <c r="G144"/>
  <c r="N146"/>
  <c r="H126"/>
  <c r="G128" i="4"/>
  <c r="H127"/>
  <c r="H138" i="10"/>
  <c r="I156" i="4"/>
  <c r="L146" i="10"/>
  <c r="H128"/>
  <c r="R138" i="4"/>
  <c r="M131" i="10"/>
  <c r="J155"/>
  <c r="Q130" i="4"/>
  <c r="P158"/>
  <c r="L131" i="10"/>
  <c r="L127" i="4"/>
  <c r="I140"/>
  <c r="Q135" i="10"/>
  <c r="Q150"/>
  <c r="N137"/>
  <c r="U123" i="8"/>
  <c r="K156" i="4"/>
  <c r="M146" i="8"/>
  <c r="P144"/>
  <c r="I140" i="9"/>
  <c r="G127"/>
  <c r="Q141"/>
  <c r="H147"/>
  <c r="J139"/>
  <c r="M133"/>
  <c r="O122"/>
  <c r="U137" i="8"/>
  <c r="L146" i="9"/>
  <c r="I151"/>
  <c r="G141" i="8"/>
  <c r="M135" i="4"/>
  <c r="G132" i="8"/>
  <c r="L159"/>
  <c r="Q130"/>
  <c r="Q129"/>
  <c r="L148"/>
  <c r="L142" i="4"/>
  <c r="L144"/>
  <c r="R132"/>
  <c r="O153"/>
  <c r="I151"/>
  <c r="I139" i="9"/>
  <c r="Q132"/>
  <c r="M139" i="8"/>
  <c r="T123"/>
  <c r="L129" i="4"/>
  <c r="M151" i="10"/>
  <c r="O129" i="8"/>
  <c r="S145"/>
  <c r="I130" i="12"/>
  <c r="G133"/>
  <c r="N129"/>
  <c r="R156"/>
  <c r="R143" i="4"/>
  <c r="N142" i="10"/>
  <c r="Q142"/>
  <c r="M143" i="4"/>
  <c r="L143"/>
  <c r="J143"/>
  <c r="G143"/>
  <c r="S144" i="8"/>
  <c r="M142" i="10"/>
  <c r="I143" i="4"/>
  <c r="L144" i="8"/>
  <c r="Q143" i="4"/>
  <c r="I142" i="10"/>
  <c r="T144" i="8"/>
  <c r="G143" i="9"/>
  <c r="O143"/>
  <c r="R143"/>
  <c r="DS350" i="6"/>
  <c r="P142" i="10" s="1"/>
  <c r="CM386" i="6"/>
  <c r="EC217"/>
  <c r="DY217"/>
  <c r="S62" i="11"/>
  <c r="T62"/>
  <c r="L62" i="13"/>
  <c r="K62"/>
  <c r="B151" i="4"/>
  <c r="B151" i="12"/>
  <c r="B113"/>
  <c r="B136"/>
  <c r="B105"/>
  <c r="B159" i="9"/>
  <c r="B51"/>
  <c r="B119" i="8"/>
  <c r="B43"/>
  <c r="B114" i="9"/>
  <c r="B42" i="8"/>
  <c r="B57" i="9"/>
  <c r="B65" i="8"/>
  <c r="B15" i="9"/>
  <c r="B105" i="4"/>
  <c r="B106" i="8"/>
  <c r="B19" i="11"/>
  <c r="B51" i="3"/>
  <c r="B11" i="10"/>
  <c r="B19"/>
  <c r="B58"/>
  <c r="B19" i="4"/>
  <c r="B32"/>
  <c r="B114"/>
  <c r="B120"/>
  <c r="B24" i="8"/>
  <c r="B137"/>
  <c r="B20" i="9"/>
  <c r="B119" i="12"/>
  <c r="B157" i="9"/>
  <c r="B109"/>
  <c r="B136" i="4"/>
  <c r="B109"/>
  <c r="E4" i="1"/>
  <c r="B11" i="11"/>
  <c r="B15" i="3"/>
  <c r="B20"/>
  <c r="B15" i="10"/>
  <c r="B109"/>
  <c r="B23" i="4"/>
  <c r="B15" i="8"/>
  <c r="B20"/>
  <c r="O8" i="9"/>
  <c r="O102" s="1"/>
  <c r="B144" i="12"/>
  <c r="B159"/>
  <c r="B137" i="9"/>
  <c r="B158" i="8"/>
  <c r="B59"/>
  <c r="B136" i="9"/>
  <c r="B26"/>
  <c r="B120"/>
  <c r="B160" i="8"/>
  <c r="L8"/>
  <c r="L103" s="1"/>
  <c r="B15" i="4"/>
  <c r="B105" i="9"/>
  <c r="B156" i="10"/>
  <c r="B117"/>
  <c r="B117" i="12"/>
  <c r="B109"/>
  <c r="G247" i="2"/>
  <c r="B63" i="9"/>
  <c r="B128" i="8"/>
  <c r="B51"/>
  <c r="B127" i="9"/>
  <c r="B66" i="8"/>
  <c r="B65" i="9"/>
  <c r="B138" i="8"/>
  <c r="G8"/>
  <c r="G103" s="1"/>
  <c r="B11" i="4"/>
  <c r="B151" i="9"/>
  <c r="B121" i="8"/>
  <c r="B66" i="11"/>
  <c r="B11" i="3"/>
  <c r="B43"/>
  <c r="B42" i="10"/>
  <c r="B113"/>
  <c r="B126"/>
  <c r="B119"/>
  <c r="B41" i="4"/>
  <c r="B64"/>
  <c r="B11" i="8"/>
  <c r="B142" i="9"/>
  <c r="B140" i="10"/>
  <c r="B139"/>
  <c r="B141" i="9"/>
  <c r="B157" i="8"/>
  <c r="B117" i="9"/>
  <c r="B143" i="12"/>
  <c r="N8" i="9"/>
  <c r="N102" s="1"/>
  <c r="B28"/>
  <c r="B50" i="8"/>
  <c r="B149" i="4"/>
  <c r="B30"/>
  <c r="B46" i="9"/>
  <c r="B125"/>
  <c r="B56" i="4"/>
  <c r="B131" i="10"/>
  <c r="B131" i="9"/>
  <c r="B145" i="8"/>
  <c r="E3" i="1"/>
  <c r="B14" i="11"/>
  <c r="B18"/>
  <c r="B22"/>
  <c r="B36"/>
  <c r="B46"/>
  <c r="B56"/>
  <c r="B31" i="3"/>
  <c r="B18" i="10"/>
  <c r="J8"/>
  <c r="J102" s="1"/>
  <c r="E3" i="4"/>
  <c r="B45"/>
  <c r="B37" i="8"/>
  <c r="B29" i="9"/>
  <c r="B35"/>
  <c r="B40"/>
  <c r="B54"/>
  <c r="I8"/>
  <c r="I102" s="1"/>
  <c r="B150"/>
  <c r="B149" i="12"/>
  <c r="B116"/>
  <c r="G244" i="2"/>
  <c r="R8" i="9"/>
  <c r="R102" s="1"/>
  <c r="B140"/>
  <c r="J8"/>
  <c r="J102" s="1"/>
  <c r="B23"/>
  <c r="B141" i="8"/>
  <c r="B46"/>
  <c r="B22" i="4"/>
  <c r="B132" i="9"/>
  <c r="B31"/>
  <c r="B57" i="8"/>
  <c r="B36" i="4"/>
  <c r="B112" i="10"/>
  <c r="B37" i="11"/>
  <c r="N7" i="3"/>
  <c r="B28"/>
  <c r="B37"/>
  <c r="B46"/>
  <c r="B50"/>
  <c r="B64"/>
  <c r="B14" i="10"/>
  <c r="B30"/>
  <c r="B56"/>
  <c r="B124"/>
  <c r="B148"/>
  <c r="B27" i="4"/>
  <c r="B37"/>
  <c r="B122"/>
  <c r="B14" i="8"/>
  <c r="B23"/>
  <c r="B28"/>
  <c r="B14" i="9"/>
  <c r="B112" i="12"/>
  <c r="B108"/>
  <c r="B149" i="9"/>
  <c r="B47"/>
  <c r="B19"/>
  <c r="B126" i="8"/>
  <c r="B31"/>
  <c r="B62" i="4"/>
  <c r="B18"/>
  <c r="B55" i="9"/>
  <c r="B122"/>
  <c r="B150" i="8"/>
  <c r="B38"/>
  <c r="B121" i="10"/>
  <c r="R8"/>
  <c r="R102" s="1"/>
  <c r="B30" i="11"/>
  <c r="B64"/>
  <c r="B23" i="3"/>
  <c r="B38"/>
  <c r="B47"/>
  <c r="B27" i="10"/>
  <c r="B36"/>
  <c r="B45"/>
  <c r="B49"/>
  <c r="B108"/>
  <c r="B14" i="4"/>
  <c r="B125"/>
  <c r="B140"/>
  <c r="B19" i="8"/>
  <c r="B47"/>
  <c r="B63"/>
  <c r="K8"/>
  <c r="K103" s="1"/>
  <c r="B38" i="9"/>
  <c r="B62"/>
  <c r="J62" i="13"/>
  <c r="G67" i="11"/>
  <c r="Q60"/>
  <c r="P60"/>
  <c r="I62" i="13"/>
  <c r="O6" i="11"/>
  <c r="O20" s="1"/>
  <c r="B157" i="4"/>
  <c r="B25" i="11"/>
  <c r="B41"/>
  <c r="B58"/>
  <c r="B67"/>
  <c r="B12" i="3"/>
  <c r="B16"/>
  <c r="B24"/>
  <c r="B65"/>
  <c r="B23" i="10"/>
  <c r="B63"/>
  <c r="B42" i="4"/>
  <c r="B65"/>
  <c r="B137"/>
  <c r="B145"/>
  <c r="B21" i="8"/>
  <c r="B64"/>
  <c r="B24" i="9"/>
  <c r="G8"/>
  <c r="G102" s="1"/>
  <c r="B118"/>
  <c r="B42" i="11"/>
  <c r="B50"/>
  <c r="B21" i="3"/>
  <c r="B33"/>
  <c r="B66"/>
  <c r="B12" i="10"/>
  <c r="B16"/>
  <c r="B20"/>
  <c r="B32"/>
  <c r="B64"/>
  <c r="G8"/>
  <c r="G102" s="1"/>
  <c r="K8"/>
  <c r="K102" s="1"/>
  <c r="O8"/>
  <c r="O102" s="1"/>
  <c r="B136"/>
  <c r="B157"/>
  <c r="B144"/>
  <c r="B106"/>
  <c r="B20" i="4"/>
  <c r="B25"/>
  <c r="B23" i="11"/>
  <c r="B65"/>
  <c r="B26" i="3"/>
  <c r="B42"/>
  <c r="B59"/>
  <c r="B67"/>
  <c r="B25" i="10"/>
  <c r="B41"/>
  <c r="B65"/>
  <c r="B158"/>
  <c r="B16" i="4"/>
  <c r="B58"/>
  <c r="B63"/>
  <c r="S7"/>
  <c r="S101" s="1"/>
  <c r="W7" i="8"/>
  <c r="W102" s="1"/>
  <c r="B146"/>
  <c r="B16" i="9"/>
  <c r="B21"/>
  <c r="B64"/>
  <c r="K8"/>
  <c r="K102" s="1"/>
  <c r="L143"/>
  <c r="Q143"/>
  <c r="M10" i="4"/>
  <c r="DD191" i="6" s="1"/>
  <c r="K10" i="4"/>
  <c r="DB191" i="6" s="1"/>
  <c r="I10" i="4"/>
  <c r="CZ191" i="6" s="1"/>
  <c r="G10" i="4"/>
  <c r="CX191" i="6" s="1"/>
  <c r="EE217"/>
  <c r="EA217"/>
  <c r="DW217"/>
  <c r="P8" i="3"/>
  <c r="S8" s="1"/>
  <c r="Q144" i="8"/>
  <c r="H107"/>
  <c r="E251" i="2"/>
  <c r="G251" s="1"/>
  <c r="N7" i="11"/>
  <c r="E2" i="13"/>
  <c r="E2" i="12"/>
  <c r="B21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/>
  <c r="DZ217"/>
  <c r="R131" i="4"/>
  <c r="DJ263" i="6"/>
  <c r="E3" i="13"/>
  <c r="E3" i="12"/>
  <c r="H158" i="13"/>
  <c r="R158"/>
  <c r="M158"/>
  <c r="H159"/>
  <c r="R159"/>
  <c r="M159"/>
  <c r="H160"/>
  <c r="R160"/>
  <c r="M160"/>
  <c r="O158"/>
  <c r="I158"/>
  <c r="O159"/>
  <c r="I159"/>
  <c r="N160"/>
  <c r="P158"/>
  <c r="J158"/>
  <c r="P159"/>
  <c r="P160"/>
  <c r="N158"/>
  <c r="N159"/>
  <c r="O160"/>
  <c r="I160"/>
  <c r="J159"/>
  <c r="J160"/>
  <c r="I124"/>
  <c r="K158"/>
  <c r="K159"/>
  <c r="K160"/>
  <c r="Q124"/>
  <c r="L158"/>
  <c r="G158"/>
  <c r="Q158"/>
  <c r="L159"/>
  <c r="G159"/>
  <c r="Q159"/>
  <c r="L160"/>
  <c r="G160"/>
  <c r="Q160"/>
  <c r="E4"/>
  <c r="E4" i="12"/>
  <c r="CX5" i="6"/>
  <c r="CX4" s="1"/>
  <c r="DF5"/>
  <c r="DF4" s="1"/>
  <c r="Q58" i="8"/>
  <c r="S49" i="10"/>
  <c r="T49" s="1"/>
  <c r="N57"/>
  <c r="K57"/>
  <c r="Q57"/>
  <c r="U58" i="8"/>
  <c r="P58"/>
  <c r="K58"/>
  <c r="R56" i="9"/>
  <c r="Q56"/>
  <c r="N56"/>
  <c r="I56"/>
  <c r="J16" i="8"/>
  <c r="J12"/>
  <c r="N17"/>
  <c r="R19"/>
  <c r="R14"/>
  <c r="V20"/>
  <c r="V15"/>
  <c r="L57" i="12"/>
  <c r="P57"/>
  <c r="O57" i="10"/>
  <c r="J57" i="12"/>
  <c r="N57"/>
  <c r="R57"/>
  <c r="M57" i="10"/>
  <c r="I57"/>
  <c r="G58" i="8"/>
  <c r="P11" i="10"/>
  <c r="P10" s="1"/>
  <c r="J42"/>
  <c r="N114" i="9"/>
  <c r="P31" i="10"/>
  <c r="O42"/>
  <c r="K42"/>
  <c r="W23" i="8"/>
  <c r="X23" s="1"/>
  <c r="T58"/>
  <c r="Q43" i="9"/>
  <c r="L43"/>
  <c r="K56"/>
  <c r="W49" i="8"/>
  <c r="X49" s="1"/>
  <c r="W29"/>
  <c r="X29" s="1"/>
  <c r="W52"/>
  <c r="X52" s="1"/>
  <c r="W35"/>
  <c r="X35" s="1"/>
  <c r="P43"/>
  <c r="O42" i="4"/>
  <c r="O29" s="1"/>
  <c r="O30" s="1"/>
  <c r="L11" i="12"/>
  <c r="L10" s="1"/>
  <c r="J11"/>
  <c r="J10" s="1"/>
  <c r="R11"/>
  <c r="R10" s="1"/>
  <c r="L31"/>
  <c r="K31"/>
  <c r="J31"/>
  <c r="R31"/>
  <c r="L42"/>
  <c r="K42"/>
  <c r="N42"/>
  <c r="L58" i="8"/>
  <c r="N14"/>
  <c r="R15"/>
  <c r="K57" i="12"/>
  <c r="O57"/>
  <c r="T115" i="8"/>
  <c r="S41" i="10"/>
  <c r="T41" s="1"/>
  <c r="S40"/>
  <c r="T40" s="1"/>
  <c r="W53" i="8"/>
  <c r="X53" s="1"/>
  <c r="W36"/>
  <c r="X36" s="1"/>
  <c r="W25"/>
  <c r="X25" s="1"/>
  <c r="W28"/>
  <c r="X28" s="1"/>
  <c r="W51"/>
  <c r="X51" s="1"/>
  <c r="W34"/>
  <c r="X34" s="1"/>
  <c r="J19"/>
  <c r="K43"/>
  <c r="R17"/>
  <c r="V17"/>
  <c r="K42" i="4"/>
  <c r="K29" s="1"/>
  <c r="K30" s="1"/>
  <c r="P11" i="12"/>
  <c r="P10" s="1"/>
  <c r="O11"/>
  <c r="O10" s="1"/>
  <c r="N11"/>
  <c r="N10" s="1"/>
  <c r="M11"/>
  <c r="M10" s="1"/>
  <c r="P31"/>
  <c r="M42"/>
  <c r="P42"/>
  <c r="R42"/>
  <c r="S21"/>
  <c r="T21" s="1"/>
  <c r="S15" i="10"/>
  <c r="T15" s="1"/>
  <c r="O31"/>
  <c r="S45"/>
  <c r="T45" s="1"/>
  <c r="W22" i="8"/>
  <c r="X22" s="1"/>
  <c r="S64" i="10"/>
  <c r="T64" s="1"/>
  <c r="J57"/>
  <c r="H32" i="9"/>
  <c r="S29"/>
  <c r="T29" s="1"/>
  <c r="S54" i="10"/>
  <c r="T54" s="1"/>
  <c r="I11"/>
  <c r="I10" s="1"/>
  <c r="S46"/>
  <c r="T46" s="1"/>
  <c r="W24" i="8"/>
  <c r="X24" s="1"/>
  <c r="M32" i="9"/>
  <c r="J32"/>
  <c r="S15"/>
  <c r="T15" s="1"/>
  <c r="H43" i="8"/>
  <c r="K32"/>
  <c r="W59"/>
  <c r="X59" s="1"/>
  <c r="S59" i="10"/>
  <c r="T59" s="1"/>
  <c r="P32" i="9"/>
  <c r="J43"/>
  <c r="S62"/>
  <c r="T62" s="1"/>
  <c r="W54" i="8"/>
  <c r="X54" s="1"/>
  <c r="T43"/>
  <c r="S45" i="4"/>
  <c r="T45" s="1"/>
  <c r="G42"/>
  <c r="G29" s="1"/>
  <c r="CX192" i="6" s="1"/>
  <c r="H57" i="10"/>
  <c r="S58" i="8"/>
  <c r="M58"/>
  <c r="H58"/>
  <c r="L11" i="10"/>
  <c r="L10" s="1"/>
  <c r="S63"/>
  <c r="T63" s="1"/>
  <c r="G11"/>
  <c r="G10" s="1"/>
  <c r="S22" i="9"/>
  <c r="T22" s="1"/>
  <c r="R32"/>
  <c r="S46"/>
  <c r="T46" s="1"/>
  <c r="S44"/>
  <c r="T44" s="1"/>
  <c r="G32"/>
  <c r="I32" i="8"/>
  <c r="P32"/>
  <c r="M31" i="10"/>
  <c r="S46" i="4"/>
  <c r="T46" s="1"/>
  <c r="M31" i="12"/>
  <c r="S14" i="10"/>
  <c r="T14" s="1"/>
  <c r="S58"/>
  <c r="T58" s="1"/>
  <c r="S38" i="9"/>
  <c r="T38" s="1"/>
  <c r="W50" i="8"/>
  <c r="X50" s="1"/>
  <c r="O31" i="12"/>
  <c r="S43" i="4"/>
  <c r="T43" s="1"/>
  <c r="M113" i="12"/>
  <c r="S53" i="10"/>
  <c r="T53" s="1"/>
  <c r="O32" i="9"/>
  <c r="S50"/>
  <c r="T50" s="1"/>
  <c r="I32"/>
  <c r="S40"/>
  <c r="T40" s="1"/>
  <c r="S16"/>
  <c r="T16" s="1"/>
  <c r="S48"/>
  <c r="T48" s="1"/>
  <c r="S43" i="8"/>
  <c r="S44" i="4"/>
  <c r="T44" s="1"/>
  <c r="S12" i="10"/>
  <c r="T12" s="1"/>
  <c r="G57"/>
  <c r="G113" i="12"/>
  <c r="J105" i="10"/>
  <c r="S21"/>
  <c r="T21" s="1"/>
  <c r="S23"/>
  <c r="T23" s="1"/>
  <c r="R31"/>
  <c r="R11"/>
  <c r="R10" s="1"/>
  <c r="Q31"/>
  <c r="Q11"/>
  <c r="Q10" s="1"/>
  <c r="R42"/>
  <c r="O11"/>
  <c r="O10" s="1"/>
  <c r="S13"/>
  <c r="T13" s="1"/>
  <c r="S48"/>
  <c r="T48" s="1"/>
  <c r="L42"/>
  <c r="L31"/>
  <c r="S37"/>
  <c r="T37" s="1"/>
  <c r="K31"/>
  <c r="S24"/>
  <c r="T24" s="1"/>
  <c r="S16"/>
  <c r="T16" s="1"/>
  <c r="S36"/>
  <c r="T36" s="1"/>
  <c r="J11"/>
  <c r="J10" s="1"/>
  <c r="I42"/>
  <c r="S39"/>
  <c r="T39" s="1"/>
  <c r="I31"/>
  <c r="S25"/>
  <c r="T25" s="1"/>
  <c r="S17"/>
  <c r="T17" s="1"/>
  <c r="S50"/>
  <c r="T50" s="1"/>
  <c r="H42"/>
  <c r="S33"/>
  <c r="T33" s="1"/>
  <c r="S26"/>
  <c r="T26" s="1"/>
  <c r="S18"/>
  <c r="T18" s="1"/>
  <c r="H11"/>
  <c r="H10" s="1"/>
  <c r="S62"/>
  <c r="T62" s="1"/>
  <c r="P57"/>
  <c r="L57"/>
  <c r="S52"/>
  <c r="T52" s="1"/>
  <c r="S47"/>
  <c r="T47" s="1"/>
  <c r="G42"/>
  <c r="S38"/>
  <c r="T38" s="1"/>
  <c r="G31"/>
  <c r="S27"/>
  <c r="T27" s="1"/>
  <c r="W21" i="8"/>
  <c r="X21" s="1"/>
  <c r="O58"/>
  <c r="W65"/>
  <c r="X65" s="1"/>
  <c r="I58"/>
  <c r="W63"/>
  <c r="X63" s="1"/>
  <c r="S21" i="9"/>
  <c r="T21" s="1"/>
  <c r="S23"/>
  <c r="T23" s="1"/>
  <c r="S24"/>
  <c r="T24" s="1"/>
  <c r="R43"/>
  <c r="P56"/>
  <c r="O56"/>
  <c r="O43"/>
  <c r="N43"/>
  <c r="M56"/>
  <c r="M43"/>
  <c r="L56"/>
  <c r="L32"/>
  <c r="N32"/>
  <c r="K32"/>
  <c r="J56"/>
  <c r="S41"/>
  <c r="T41" s="1"/>
  <c r="S26"/>
  <c r="T26" s="1"/>
  <c r="S17"/>
  <c r="T17" s="1"/>
  <c r="S53"/>
  <c r="T53" s="1"/>
  <c r="I43"/>
  <c r="H56"/>
  <c r="H43"/>
  <c r="S39"/>
  <c r="T39" s="1"/>
  <c r="S35"/>
  <c r="T35" s="1"/>
  <c r="S28"/>
  <c r="T28" s="1"/>
  <c r="S64"/>
  <c r="T64" s="1"/>
  <c r="S58"/>
  <c r="T58" s="1"/>
  <c r="S51"/>
  <c r="T51" s="1"/>
  <c r="S47"/>
  <c r="T47" s="1"/>
  <c r="S42"/>
  <c r="T42" s="1"/>
  <c r="S34"/>
  <c r="T34" s="1"/>
  <c r="S27"/>
  <c r="T27" s="1"/>
  <c r="S19"/>
  <c r="T19" s="1"/>
  <c r="S14"/>
  <c r="T14" s="1"/>
  <c r="W48" i="8"/>
  <c r="X48" s="1"/>
  <c r="G43"/>
  <c r="W39"/>
  <c r="X39" s="1"/>
  <c r="G32"/>
  <c r="J20"/>
  <c r="J15"/>
  <c r="W55"/>
  <c r="X55" s="1"/>
  <c r="W47"/>
  <c r="X47" s="1"/>
  <c r="W42"/>
  <c r="X42" s="1"/>
  <c r="W38"/>
  <c r="X38" s="1"/>
  <c r="H32"/>
  <c r="W27"/>
  <c r="X27" s="1"/>
  <c r="I43"/>
  <c r="W41"/>
  <c r="X41" s="1"/>
  <c r="W37"/>
  <c r="X37" s="1"/>
  <c r="W33"/>
  <c r="X33" s="1"/>
  <c r="W26"/>
  <c r="X26" s="1"/>
  <c r="J17"/>
  <c r="J13"/>
  <c r="W45"/>
  <c r="X45" s="1"/>
  <c r="N16"/>
  <c r="L43"/>
  <c r="L32"/>
  <c r="N20"/>
  <c r="N15"/>
  <c r="M32"/>
  <c r="N19"/>
  <c r="O43"/>
  <c r="O32"/>
  <c r="R13"/>
  <c r="R16"/>
  <c r="R12"/>
  <c r="Q43"/>
  <c r="Q32"/>
  <c r="R20"/>
  <c r="S32"/>
  <c r="V19"/>
  <c r="V14"/>
  <c r="T32"/>
  <c r="V13"/>
  <c r="U43"/>
  <c r="V16"/>
  <c r="V12"/>
  <c r="N42" i="10"/>
  <c r="N31"/>
  <c r="N11"/>
  <c r="N10" s="1"/>
  <c r="M42"/>
  <c r="M11"/>
  <c r="M10" s="1"/>
  <c r="Q42" i="4"/>
  <c r="Q29" s="1"/>
  <c r="DH192" i="6" s="1"/>
  <c r="DH193" s="1"/>
  <c r="P42" i="4"/>
  <c r="P29" s="1"/>
  <c r="P30" s="1"/>
  <c r="N42"/>
  <c r="N29" s="1"/>
  <c r="N30" s="1"/>
  <c r="M42"/>
  <c r="M29" s="1"/>
  <c r="DD192" i="6" s="1"/>
  <c r="L42" i="4"/>
  <c r="L29" s="1"/>
  <c r="DC192" i="6" s="1"/>
  <c r="J42" i="4"/>
  <c r="J29" s="1"/>
  <c r="J30" s="1"/>
  <c r="I42"/>
  <c r="I29" s="1"/>
  <c r="CZ192" i="6" s="1"/>
  <c r="S47" i="4"/>
  <c r="T47" s="1"/>
  <c r="H42"/>
  <c r="H29" s="1"/>
  <c r="H30" s="1"/>
  <c r="R42"/>
  <c r="R29" s="1"/>
  <c r="R30" s="1"/>
  <c r="Q11" i="12"/>
  <c r="Q10" s="1"/>
  <c r="K11"/>
  <c r="K10" s="1"/>
  <c r="Q31"/>
  <c r="N31"/>
  <c r="J42"/>
  <c r="Q42"/>
  <c r="S54"/>
  <c r="T54" s="1"/>
  <c r="M57"/>
  <c r="Q57"/>
  <c r="S28" i="10"/>
  <c r="T28" s="1"/>
  <c r="S63" i="9"/>
  <c r="T63" s="1"/>
  <c r="S49"/>
  <c r="T49" s="1"/>
  <c r="U32" i="8"/>
  <c r="T11"/>
  <c r="T10" s="1"/>
  <c r="CV191" i="6" s="1"/>
  <c r="S20" i="10"/>
  <c r="T20" s="1"/>
  <c r="P42"/>
  <c r="K11"/>
  <c r="K10" s="1"/>
  <c r="W64" i="8"/>
  <c r="X64" s="1"/>
  <c r="Q32" i="9"/>
  <c r="P43"/>
  <c r="K43"/>
  <c r="S57"/>
  <c r="T57" s="1"/>
  <c r="S37"/>
  <c r="T37" s="1"/>
  <c r="S13"/>
  <c r="T13" s="1"/>
  <c r="S45"/>
  <c r="T45" s="1"/>
  <c r="S36"/>
  <c r="T36" s="1"/>
  <c r="S25"/>
  <c r="T25" s="1"/>
  <c r="S12"/>
  <c r="T12" s="1"/>
  <c r="S52"/>
  <c r="T52" s="1"/>
  <c r="G43"/>
  <c r="S20"/>
  <c r="T20" s="1"/>
  <c r="M43" i="8"/>
  <c r="S32" i="12"/>
  <c r="T32" s="1"/>
  <c r="S45"/>
  <c r="T45" s="1"/>
  <c r="J11" i="9"/>
  <c r="J10" s="1"/>
  <c r="P114" i="4"/>
  <c r="H105" i="9"/>
  <c r="W44" i="8"/>
  <c r="X44" s="1"/>
  <c r="S32" i="10"/>
  <c r="T32" s="1"/>
  <c r="J31"/>
  <c r="S59" i="9"/>
  <c r="T59" s="1"/>
  <c r="S33"/>
  <c r="T33" s="1"/>
  <c r="S19" i="4"/>
  <c r="T19" s="1"/>
  <c r="W60" i="8"/>
  <c r="X60" s="1"/>
  <c r="O114" i="9"/>
  <c r="S44" i="10"/>
  <c r="T44" s="1"/>
  <c r="G56" i="9"/>
  <c r="W46" i="8"/>
  <c r="X46" s="1"/>
  <c r="H31" i="10"/>
  <c r="P114" i="9"/>
  <c r="L8" i="11"/>
  <c r="O32"/>
  <c r="O42" i="12"/>
  <c r="L22" i="11"/>
  <c r="M16"/>
  <c r="L39"/>
  <c r="L44"/>
  <c r="M48"/>
  <c r="L43"/>
  <c r="M37"/>
  <c r="L54"/>
  <c r="L24"/>
  <c r="M26"/>
  <c r="L41"/>
  <c r="M27"/>
  <c r="M14"/>
  <c r="M33"/>
  <c r="L20"/>
  <c r="M38"/>
  <c r="M35"/>
  <c r="M65"/>
  <c r="L25"/>
  <c r="L49"/>
  <c r="M21"/>
  <c r="M18"/>
  <c r="L13"/>
  <c r="L28"/>
  <c r="M23"/>
  <c r="M50"/>
  <c r="L46"/>
  <c r="M19"/>
  <c r="L32"/>
  <c r="M45"/>
  <c r="M40"/>
  <c r="M59"/>
  <c r="M17"/>
  <c r="L12"/>
  <c r="L53"/>
  <c r="L58"/>
  <c r="L15"/>
  <c r="L64"/>
  <c r="R8" i="12"/>
  <c r="R102" s="1"/>
  <c r="H8"/>
  <c r="H102" s="1"/>
  <c r="B54"/>
  <c r="J8"/>
  <c r="J102" s="1"/>
  <c r="M8"/>
  <c r="M102" s="1"/>
  <c r="P8"/>
  <c r="P102" s="1"/>
  <c r="B33" i="13"/>
  <c r="B128"/>
  <c r="B36"/>
  <c r="B131"/>
  <c r="B43"/>
  <c r="B138"/>
  <c r="B45"/>
  <c r="B140"/>
  <c r="B47"/>
  <c r="B142"/>
  <c r="B49"/>
  <c r="B144"/>
  <c r="B55"/>
  <c r="B149"/>
  <c r="G8" i="12"/>
  <c r="G102" s="1"/>
  <c r="O8"/>
  <c r="O102" s="1"/>
  <c r="B7"/>
  <c r="B106" i="13"/>
  <c r="B11"/>
  <c r="B108"/>
  <c r="B13"/>
  <c r="B110"/>
  <c r="B15"/>
  <c r="B17"/>
  <c r="B112"/>
  <c r="B19"/>
  <c r="B114"/>
  <c r="B116"/>
  <c r="B23"/>
  <c r="B118"/>
  <c r="B65"/>
  <c r="B160"/>
  <c r="B27"/>
  <c r="B122"/>
  <c r="B28"/>
  <c r="B123"/>
  <c r="B64"/>
  <c r="B159"/>
  <c r="B31"/>
  <c r="B126"/>
  <c r="B32"/>
  <c r="B127"/>
  <c r="B34"/>
  <c r="B129"/>
  <c r="B35"/>
  <c r="B130"/>
  <c r="B37"/>
  <c r="B132"/>
  <c r="B38"/>
  <c r="B133"/>
  <c r="B44"/>
  <c r="B139"/>
  <c r="B46"/>
  <c r="B141"/>
  <c r="B48"/>
  <c r="B143"/>
  <c r="B58"/>
  <c r="B152"/>
  <c r="B52"/>
  <c r="B147"/>
  <c r="B53"/>
  <c r="B154"/>
  <c r="B61"/>
  <c r="B156"/>
  <c r="I8" i="12"/>
  <c r="I102" s="1"/>
  <c r="L8"/>
  <c r="L102" s="1"/>
  <c r="N8"/>
  <c r="N102" s="1"/>
  <c r="Q8"/>
  <c r="Q102" s="1"/>
  <c r="B10" i="13"/>
  <c r="B105"/>
  <c r="B26"/>
  <c r="B121"/>
  <c r="B39"/>
  <c r="B134"/>
  <c r="B42"/>
  <c r="B137"/>
  <c r="B41"/>
  <c r="B136"/>
  <c r="B57"/>
  <c r="B151"/>
  <c r="B56"/>
  <c r="B150"/>
  <c r="B66"/>
  <c r="B161"/>
  <c r="K8" i="12"/>
  <c r="K102" s="1"/>
  <c r="S7"/>
  <c r="S101" s="1"/>
  <c r="B101"/>
  <c r="B12" i="13"/>
  <c r="B107"/>
  <c r="B14"/>
  <c r="B109"/>
  <c r="B16"/>
  <c r="B111"/>
  <c r="B18"/>
  <c r="B113"/>
  <c r="B20"/>
  <c r="B115"/>
  <c r="B22"/>
  <c r="B117"/>
  <c r="B24"/>
  <c r="B119"/>
  <c r="B25"/>
  <c r="B120"/>
  <c r="B63"/>
  <c r="B158"/>
  <c r="B29"/>
  <c r="B124"/>
  <c r="B30"/>
  <c r="B125"/>
  <c r="B40"/>
  <c r="B135"/>
  <c r="B50"/>
  <c r="B145"/>
  <c r="B59"/>
  <c r="B153"/>
  <c r="B51"/>
  <c r="B146"/>
  <c r="B62"/>
  <c r="B157"/>
  <c r="G271" i="2"/>
  <c r="H11" i="1" s="1"/>
  <c r="S66" i="13"/>
  <c r="T66" s="1"/>
  <c r="G62"/>
  <c r="Q115" i="8"/>
  <c r="O115"/>
  <c r="S35" i="10"/>
  <c r="T35" s="1"/>
  <c r="I113" i="12"/>
  <c r="N113"/>
  <c r="S22" i="10"/>
  <c r="T22" s="1"/>
  <c r="S19"/>
  <c r="T19" s="1"/>
  <c r="S44" i="12"/>
  <c r="T44" s="1"/>
  <c r="I32" i="11"/>
  <c r="N105" i="9"/>
  <c r="J105" i="12"/>
  <c r="J129" i="4"/>
  <c r="L144" i="10"/>
  <c r="P143" i="4"/>
  <c r="R129"/>
  <c r="M121" i="10"/>
  <c r="P148" i="8"/>
  <c r="S124"/>
  <c r="I134" i="4"/>
  <c r="J133"/>
  <c r="K128"/>
  <c r="L136"/>
  <c r="N138" i="10"/>
  <c r="J14" i="8"/>
  <c r="O18"/>
  <c r="R18" s="1"/>
  <c r="N12"/>
  <c r="G18"/>
  <c r="H18"/>
  <c r="H11" s="1"/>
  <c r="H10" s="1"/>
  <c r="CM191" i="6" s="1"/>
  <c r="I18" i="8"/>
  <c r="I11" s="1"/>
  <c r="I10" s="1"/>
  <c r="CN191" i="6" s="1"/>
  <c r="K18" i="8"/>
  <c r="L18"/>
  <c r="L11" s="1"/>
  <c r="L10" s="1"/>
  <c r="CP191" i="6" s="1"/>
  <c r="M18" i="8"/>
  <c r="M11" s="1"/>
  <c r="M10" s="1"/>
  <c r="CQ191" i="6" s="1"/>
  <c r="S151" i="8"/>
  <c r="S37" i="12"/>
  <c r="T37" s="1"/>
  <c r="S11" i="8"/>
  <c r="S10" s="1"/>
  <c r="CU191" i="6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S15" i="12"/>
  <c r="T15" s="1"/>
  <c r="S50"/>
  <c r="T50" s="1"/>
  <c r="M115" i="8"/>
  <c r="S28" i="12"/>
  <c r="T28" s="1"/>
  <c r="S13"/>
  <c r="T13" s="1"/>
  <c r="S34"/>
  <c r="T34" s="1"/>
  <c r="S38"/>
  <c r="T38" s="1"/>
  <c r="S20"/>
  <c r="T20" s="1"/>
  <c r="H11"/>
  <c r="H10" s="1"/>
  <c r="I149" i="10"/>
  <c r="S49" i="12"/>
  <c r="T49" s="1"/>
  <c r="R57" i="10"/>
  <c r="S24" i="12"/>
  <c r="T24" s="1"/>
  <c r="S17"/>
  <c r="T17" s="1"/>
  <c r="Q105" i="4"/>
  <c r="S41" i="12"/>
  <c r="T41" s="1"/>
  <c r="S36"/>
  <c r="T36" s="1"/>
  <c r="I42"/>
  <c r="I52" i="11"/>
  <c r="J114" i="4"/>
  <c r="S63" i="12"/>
  <c r="T63" s="1"/>
  <c r="G31"/>
  <c r="S14"/>
  <c r="T14" s="1"/>
  <c r="S16"/>
  <c r="T16" s="1"/>
  <c r="I11"/>
  <c r="I10" s="1"/>
  <c r="S39"/>
  <c r="T39" s="1"/>
  <c r="S64"/>
  <c r="T64" s="1"/>
  <c r="S33"/>
  <c r="T33" s="1"/>
  <c r="S48"/>
  <c r="T48" s="1"/>
  <c r="H42"/>
  <c r="G57"/>
  <c r="G42"/>
  <c r="S62"/>
  <c r="T62" s="1"/>
  <c r="S51"/>
  <c r="T51" s="1"/>
  <c r="S40"/>
  <c r="T40" s="1"/>
  <c r="S52"/>
  <c r="T52" s="1"/>
  <c r="L105" i="4"/>
  <c r="S18" i="12"/>
  <c r="T18" s="1"/>
  <c r="S27"/>
  <c r="T27" s="1"/>
  <c r="I31"/>
  <c r="S43"/>
  <c r="T43" s="1"/>
  <c r="S47"/>
  <c r="T47" s="1"/>
  <c r="S120"/>
  <c r="T120" s="1"/>
  <c r="Q42" i="10"/>
  <c r="S43"/>
  <c r="T43" s="1"/>
  <c r="S51"/>
  <c r="T51" s="1"/>
  <c r="W121" i="8"/>
  <c r="X121" s="1"/>
  <c r="G105" i="4"/>
  <c r="S105" s="1"/>
  <c r="T105" s="1"/>
  <c r="K114" i="9"/>
  <c r="U115" i="8"/>
  <c r="R114" i="4"/>
  <c r="W40" i="8"/>
  <c r="X40" s="1"/>
  <c r="R113" i="10"/>
  <c r="S26" i="12"/>
  <c r="T26" s="1"/>
  <c r="S22"/>
  <c r="T22" s="1"/>
  <c r="S23"/>
  <c r="T23" s="1"/>
  <c r="S53"/>
  <c r="T53" s="1"/>
  <c r="S46"/>
  <c r="T46" s="1"/>
  <c r="S25"/>
  <c r="T25" s="1"/>
  <c r="J51" i="11"/>
  <c r="S109" i="12"/>
  <c r="T109" s="1"/>
  <c r="S120" i="4"/>
  <c r="T120" s="1"/>
  <c r="M114" i="9"/>
  <c r="S12" i="12"/>
  <c r="T12" s="1"/>
  <c r="G11"/>
  <c r="H57"/>
  <c r="S58"/>
  <c r="T58" s="1"/>
  <c r="S19"/>
  <c r="T19" s="1"/>
  <c r="H31"/>
  <c r="S59"/>
  <c r="T59" s="1"/>
  <c r="I57"/>
  <c r="S35"/>
  <c r="T35" s="1"/>
  <c r="L114" i="9"/>
  <c r="S110"/>
  <c r="T110" s="1"/>
  <c r="H115" i="8"/>
  <c r="Q105" i="12"/>
  <c r="R113"/>
  <c r="H105" i="10"/>
  <c r="J113"/>
  <c r="S34"/>
  <c r="T34" s="1"/>
  <c r="S116"/>
  <c r="T116" s="1"/>
  <c r="I113"/>
  <c r="K105"/>
  <c r="S110" i="12"/>
  <c r="T110" s="1"/>
  <c r="H113"/>
  <c r="P105"/>
  <c r="S106"/>
  <c r="T106" s="1"/>
  <c r="J32" i="11"/>
  <c r="L105" i="10"/>
  <c r="K113"/>
  <c r="R105"/>
  <c r="O105" i="12"/>
  <c r="S116"/>
  <c r="T116" s="1"/>
  <c r="S107"/>
  <c r="T107" s="1"/>
  <c r="Q113" i="10"/>
  <c r="H105" i="12"/>
  <c r="I54" i="11"/>
  <c r="J54"/>
  <c r="I45"/>
  <c r="P113" i="12"/>
  <c r="N13" i="8"/>
  <c r="S111" i="12"/>
  <c r="T111" s="1"/>
  <c r="S117"/>
  <c r="T117" s="1"/>
  <c r="L105"/>
  <c r="J113" l="1"/>
  <c r="G105"/>
  <c r="G104" s="1"/>
  <c r="O150"/>
  <c r="I106" i="8"/>
  <c r="H114" i="4"/>
  <c r="N105" i="10"/>
  <c r="O114" i="4"/>
  <c r="L115" i="8"/>
  <c r="M105" i="9"/>
  <c r="M104" s="1"/>
  <c r="I105"/>
  <c r="I104" s="1"/>
  <c r="N113" i="10"/>
  <c r="S114" i="12"/>
  <c r="T114" s="1"/>
  <c r="P113" i="10"/>
  <c r="R105" i="9"/>
  <c r="U106" i="8"/>
  <c r="S119" i="12"/>
  <c r="T119" s="1"/>
  <c r="Q114" i="9"/>
  <c r="Q104" s="1"/>
  <c r="S117" i="10"/>
  <c r="T117" s="1"/>
  <c r="O113"/>
  <c r="S111"/>
  <c r="T111" s="1"/>
  <c r="S118" i="9"/>
  <c r="T118" s="1"/>
  <c r="P106" i="8"/>
  <c r="P105" s="1"/>
  <c r="W112"/>
  <c r="X112" s="1"/>
  <c r="M105" i="10"/>
  <c r="S109"/>
  <c r="T109" s="1"/>
  <c r="S113" i="9"/>
  <c r="T113" s="1"/>
  <c r="W119" i="8"/>
  <c r="X119" s="1"/>
  <c r="S115" i="10"/>
  <c r="T115" s="1"/>
  <c r="S108" i="4"/>
  <c r="T108" s="1"/>
  <c r="P105" i="10"/>
  <c r="S118"/>
  <c r="T118" s="1"/>
  <c r="J114" i="9"/>
  <c r="W110" i="8"/>
  <c r="X110" s="1"/>
  <c r="R114" i="9"/>
  <c r="S115" i="8"/>
  <c r="M114" i="4"/>
  <c r="S106"/>
  <c r="T106" s="1"/>
  <c r="R105"/>
  <c r="R104" s="1"/>
  <c r="S115"/>
  <c r="T115" s="1"/>
  <c r="M113" i="10"/>
  <c r="G114" i="9"/>
  <c r="S106" i="8"/>
  <c r="S105" s="1"/>
  <c r="K105" i="9"/>
  <c r="K104" s="1"/>
  <c r="J105" i="4"/>
  <c r="J104" s="1"/>
  <c r="Q106" i="8"/>
  <c r="Q105" s="1"/>
  <c r="O106"/>
  <c r="O105" s="1"/>
  <c r="S114" i="10"/>
  <c r="T114" s="1"/>
  <c r="S117" i="4"/>
  <c r="T117" s="1"/>
  <c r="O136" i="10"/>
  <c r="N125"/>
  <c r="P105" i="9"/>
  <c r="P104" s="1"/>
  <c r="S110" i="4"/>
  <c r="T110" s="1"/>
  <c r="I150"/>
  <c r="S108" i="9"/>
  <c r="T108" s="1"/>
  <c r="W109" i="8"/>
  <c r="X109" s="1"/>
  <c r="W111"/>
  <c r="X111" s="1"/>
  <c r="S121" i="9"/>
  <c r="T121" s="1"/>
  <c r="O105" i="10"/>
  <c r="O104" s="1"/>
  <c r="G114" i="4"/>
  <c r="G104" s="1"/>
  <c r="S104" s="1"/>
  <c r="T104" s="1"/>
  <c r="S106" i="10"/>
  <c r="T106" s="1"/>
  <c r="S108"/>
  <c r="T108" s="1"/>
  <c r="S111" i="9"/>
  <c r="T111" s="1"/>
  <c r="W108" i="8"/>
  <c r="X108" s="1"/>
  <c r="N105" i="4"/>
  <c r="N104" s="1"/>
  <c r="G113" i="10"/>
  <c r="S115" i="9"/>
  <c r="T115" s="1"/>
  <c r="S119" i="10"/>
  <c r="T119" s="1"/>
  <c r="S107" i="4"/>
  <c r="T107" s="1"/>
  <c r="M105"/>
  <c r="S119"/>
  <c r="T119" s="1"/>
  <c r="I137"/>
  <c r="O19" i="11"/>
  <c r="P19" s="1"/>
  <c r="O10"/>
  <c r="O151" i="8"/>
  <c r="H138"/>
  <c r="J105" i="9"/>
  <c r="O29" i="10"/>
  <c r="O30" s="1"/>
  <c r="G137" i="4"/>
  <c r="G105" i="10"/>
  <c r="L114" i="4"/>
  <c r="L104" s="1"/>
  <c r="L106" i="8"/>
  <c r="H149" i="10"/>
  <c r="H150" i="12"/>
  <c r="R125"/>
  <c r="I138" i="8"/>
  <c r="L150" i="9"/>
  <c r="S158"/>
  <c r="T158" s="1"/>
  <c r="L137"/>
  <c r="P137"/>
  <c r="P150"/>
  <c r="L150" i="4"/>
  <c r="J137"/>
  <c r="H150" i="9"/>
  <c r="R150"/>
  <c r="Q149" i="10"/>
  <c r="M137" i="4"/>
  <c r="N137"/>
  <c r="L136" i="12"/>
  <c r="H150" i="4"/>
  <c r="U151" i="8"/>
  <c r="Q151"/>
  <c r="K150" i="12"/>
  <c r="N150" i="4"/>
  <c r="S127" i="8"/>
  <c r="P126" i="9"/>
  <c r="P124" s="1"/>
  <c r="P125" s="1"/>
  <c r="M149" i="10"/>
  <c r="W134" i="8"/>
  <c r="X134" s="1"/>
  <c r="J136" i="12"/>
  <c r="U127" i="8"/>
  <c r="K137" i="4"/>
  <c r="R149" i="10"/>
  <c r="I105" i="4"/>
  <c r="P105"/>
  <c r="P104" s="1"/>
  <c r="L105" i="9"/>
  <c r="L104" s="1"/>
  <c r="L151" i="8"/>
  <c r="L136" i="10"/>
  <c r="T106" i="8"/>
  <c r="T105" s="1"/>
  <c r="S116" i="4"/>
  <c r="T116" s="1"/>
  <c r="W118" i="8"/>
  <c r="X118" s="1"/>
  <c r="G106"/>
  <c r="W106" s="1"/>
  <c r="X106" s="1"/>
  <c r="S107" i="10"/>
  <c r="T107" s="1"/>
  <c r="S118" i="4"/>
  <c r="T118" s="1"/>
  <c r="S113"/>
  <c r="T113" s="1"/>
  <c r="O105"/>
  <c r="O104" s="1"/>
  <c r="W122" i="8"/>
  <c r="X122" s="1"/>
  <c r="S119" i="9"/>
  <c r="T119" s="1"/>
  <c r="S116"/>
  <c r="T116" s="1"/>
  <c r="S120"/>
  <c r="T120" s="1"/>
  <c r="K106" i="8"/>
  <c r="K105" s="1"/>
  <c r="W116"/>
  <c r="X116" s="1"/>
  <c r="S109" i="4"/>
  <c r="T109" s="1"/>
  <c r="S121"/>
  <c r="T121" s="1"/>
  <c r="S117" i="9"/>
  <c r="T117" s="1"/>
  <c r="W114" i="8"/>
  <c r="X114" s="1"/>
  <c r="W120"/>
  <c r="X120" s="1"/>
  <c r="I114" i="4"/>
  <c r="Q113" i="12"/>
  <c r="S113" s="1"/>
  <c r="T113" s="1"/>
  <c r="S112" i="10"/>
  <c r="T112" s="1"/>
  <c r="H106" i="8"/>
  <c r="H105" s="1"/>
  <c r="S129" i="10"/>
  <c r="T129" s="1"/>
  <c r="S138" i="8"/>
  <c r="J150" i="9"/>
  <c r="O150"/>
  <c r="G149" i="10"/>
  <c r="K149"/>
  <c r="R126" i="9"/>
  <c r="R137"/>
  <c r="M106" i="8"/>
  <c r="M105" s="1"/>
  <c r="O105" i="9"/>
  <c r="O104" s="1"/>
  <c r="K137"/>
  <c r="O137" i="4"/>
  <c r="I150" i="12"/>
  <c r="S140" i="10"/>
  <c r="T140" s="1"/>
  <c r="M150" i="9"/>
  <c r="W147" i="8"/>
  <c r="X147" s="1"/>
  <c r="L149" i="10"/>
  <c r="K151" i="8"/>
  <c r="T151"/>
  <c r="J150" i="4"/>
  <c r="P150" i="12"/>
  <c r="G150" i="9"/>
  <c r="M126" i="4"/>
  <c r="S132" i="10"/>
  <c r="T132" s="1"/>
  <c r="I136"/>
  <c r="N125" i="12"/>
  <c r="M138" i="8"/>
  <c r="S153" i="4"/>
  <c r="T153" s="1"/>
  <c r="W132" i="8"/>
  <c r="X132" s="1"/>
  <c r="S140" i="9"/>
  <c r="T140" s="1"/>
  <c r="S128" i="10"/>
  <c r="T128" s="1"/>
  <c r="H126" i="4"/>
  <c r="Q138" i="8"/>
  <c r="G126" i="4"/>
  <c r="L125" i="10"/>
  <c r="P126" i="4"/>
  <c r="S155" i="10"/>
  <c r="T155" s="1"/>
  <c r="M125" i="12"/>
  <c r="S143"/>
  <c r="T143" s="1"/>
  <c r="S131"/>
  <c r="T131" s="1"/>
  <c r="R150" i="4"/>
  <c r="G136" i="12"/>
  <c r="S145" i="9"/>
  <c r="T145" s="1"/>
  <c r="S123"/>
  <c r="T123" s="1"/>
  <c r="S131"/>
  <c r="T131" s="1"/>
  <c r="W135" i="8"/>
  <c r="X135" s="1"/>
  <c r="W142"/>
  <c r="X142" s="1"/>
  <c r="W159"/>
  <c r="X159" s="1"/>
  <c r="S147" i="4"/>
  <c r="T147" s="1"/>
  <c r="M150"/>
  <c r="S153" i="9"/>
  <c r="T153" s="1"/>
  <c r="K138" i="8"/>
  <c r="I136" i="12"/>
  <c r="S134" i="9"/>
  <c r="T134" s="1"/>
  <c r="S156"/>
  <c r="T156" s="1"/>
  <c r="K127" i="8"/>
  <c r="K125" s="1"/>
  <c r="K126" s="1"/>
  <c r="L138"/>
  <c r="I127"/>
  <c r="I125" s="1"/>
  <c r="I126" s="1"/>
  <c r="H137" i="4"/>
  <c r="J149" i="10"/>
  <c r="P136" i="12"/>
  <c r="M136"/>
  <c r="I126" i="9"/>
  <c r="H137"/>
  <c r="W133" i="8"/>
  <c r="X133" s="1"/>
  <c r="W128"/>
  <c r="X128" s="1"/>
  <c r="I125" i="10"/>
  <c r="S132" i="12"/>
  <c r="T132" s="1"/>
  <c r="R136"/>
  <c r="S135"/>
  <c r="T135" s="1"/>
  <c r="Q125"/>
  <c r="S134"/>
  <c r="T134" s="1"/>
  <c r="J125"/>
  <c r="J123" s="1"/>
  <c r="J124" s="1"/>
  <c r="S130"/>
  <c r="T130" s="1"/>
  <c r="K125"/>
  <c r="S121"/>
  <c r="T121" s="1"/>
  <c r="H151" i="8"/>
  <c r="S158" i="12"/>
  <c r="T158" s="1"/>
  <c r="J150"/>
  <c r="R150"/>
  <c r="S152" i="9"/>
  <c r="T152" s="1"/>
  <c r="Q150"/>
  <c r="S139" i="10"/>
  <c r="T139" s="1"/>
  <c r="K126" i="9"/>
  <c r="Q126"/>
  <c r="G125" i="12"/>
  <c r="G123" s="1"/>
  <c r="S126"/>
  <c r="T126" s="1"/>
  <c r="H126" i="9"/>
  <c r="H124" s="1"/>
  <c r="H125" s="1"/>
  <c r="S152" i="4"/>
  <c r="T152" s="1"/>
  <c r="G150"/>
  <c r="S133" i="12"/>
  <c r="T133" s="1"/>
  <c r="Q136"/>
  <c r="S141"/>
  <c r="T141" s="1"/>
  <c r="W129" i="8"/>
  <c r="X129" s="1"/>
  <c r="O127"/>
  <c r="S137" i="10"/>
  <c r="T137" s="1"/>
  <c r="P136"/>
  <c r="K150" i="4"/>
  <c r="W152" i="8"/>
  <c r="X152" s="1"/>
  <c r="W157"/>
  <c r="X157" s="1"/>
  <c r="S152" i="12"/>
  <c r="T152" s="1"/>
  <c r="N136"/>
  <c r="W140" i="8"/>
  <c r="X140" s="1"/>
  <c r="G137" i="9"/>
  <c r="S138"/>
  <c r="T138" s="1"/>
  <c r="N126"/>
  <c r="U138" i="8"/>
  <c r="S140" i="12"/>
  <c r="T140" s="1"/>
  <c r="G151" i="8"/>
  <c r="S129" i="12"/>
  <c r="T129" s="1"/>
  <c r="N137" i="9"/>
  <c r="K136" i="12"/>
  <c r="S138"/>
  <c r="T138" s="1"/>
  <c r="S128"/>
  <c r="T128" s="1"/>
  <c r="W154" i="8"/>
  <c r="X154" s="1"/>
  <c r="S132" i="4"/>
  <c r="T132" s="1"/>
  <c r="S141"/>
  <c r="T141" s="1"/>
  <c r="G105" i="9"/>
  <c r="S105" s="1"/>
  <c r="T105" s="1"/>
  <c r="S136" i="4"/>
  <c r="T136" s="1"/>
  <c r="W124" i="8"/>
  <c r="X124" s="1"/>
  <c r="W130"/>
  <c r="X130" s="1"/>
  <c r="Q137" i="9"/>
  <c r="M125" i="10"/>
  <c r="S123" i="4"/>
  <c r="T123" s="1"/>
  <c r="O136" i="12"/>
  <c r="M136" i="10"/>
  <c r="H127" i="8"/>
  <c r="J136" i="10"/>
  <c r="P137" i="4"/>
  <c r="W158" i="8"/>
  <c r="X158" s="1"/>
  <c r="Q136" i="10"/>
  <c r="I125" i="12"/>
  <c r="G138" i="8"/>
  <c r="S139" i="4"/>
  <c r="T139" s="1"/>
  <c r="S142" i="12"/>
  <c r="T142" s="1"/>
  <c r="H125"/>
  <c r="M151" i="8"/>
  <c r="S141" i="9"/>
  <c r="T141" s="1"/>
  <c r="S121" i="10"/>
  <c r="T121" s="1"/>
  <c r="W145" i="8"/>
  <c r="X145" s="1"/>
  <c r="W123"/>
  <c r="X123" s="1"/>
  <c r="S142" i="4"/>
  <c r="T142" s="1"/>
  <c r="S151" i="9"/>
  <c r="T151" s="1"/>
  <c r="S127"/>
  <c r="T127" s="1"/>
  <c r="Q125" i="10"/>
  <c r="S158" i="4"/>
  <c r="T158" s="1"/>
  <c r="R137"/>
  <c r="S146"/>
  <c r="T146" s="1"/>
  <c r="N126"/>
  <c r="S153" i="12"/>
  <c r="T153" s="1"/>
  <c r="S144"/>
  <c r="T144" s="1"/>
  <c r="S151"/>
  <c r="T151" s="1"/>
  <c r="W136" i="8"/>
  <c r="X136" s="1"/>
  <c r="S135" i="9"/>
  <c r="T135" s="1"/>
  <c r="S136"/>
  <c r="T136" s="1"/>
  <c r="R136" i="10"/>
  <c r="S122" i="12"/>
  <c r="T122" s="1"/>
  <c r="P125" i="10"/>
  <c r="K136"/>
  <c r="G136"/>
  <c r="S134"/>
  <c r="T134" s="1"/>
  <c r="N150" i="12"/>
  <c r="S157"/>
  <c r="T157" s="1"/>
  <c r="S129" i="9"/>
  <c r="T129" s="1"/>
  <c r="W131" i="8"/>
  <c r="X131" s="1"/>
  <c r="S157" i="9"/>
  <c r="T157" s="1"/>
  <c r="N150"/>
  <c r="P127" i="8"/>
  <c r="N149" i="10"/>
  <c r="S146" i="12"/>
  <c r="T146" s="1"/>
  <c r="S145"/>
  <c r="T145" s="1"/>
  <c r="T138" i="8"/>
  <c r="S139" i="12"/>
  <c r="T139" s="1"/>
  <c r="Q127" i="8"/>
  <c r="G11" i="9"/>
  <c r="G10" s="1"/>
  <c r="S10" s="1"/>
  <c r="T10" s="1"/>
  <c r="W137" i="8"/>
  <c r="X137" s="1"/>
  <c r="K126" i="4"/>
  <c r="S156"/>
  <c r="T156" s="1"/>
  <c r="S146" i="10"/>
  <c r="T146" s="1"/>
  <c r="S131"/>
  <c r="T131" s="1"/>
  <c r="K125"/>
  <c r="O125"/>
  <c r="O123" s="1"/>
  <c r="S156"/>
  <c r="T156" s="1"/>
  <c r="S146" i="9"/>
  <c r="T146" s="1"/>
  <c r="S145" i="10"/>
  <c r="T145" s="1"/>
  <c r="M127" i="8"/>
  <c r="S138" i="4"/>
  <c r="T138" s="1"/>
  <c r="S135" i="10"/>
  <c r="T135" s="1"/>
  <c r="S151" i="4"/>
  <c r="T151" s="1"/>
  <c r="L137"/>
  <c r="I150" i="9"/>
  <c r="M150" i="12"/>
  <c r="R125" i="10"/>
  <c r="S126"/>
  <c r="T126" s="1"/>
  <c r="S150"/>
  <c r="T150" s="1"/>
  <c r="S152"/>
  <c r="T152" s="1"/>
  <c r="H125"/>
  <c r="L125" i="12"/>
  <c r="S122" i="10"/>
  <c r="T122" s="1"/>
  <c r="H136"/>
  <c r="S130" i="4"/>
  <c r="T130" s="1"/>
  <c r="S122" i="9"/>
  <c r="T122" s="1"/>
  <c r="S147"/>
  <c r="T147" s="1"/>
  <c r="S132"/>
  <c r="T132" s="1"/>
  <c r="M137"/>
  <c r="S135" i="4"/>
  <c r="T135" s="1"/>
  <c r="W153" i="8"/>
  <c r="X153" s="1"/>
  <c r="S157" i="4"/>
  <c r="T157" s="1"/>
  <c r="Q126"/>
  <c r="S144"/>
  <c r="T144" s="1"/>
  <c r="S128" i="9"/>
  <c r="T128" s="1"/>
  <c r="P138" i="8"/>
  <c r="P125" s="1"/>
  <c r="P126" s="1"/>
  <c r="S156" i="12"/>
  <c r="T156" s="1"/>
  <c r="J126" i="9"/>
  <c r="S137" i="12"/>
  <c r="T137" s="1"/>
  <c r="S122" i="4"/>
  <c r="T122" s="1"/>
  <c r="S143" i="10"/>
  <c r="T143" s="1"/>
  <c r="S130" i="9"/>
  <c r="T130" s="1"/>
  <c r="S144"/>
  <c r="T144" s="1"/>
  <c r="W141" i="8"/>
  <c r="X141" s="1"/>
  <c r="L126" i="9"/>
  <c r="L124" s="1"/>
  <c r="L125" s="1"/>
  <c r="M126"/>
  <c r="W146" i="8"/>
  <c r="X146" s="1"/>
  <c r="W143"/>
  <c r="X143" s="1"/>
  <c r="S145" i="4"/>
  <c r="T145" s="1"/>
  <c r="S157" i="10"/>
  <c r="T157" s="1"/>
  <c r="S142" i="9"/>
  <c r="T142" s="1"/>
  <c r="L127" i="8"/>
  <c r="T127"/>
  <c r="G125" i="10"/>
  <c r="P125" i="12"/>
  <c r="O125"/>
  <c r="O137" i="9"/>
  <c r="Q150" i="4"/>
  <c r="S133" i="9"/>
  <c r="T133" s="1"/>
  <c r="J125" i="10"/>
  <c r="J123" s="1"/>
  <c r="J124" s="1"/>
  <c r="G127" i="8"/>
  <c r="G125" s="1"/>
  <c r="G126" s="1"/>
  <c r="S139" i="9"/>
  <c r="T139" s="1"/>
  <c r="S127" i="10"/>
  <c r="T127" s="1"/>
  <c r="S133"/>
  <c r="T133" s="1"/>
  <c r="G126" i="9"/>
  <c r="G150" i="12"/>
  <c r="S144" i="10"/>
  <c r="T144" s="1"/>
  <c r="I151" i="8"/>
  <c r="S127" i="12"/>
  <c r="T127" s="1"/>
  <c r="S141" i="10"/>
  <c r="T141" s="1"/>
  <c r="S127" i="4"/>
  <c r="T127" s="1"/>
  <c r="Q137"/>
  <c r="S140"/>
  <c r="T140" s="1"/>
  <c r="O126"/>
  <c r="S151" i="10"/>
  <c r="T151" s="1"/>
  <c r="O138" i="8"/>
  <c r="O126" i="9"/>
  <c r="O124" s="1"/>
  <c r="O125" s="1"/>
  <c r="O150" i="4"/>
  <c r="S138" i="10"/>
  <c r="T138" s="1"/>
  <c r="S134" i="4"/>
  <c r="T134" s="1"/>
  <c r="I137" i="9"/>
  <c r="H136" i="12"/>
  <c r="S131" i="4"/>
  <c r="T131" s="1"/>
  <c r="W144" i="8"/>
  <c r="X144" s="1"/>
  <c r="S130" i="10"/>
  <c r="T130" s="1"/>
  <c r="W139" i="8"/>
  <c r="X139" s="1"/>
  <c r="W148"/>
  <c r="X148" s="1"/>
  <c r="S142" i="10"/>
  <c r="T142" s="1"/>
  <c r="J137" i="9"/>
  <c r="S133" i="4"/>
  <c r="T133" s="1"/>
  <c r="S143"/>
  <c r="T143" s="1"/>
  <c r="S67" i="11"/>
  <c r="T67"/>
  <c r="T63"/>
  <c r="S63"/>
  <c r="O51"/>
  <c r="Q51" s="1"/>
  <c r="O42"/>
  <c r="Q42" s="1"/>
  <c r="O41"/>
  <c r="Q41" s="1"/>
  <c r="O16"/>
  <c r="Q16" s="1"/>
  <c r="O43"/>
  <c r="P43" s="1"/>
  <c r="O22"/>
  <c r="P22" s="1"/>
  <c r="O21"/>
  <c r="P21" s="1"/>
  <c r="O15"/>
  <c r="P15" s="1"/>
  <c r="O47"/>
  <c r="Q47" s="1"/>
  <c r="O48"/>
  <c r="Q48" s="1"/>
  <c r="O35"/>
  <c r="P35" s="1"/>
  <c r="O58"/>
  <c r="Q58" s="1"/>
  <c r="O38"/>
  <c r="Q38" s="1"/>
  <c r="O18"/>
  <c r="Q18" s="1"/>
  <c r="O39"/>
  <c r="P39" s="1"/>
  <c r="O11"/>
  <c r="P11" s="1"/>
  <c r="O37"/>
  <c r="Q37" s="1"/>
  <c r="O17"/>
  <c r="P17" s="1"/>
  <c r="O44"/>
  <c r="Q44" s="1"/>
  <c r="O28"/>
  <c r="P28" s="1"/>
  <c r="O12"/>
  <c r="Q12" s="1"/>
  <c r="O27"/>
  <c r="Q27" s="1"/>
  <c r="O50"/>
  <c r="P50" s="1"/>
  <c r="O34"/>
  <c r="Q34" s="1"/>
  <c r="O14"/>
  <c r="Q14" s="1"/>
  <c r="O31"/>
  <c r="Q31" s="1"/>
  <c r="O49"/>
  <c r="Q49" s="1"/>
  <c r="O33"/>
  <c r="P33" s="1"/>
  <c r="O13"/>
  <c r="Q13" s="1"/>
  <c r="O40"/>
  <c r="P40" s="1"/>
  <c r="O24"/>
  <c r="Q24" s="1"/>
  <c r="O46"/>
  <c r="P46" s="1"/>
  <c r="O26"/>
  <c r="P26" s="1"/>
  <c r="O59"/>
  <c r="P59" s="1"/>
  <c r="O23"/>
  <c r="P23" s="1"/>
  <c r="O45"/>
  <c r="P45" s="1"/>
  <c r="O25"/>
  <c r="P25" s="1"/>
  <c r="O52"/>
  <c r="Q52" s="1"/>
  <c r="O36"/>
  <c r="P36" s="1"/>
  <c r="T9" i="13"/>
  <c r="T104" s="1"/>
  <c r="T9" i="9"/>
  <c r="T103" s="1"/>
  <c r="E13" i="1"/>
  <c r="X9" i="8"/>
  <c r="X104" s="1"/>
  <c r="T9" i="10"/>
  <c r="T103" s="1"/>
  <c r="T9" i="12"/>
  <c r="T103" s="1"/>
  <c r="T9" i="4"/>
  <c r="T103" s="1"/>
  <c r="S103" i="13"/>
  <c r="W103" i="8"/>
  <c r="S102" i="12"/>
  <c r="S102" i="9"/>
  <c r="S102" i="4"/>
  <c r="S102" i="10"/>
  <c r="G63" i="11"/>
  <c r="O64"/>
  <c r="O66"/>
  <c r="O65"/>
  <c r="W107" i="8"/>
  <c r="X107" s="1"/>
  <c r="L30" i="9"/>
  <c r="L54" s="1"/>
  <c r="L60" s="1"/>
  <c r="L65" s="1"/>
  <c r="L61" s="1"/>
  <c r="T30" i="8"/>
  <c r="T56" s="1"/>
  <c r="T57" s="1"/>
  <c r="S30"/>
  <c r="CU192" i="6" s="1"/>
  <c r="DD193"/>
  <c r="CZ193"/>
  <c r="S143" i="9"/>
  <c r="T143" s="1"/>
  <c r="CX193" i="6"/>
  <c r="DC193"/>
  <c r="H58" i="11"/>
  <c r="H59"/>
  <c r="I59" s="1"/>
  <c r="H60"/>
  <c r="H124" i="13"/>
  <c r="R126" i="4"/>
  <c r="S10"/>
  <c r="T10" s="1"/>
  <c r="Q15" i="11"/>
  <c r="R151" i="13"/>
  <c r="K124"/>
  <c r="K149" s="1"/>
  <c r="G161"/>
  <c r="M151"/>
  <c r="L151"/>
  <c r="R124"/>
  <c r="R125" s="1"/>
  <c r="M124"/>
  <c r="M149" s="1"/>
  <c r="H66" i="11"/>
  <c r="I66" s="1"/>
  <c r="S160" i="13"/>
  <c r="T160" s="1"/>
  <c r="I125"/>
  <c r="I149"/>
  <c r="Q151"/>
  <c r="P124"/>
  <c r="S154"/>
  <c r="T154" s="1"/>
  <c r="O151"/>
  <c r="S143"/>
  <c r="T143" s="1"/>
  <c r="H48" i="11"/>
  <c r="J48" s="1"/>
  <c r="I151" i="13"/>
  <c r="H64" i="11"/>
  <c r="J64" s="1"/>
  <c r="S158" i="13"/>
  <c r="T158" s="1"/>
  <c r="L124"/>
  <c r="P151"/>
  <c r="N151"/>
  <c r="Q125"/>
  <c r="Q149"/>
  <c r="K151"/>
  <c r="H49" i="11"/>
  <c r="I49" s="1"/>
  <c r="S144" i="13"/>
  <c r="T144" s="1"/>
  <c r="O124"/>
  <c r="S152"/>
  <c r="T152" s="1"/>
  <c r="H151"/>
  <c r="S159"/>
  <c r="T159" s="1"/>
  <c r="H65" i="11"/>
  <c r="I65" s="1"/>
  <c r="J151" i="13"/>
  <c r="S153"/>
  <c r="T153" s="1"/>
  <c r="J124"/>
  <c r="N124"/>
  <c r="W17" i="8"/>
  <c r="X17" s="1"/>
  <c r="R29" i="10"/>
  <c r="R30" s="1"/>
  <c r="J30" i="9"/>
  <c r="J31" s="1"/>
  <c r="Q23" i="11"/>
  <c r="K29" i="12"/>
  <c r="K30" s="1"/>
  <c r="M29"/>
  <c r="M30" s="1"/>
  <c r="W14" i="8"/>
  <c r="X14" s="1"/>
  <c r="K29" i="10"/>
  <c r="K30" s="1"/>
  <c r="N29"/>
  <c r="N30" s="1"/>
  <c r="J29"/>
  <c r="J55" s="1"/>
  <c r="J56" s="1"/>
  <c r="G29"/>
  <c r="G55" s="1"/>
  <c r="I29"/>
  <c r="I30" s="1"/>
  <c r="P29" i="12"/>
  <c r="P30" s="1"/>
  <c r="L29"/>
  <c r="L30" s="1"/>
  <c r="DE192" i="6"/>
  <c r="DE193" s="1"/>
  <c r="L30" i="4"/>
  <c r="K30" i="8"/>
  <c r="K31" s="1"/>
  <c r="H55" i="4"/>
  <c r="H56" s="1"/>
  <c r="N104" i="12"/>
  <c r="CY192" i="6"/>
  <c r="CY193" s="1"/>
  <c r="G30" i="4"/>
  <c r="DF192" i="6"/>
  <c r="DF193" s="1"/>
  <c r="O55" i="4"/>
  <c r="O60" s="1"/>
  <c r="G30" i="8"/>
  <c r="G31" s="1"/>
  <c r="G30" i="9"/>
  <c r="G31" s="1"/>
  <c r="P30" i="8"/>
  <c r="P56" s="1"/>
  <c r="P57" s="1"/>
  <c r="N104" i="9"/>
  <c r="Q30"/>
  <c r="Q31" s="1"/>
  <c r="R29" i="12"/>
  <c r="R30" s="1"/>
  <c r="W12" i="8"/>
  <c r="X12" s="1"/>
  <c r="K55" i="4"/>
  <c r="K60" s="1"/>
  <c r="S11" i="10"/>
  <c r="T11" s="1"/>
  <c r="H104" i="4"/>
  <c r="DB192" i="6"/>
  <c r="DB193" s="1"/>
  <c r="N29" i="12"/>
  <c r="N30" s="1"/>
  <c r="L30" i="8"/>
  <c r="CP192" i="6" s="1"/>
  <c r="W15" i="8"/>
  <c r="X15" s="1"/>
  <c r="M55" i="4"/>
  <c r="M60" s="1"/>
  <c r="P29" i="10"/>
  <c r="P55" s="1"/>
  <c r="P56" s="1"/>
  <c r="W19" i="8"/>
  <c r="X19" s="1"/>
  <c r="M29" i="10"/>
  <c r="M30" s="1"/>
  <c r="DG192" i="6"/>
  <c r="DG193" s="1"/>
  <c r="P30" i="9"/>
  <c r="P31" s="1"/>
  <c r="J29" i="12"/>
  <c r="J30" s="1"/>
  <c r="N30" i="9"/>
  <c r="N31" s="1"/>
  <c r="M104" i="12"/>
  <c r="H30" i="9"/>
  <c r="H31" s="1"/>
  <c r="M30"/>
  <c r="M31" s="1"/>
  <c r="J104" i="10"/>
  <c r="O29" i="12"/>
  <c r="O30" s="1"/>
  <c r="DI192" i="6"/>
  <c r="DI193" s="1"/>
  <c r="U30" i="8"/>
  <c r="U31" s="1"/>
  <c r="Q30"/>
  <c r="Q31" s="1"/>
  <c r="L29" i="10"/>
  <c r="L30" s="1"/>
  <c r="Q55" i="4"/>
  <c r="L55"/>
  <c r="Q30"/>
  <c r="W43" i="8"/>
  <c r="X43" s="1"/>
  <c r="W16"/>
  <c r="X16" s="1"/>
  <c r="H30"/>
  <c r="H56" s="1"/>
  <c r="CM193" i="6" s="1"/>
  <c r="S56" i="9"/>
  <c r="T56" s="1"/>
  <c r="S31" i="10"/>
  <c r="T31" s="1"/>
  <c r="S10"/>
  <c r="T10" s="1"/>
  <c r="H29"/>
  <c r="H55" s="1"/>
  <c r="H56" s="1"/>
  <c r="Q29" i="12"/>
  <c r="Q30" s="1"/>
  <c r="O30" i="8"/>
  <c r="O31" s="1"/>
  <c r="W20"/>
  <c r="X20" s="1"/>
  <c r="W32"/>
  <c r="X32" s="1"/>
  <c r="S32" i="9"/>
  <c r="T32" s="1"/>
  <c r="H104"/>
  <c r="I30" i="8"/>
  <c r="CN192" i="6" s="1"/>
  <c r="G55" i="4"/>
  <c r="G56" s="1"/>
  <c r="L11" i="11"/>
  <c r="M30" i="4"/>
  <c r="S29"/>
  <c r="T29" s="1"/>
  <c r="I30"/>
  <c r="I55"/>
  <c r="I60" s="1"/>
  <c r="S43" i="9"/>
  <c r="T43" s="1"/>
  <c r="N55" i="4"/>
  <c r="N60" s="1"/>
  <c r="I105" i="8"/>
  <c r="M30"/>
  <c r="M31" s="1"/>
  <c r="I30" i="9"/>
  <c r="I54" s="1"/>
  <c r="R30"/>
  <c r="R31" s="1"/>
  <c r="W58" i="8"/>
  <c r="X58" s="1"/>
  <c r="O30" i="9"/>
  <c r="O31" s="1"/>
  <c r="W13" i="8"/>
  <c r="X13" s="1"/>
  <c r="P55" i="4"/>
  <c r="P60" s="1"/>
  <c r="S42"/>
  <c r="T42" s="1"/>
  <c r="J55"/>
  <c r="J56" s="1"/>
  <c r="K30" i="9"/>
  <c r="K31" s="1"/>
  <c r="R55" i="4"/>
  <c r="R60" s="1"/>
  <c r="DA192" i="6"/>
  <c r="DA193" s="1"/>
  <c r="M49" i="11"/>
  <c r="L45"/>
  <c r="M54"/>
  <c r="P32"/>
  <c r="M58"/>
  <c r="T18"/>
  <c r="S18"/>
  <c r="K104" i="4"/>
  <c r="M32" i="11"/>
  <c r="L21"/>
  <c r="T21"/>
  <c r="T48"/>
  <c r="S34"/>
  <c r="S15"/>
  <c r="T53"/>
  <c r="S28"/>
  <c r="T52"/>
  <c r="S26"/>
  <c r="L126" i="4"/>
  <c r="T27" i="11"/>
  <c r="T49"/>
  <c r="S33"/>
  <c r="T23"/>
  <c r="T58"/>
  <c r="T45"/>
  <c r="T19"/>
  <c r="S16"/>
  <c r="T41"/>
  <c r="T25"/>
  <c r="S47"/>
  <c r="S19"/>
  <c r="T16"/>
  <c r="S41"/>
  <c r="S62" i="13"/>
  <c r="T62" s="1"/>
  <c r="M42" i="11"/>
  <c r="T57"/>
  <c r="M57"/>
  <c r="S31"/>
  <c r="M31"/>
  <c r="L23"/>
  <c r="T43"/>
  <c r="T59"/>
  <c r="J23"/>
  <c r="S52"/>
  <c r="S54"/>
  <c r="N136" i="10"/>
  <c r="Q104" i="4"/>
  <c r="S51" i="11"/>
  <c r="I126" i="4"/>
  <c r="T38" i="11"/>
  <c r="I46"/>
  <c r="S36"/>
  <c r="I47"/>
  <c r="T24"/>
  <c r="T15"/>
  <c r="J28"/>
  <c r="T34"/>
  <c r="J13"/>
  <c r="S46"/>
  <c r="S13"/>
  <c r="S22"/>
  <c r="S128" i="4"/>
  <c r="T128" s="1"/>
  <c r="S45" i="11"/>
  <c r="I25"/>
  <c r="L37"/>
  <c r="T33"/>
  <c r="I104" i="12"/>
  <c r="S49" i="11"/>
  <c r="L52"/>
  <c r="S57" i="10"/>
  <c r="T57" s="1"/>
  <c r="I27" i="11"/>
  <c r="S129" i="4"/>
  <c r="T129" s="1"/>
  <c r="S35" i="11"/>
  <c r="M28"/>
  <c r="M12"/>
  <c r="J22"/>
  <c r="I36"/>
  <c r="T46"/>
  <c r="S20"/>
  <c r="I44"/>
  <c r="I29" i="12"/>
  <c r="I55" s="1"/>
  <c r="J44" i="11"/>
  <c r="M44"/>
  <c r="I23"/>
  <c r="S11"/>
  <c r="Q20"/>
  <c r="T36"/>
  <c r="T20"/>
  <c r="J15"/>
  <c r="S50"/>
  <c r="M43"/>
  <c r="S40"/>
  <c r="P20"/>
  <c r="S39"/>
  <c r="T39"/>
  <c r="D16" i="1"/>
  <c r="E16" s="1"/>
  <c r="M22" i="11"/>
  <c r="T35"/>
  <c r="L59"/>
  <c r="J24"/>
  <c r="M15"/>
  <c r="J38"/>
  <c r="L17"/>
  <c r="M24"/>
  <c r="I15"/>
  <c r="M25"/>
  <c r="S59"/>
  <c r="M13"/>
  <c r="T50"/>
  <c r="M52"/>
  <c r="J52"/>
  <c r="M46"/>
  <c r="J126" i="4"/>
  <c r="L50" i="11"/>
  <c r="J50"/>
  <c r="H29" i="12"/>
  <c r="H30" s="1"/>
  <c r="O11" i="8"/>
  <c r="O10" s="1"/>
  <c r="CR191" i="6" s="1"/>
  <c r="G11" i="8"/>
  <c r="J18"/>
  <c r="W18"/>
  <c r="X18" s="1"/>
  <c r="N18"/>
  <c r="K11"/>
  <c r="K10" s="1"/>
  <c r="S43" i="11"/>
  <c r="S27"/>
  <c r="I43"/>
  <c r="R104" i="10"/>
  <c r="S23" i="11"/>
  <c r="M53"/>
  <c r="H104" i="10"/>
  <c r="S58" i="11"/>
  <c r="M64"/>
  <c r="G29" i="12"/>
  <c r="S17" i="11"/>
  <c r="T17"/>
  <c r="S24"/>
  <c r="S48"/>
  <c r="T28"/>
  <c r="T47"/>
  <c r="I50"/>
  <c r="S11" i="12"/>
  <c r="T11" s="1"/>
  <c r="R104"/>
  <c r="L27" i="11"/>
  <c r="L18"/>
  <c r="Q29" i="10"/>
  <c r="Q55" s="1"/>
  <c r="Q56" s="1"/>
  <c r="I18" i="11"/>
  <c r="S37"/>
  <c r="P53"/>
  <c r="S53"/>
  <c r="J18"/>
  <c r="T37"/>
  <c r="T51"/>
  <c r="J16"/>
  <c r="M34"/>
  <c r="M20"/>
  <c r="S44"/>
  <c r="L16"/>
  <c r="U105" i="8"/>
  <c r="L36" i="11"/>
  <c r="S42" i="12"/>
  <c r="T42" s="1"/>
  <c r="Q53" i="11"/>
  <c r="S21"/>
  <c r="I53"/>
  <c r="M41"/>
  <c r="J36"/>
  <c r="M47"/>
  <c r="J14"/>
  <c r="T14"/>
  <c r="S42" i="10"/>
  <c r="T42" s="1"/>
  <c r="M36" i="11"/>
  <c r="I41"/>
  <c r="T13"/>
  <c r="I38"/>
  <c r="I12"/>
  <c r="T40"/>
  <c r="S14"/>
  <c r="S32"/>
  <c r="S12"/>
  <c r="T12"/>
  <c r="T32"/>
  <c r="P54"/>
  <c r="Q54"/>
  <c r="L38"/>
  <c r="L40"/>
  <c r="J12"/>
  <c r="Q32"/>
  <c r="L47"/>
  <c r="T22"/>
  <c r="S38"/>
  <c r="J46"/>
  <c r="L26"/>
  <c r="M39"/>
  <c r="J47"/>
  <c r="M66"/>
  <c r="S25"/>
  <c r="T44"/>
  <c r="G7"/>
  <c r="K8"/>
  <c r="K8" i="3"/>
  <c r="S8" i="12"/>
  <c r="S8" i="9"/>
  <c r="E252" i="2"/>
  <c r="F252"/>
  <c r="L48" i="11"/>
  <c r="I26"/>
  <c r="L34"/>
  <c r="T26"/>
  <c r="T54"/>
  <c r="P104" i="12"/>
  <c r="L65" i="11"/>
  <c r="S57" i="12"/>
  <c r="T57" s="1"/>
  <c r="I104" i="10"/>
  <c r="J27" i="11"/>
  <c r="J34"/>
  <c r="I28"/>
  <c r="I34"/>
  <c r="J53"/>
  <c r="M51"/>
  <c r="I35"/>
  <c r="L33"/>
  <c r="I17"/>
  <c r="L66"/>
  <c r="I14"/>
  <c r="S31" i="12"/>
  <c r="T31" s="1"/>
  <c r="G10"/>
  <c r="J41" i="11"/>
  <c r="L14"/>
  <c r="I16"/>
  <c r="L35"/>
  <c r="I39"/>
  <c r="K104" i="12"/>
  <c r="O104"/>
  <c r="J35" i="11"/>
  <c r="H104" i="12"/>
  <c r="Q104" i="10"/>
  <c r="L51" i="11"/>
  <c r="J43"/>
  <c r="K104" i="10"/>
  <c r="I13" i="11"/>
  <c r="J25"/>
  <c r="J45"/>
  <c r="L104" i="10"/>
  <c r="I51" i="11"/>
  <c r="I24"/>
  <c r="L19"/>
  <c r="I22"/>
  <c r="J39"/>
  <c r="J17"/>
  <c r="T11"/>
  <c r="J26"/>
  <c r="I40"/>
  <c r="J40"/>
  <c r="J20"/>
  <c r="I20"/>
  <c r="I37"/>
  <c r="J37"/>
  <c r="J33"/>
  <c r="I33"/>
  <c r="J21"/>
  <c r="I21"/>
  <c r="L104" i="12"/>
  <c r="S105"/>
  <c r="T105" s="1"/>
  <c r="J104"/>
  <c r="M125" i="8" l="1"/>
  <c r="M126" s="1"/>
  <c r="R104" i="9"/>
  <c r="N104" i="10"/>
  <c r="S11" i="9"/>
  <c r="T11" s="1"/>
  <c r="R124" i="4"/>
  <c r="R125" s="1"/>
  <c r="P16" i="11"/>
  <c r="N123" i="10"/>
  <c r="N124" s="1"/>
  <c r="P104"/>
  <c r="M123"/>
  <c r="M124" s="1"/>
  <c r="K123"/>
  <c r="K124" i="4"/>
  <c r="K125" s="1"/>
  <c r="K124" i="9"/>
  <c r="K125" s="1"/>
  <c r="L105" i="8"/>
  <c r="L149" s="1"/>
  <c r="L150" s="1"/>
  <c r="W115"/>
  <c r="X115" s="1"/>
  <c r="H125"/>
  <c r="H126" s="1"/>
  <c r="I124" i="4"/>
  <c r="I125" s="1"/>
  <c r="P47" i="11"/>
  <c r="S114" i="4"/>
  <c r="T114" s="1"/>
  <c r="M124"/>
  <c r="P123" i="12"/>
  <c r="P124" s="1"/>
  <c r="M104" i="10"/>
  <c r="M147" s="1"/>
  <c r="M104" i="4"/>
  <c r="S113" i="10"/>
  <c r="T113" s="1"/>
  <c r="S114" i="9"/>
  <c r="T114" s="1"/>
  <c r="J104"/>
  <c r="M156" i="13"/>
  <c r="I124" i="9"/>
  <c r="I125" s="1"/>
  <c r="Q123" i="10"/>
  <c r="Q124" s="1"/>
  <c r="I123"/>
  <c r="I124" s="1"/>
  <c r="Q156" i="13"/>
  <c r="O125" i="8"/>
  <c r="O126" s="1"/>
  <c r="Q123" i="12"/>
  <c r="Q124" s="1"/>
  <c r="Q104"/>
  <c r="S104" s="1"/>
  <c r="T104" s="1"/>
  <c r="G104" i="10"/>
  <c r="L123"/>
  <c r="L124" s="1"/>
  <c r="I104" i="4"/>
  <c r="I148" s="1"/>
  <c r="R123" i="12"/>
  <c r="R124" s="1"/>
  <c r="Q22" i="11"/>
  <c r="J124" i="4"/>
  <c r="J125" s="1"/>
  <c r="G105" i="8"/>
  <c r="W105" s="1"/>
  <c r="X105" s="1"/>
  <c r="P124" i="4"/>
  <c r="P125" s="1"/>
  <c r="G124" i="9"/>
  <c r="G125" s="1"/>
  <c r="S125" i="8"/>
  <c r="S126" s="1"/>
  <c r="N123" i="12"/>
  <c r="N124" s="1"/>
  <c r="W151" i="8"/>
  <c r="X151" s="1"/>
  <c r="U125"/>
  <c r="U126" s="1"/>
  <c r="N124" i="4"/>
  <c r="N125" s="1"/>
  <c r="O55" i="10"/>
  <c r="O60" s="1"/>
  <c r="O65" s="1"/>
  <c r="O61" s="1"/>
  <c r="G104" i="9"/>
  <c r="S104" s="1"/>
  <c r="T104" s="1"/>
  <c r="L125" i="8"/>
  <c r="L126" s="1"/>
  <c r="Q36" i="11"/>
  <c r="P48"/>
  <c r="Q124" i="4"/>
  <c r="Q125" s="1"/>
  <c r="O123" i="12"/>
  <c r="O124" s="1"/>
  <c r="T125" i="8"/>
  <c r="T126" s="1"/>
  <c r="R123" i="10"/>
  <c r="R124" s="1"/>
  <c r="I123" i="12"/>
  <c r="I124" s="1"/>
  <c r="K123"/>
  <c r="K124" s="1"/>
  <c r="S149" i="10"/>
  <c r="T149" s="1"/>
  <c r="H124" i="4"/>
  <c r="H125" s="1"/>
  <c r="R124" i="9"/>
  <c r="R125" s="1"/>
  <c r="S150"/>
  <c r="T150" s="1"/>
  <c r="M124"/>
  <c r="M125" s="1"/>
  <c r="Q125" i="8"/>
  <c r="Q126" s="1"/>
  <c r="P123" i="10"/>
  <c r="P124" s="1"/>
  <c r="G124" i="4"/>
  <c r="G125" s="1"/>
  <c r="S105" i="10"/>
  <c r="T105" s="1"/>
  <c r="P51" i="11"/>
  <c r="S136" i="12"/>
  <c r="T136" s="1"/>
  <c r="O124" i="4"/>
  <c r="O125" s="1"/>
  <c r="G123" i="10"/>
  <c r="G124" s="1"/>
  <c r="S137" i="9"/>
  <c r="T137" s="1"/>
  <c r="N124"/>
  <c r="N125" s="1"/>
  <c r="S150" i="4"/>
  <c r="T150" s="1"/>
  <c r="W127" i="8"/>
  <c r="X127" s="1"/>
  <c r="M123" i="12"/>
  <c r="M148" s="1"/>
  <c r="Q124" i="9"/>
  <c r="Q125" s="1"/>
  <c r="H123" i="10"/>
  <c r="H124" s="1"/>
  <c r="W138" i="8"/>
  <c r="X138" s="1"/>
  <c r="Q43" i="11"/>
  <c r="S150" i="12"/>
  <c r="T150" s="1"/>
  <c r="S126" i="9"/>
  <c r="T126" s="1"/>
  <c r="S125" i="12"/>
  <c r="T125" s="1"/>
  <c r="S137" i="4"/>
  <c r="T137" s="1"/>
  <c r="Q26" i="11"/>
  <c r="P41"/>
  <c r="H123" i="12"/>
  <c r="H124" s="1"/>
  <c r="Q21" i="11"/>
  <c r="L124" i="4"/>
  <c r="L125" s="1"/>
  <c r="L123" i="12"/>
  <c r="L124" s="1"/>
  <c r="J124" i="9"/>
  <c r="J125" s="1"/>
  <c r="S125" i="10"/>
  <c r="T125" s="1"/>
  <c r="I156" i="13"/>
  <c r="I161" s="1"/>
  <c r="I157" s="1"/>
  <c r="K156"/>
  <c r="P58" i="11"/>
  <c r="P64"/>
  <c r="Q64"/>
  <c r="P65"/>
  <c r="Q65"/>
  <c r="P66"/>
  <c r="Q66"/>
  <c r="Q39"/>
  <c r="Q35"/>
  <c r="P44"/>
  <c r="P49"/>
  <c r="Q50"/>
  <c r="P24"/>
  <c r="P37"/>
  <c r="Q25"/>
  <c r="P38"/>
  <c r="Q45"/>
  <c r="P34"/>
  <c r="Q46"/>
  <c r="Q33"/>
  <c r="P13"/>
  <c r="P12"/>
  <c r="P14"/>
  <c r="Q28"/>
  <c r="Q59"/>
  <c r="P18"/>
  <c r="O29"/>
  <c r="P29" s="1"/>
  <c r="Q17"/>
  <c r="P27"/>
  <c r="P52"/>
  <c r="Q40"/>
  <c r="I21" i="1"/>
  <c r="I13"/>
  <c r="E17"/>
  <c r="E21" s="1"/>
  <c r="I17"/>
  <c r="L31" i="9"/>
  <c r="S56" i="8"/>
  <c r="S61" s="1"/>
  <c r="S66" s="1"/>
  <c r="S62" s="1"/>
  <c r="S31"/>
  <c r="CV192" i="6"/>
  <c r="T31" i="8"/>
  <c r="K149"/>
  <c r="K155" s="1"/>
  <c r="K160" s="1"/>
  <c r="K156" s="1"/>
  <c r="H29" i="11"/>
  <c r="I60"/>
  <c r="J60"/>
  <c r="O57"/>
  <c r="P57" s="1"/>
  <c r="H57"/>
  <c r="J57" s="1"/>
  <c r="K125" i="13"/>
  <c r="J67" i="11"/>
  <c r="J66"/>
  <c r="I64"/>
  <c r="J65"/>
  <c r="M125" i="13"/>
  <c r="J49" i="11"/>
  <c r="G157" i="13"/>
  <c r="R149"/>
  <c r="I48" i="11"/>
  <c r="M150" i="13"/>
  <c r="M161"/>
  <c r="M157" s="1"/>
  <c r="J59" i="11"/>
  <c r="J58"/>
  <c r="I58"/>
  <c r="O125" i="13"/>
  <c r="O149"/>
  <c r="O156" s="1"/>
  <c r="Q161"/>
  <c r="Q157" s="1"/>
  <c r="Q150"/>
  <c r="J125"/>
  <c r="J149"/>
  <c r="J156" s="1"/>
  <c r="I150"/>
  <c r="S151"/>
  <c r="T151" s="1"/>
  <c r="L125"/>
  <c r="L149"/>
  <c r="L156" s="1"/>
  <c r="P125"/>
  <c r="P149"/>
  <c r="P156" s="1"/>
  <c r="H125"/>
  <c r="H149"/>
  <c r="H156" s="1"/>
  <c r="S124"/>
  <c r="T124" s="1"/>
  <c r="N125"/>
  <c r="N149"/>
  <c r="N156" s="1"/>
  <c r="K150"/>
  <c r="K161"/>
  <c r="K157" s="1"/>
  <c r="P60" i="10"/>
  <c r="P65" s="1"/>
  <c r="P61" s="1"/>
  <c r="P148" i="9"/>
  <c r="P154" s="1"/>
  <c r="P159" s="1"/>
  <c r="P155" s="1"/>
  <c r="N55" i="10"/>
  <c r="N56" s="1"/>
  <c r="R55"/>
  <c r="R56" s="1"/>
  <c r="G148" i="12"/>
  <c r="G149" s="1"/>
  <c r="J54" i="9"/>
  <c r="J55" s="1"/>
  <c r="M55" i="10"/>
  <c r="M56" s="1"/>
  <c r="M54" i="9"/>
  <c r="M55" s="1"/>
  <c r="O148"/>
  <c r="O149" s="1"/>
  <c r="K55" i="12"/>
  <c r="K56" s="1"/>
  <c r="M56" i="4"/>
  <c r="M55" i="12"/>
  <c r="M60" s="1"/>
  <c r="M65" s="1"/>
  <c r="M61" s="1"/>
  <c r="CS192" i="6"/>
  <c r="CS193"/>
  <c r="O55" i="12"/>
  <c r="O60" s="1"/>
  <c r="O147" i="10"/>
  <c r="O148" s="1"/>
  <c r="J30"/>
  <c r="K56" i="4"/>
  <c r="K55" i="10"/>
  <c r="K56" s="1"/>
  <c r="P55" i="12"/>
  <c r="P56" s="1"/>
  <c r="Q56" i="8"/>
  <c r="Q61" s="1"/>
  <c r="Q66" s="1"/>
  <c r="Q62" s="1"/>
  <c r="CO192" i="6"/>
  <c r="N54" i="9"/>
  <c r="N60" s="1"/>
  <c r="N65" s="1"/>
  <c r="N61" s="1"/>
  <c r="Q54"/>
  <c r="Q55" s="1"/>
  <c r="CL192" i="6"/>
  <c r="L55" i="12"/>
  <c r="L56" s="1"/>
  <c r="G54" i="9"/>
  <c r="J60" i="10"/>
  <c r="J65" s="1"/>
  <c r="J61" s="1"/>
  <c r="N55" i="12"/>
  <c r="N56" s="1"/>
  <c r="L55" i="10"/>
  <c r="L60" s="1"/>
  <c r="L65" s="1"/>
  <c r="L61" s="1"/>
  <c r="I56" i="4"/>
  <c r="I55" i="10"/>
  <c r="I60" s="1"/>
  <c r="I65" s="1"/>
  <c r="I61" s="1"/>
  <c r="H30"/>
  <c r="H60"/>
  <c r="H65" s="1"/>
  <c r="H61" s="1"/>
  <c r="CR192" i="6"/>
  <c r="L55" i="9"/>
  <c r="T61" i="8"/>
  <c r="T66" s="1"/>
  <c r="T62" s="1"/>
  <c r="G56" i="10"/>
  <c r="G60"/>
  <c r="G65" s="1"/>
  <c r="G30"/>
  <c r="L31" i="8"/>
  <c r="L56"/>
  <c r="CP193" i="6" s="1"/>
  <c r="H60" i="4"/>
  <c r="P61" i="8"/>
  <c r="P66" s="1"/>
  <c r="P62" s="1"/>
  <c r="P31"/>
  <c r="H54" i="9"/>
  <c r="H60" s="1"/>
  <c r="H65" s="1"/>
  <c r="H61" s="1"/>
  <c r="Q55" i="12"/>
  <c r="Q60" s="1"/>
  <c r="Q65" s="1"/>
  <c r="Q61" s="1"/>
  <c r="O56" i="4"/>
  <c r="U56" i="8"/>
  <c r="U57" s="1"/>
  <c r="J55" i="12"/>
  <c r="J56" s="1"/>
  <c r="R54" i="9"/>
  <c r="R60" s="1"/>
  <c r="R65" s="1"/>
  <c r="R61" s="1"/>
  <c r="CV193" i="6"/>
  <c r="R55" i="12"/>
  <c r="CW192" i="6"/>
  <c r="P30" i="10"/>
  <c r="P56" i="4"/>
  <c r="P54" i="9"/>
  <c r="P55" s="1"/>
  <c r="I56" i="8"/>
  <c r="I57" s="1"/>
  <c r="CT192" i="6"/>
  <c r="S30" i="4"/>
  <c r="T30" s="1"/>
  <c r="I31" i="8"/>
  <c r="L148" i="9"/>
  <c r="L154" s="1"/>
  <c r="L159" s="1"/>
  <c r="L155" s="1"/>
  <c r="Q60" i="4"/>
  <c r="Q56"/>
  <c r="S30" i="9"/>
  <c r="T30" s="1"/>
  <c r="CM192" i="6"/>
  <c r="H31" i="8"/>
  <c r="L60" i="4"/>
  <c r="L56"/>
  <c r="K54" i="9"/>
  <c r="K55" s="1"/>
  <c r="M56" i="8"/>
  <c r="CQ193" i="6" s="1"/>
  <c r="S55" i="4"/>
  <c r="T55" s="1"/>
  <c r="CQ192" i="6"/>
  <c r="K148" i="12"/>
  <c r="K154" s="1"/>
  <c r="K159" s="1"/>
  <c r="K155" s="1"/>
  <c r="G60" i="4"/>
  <c r="R56"/>
  <c r="N56"/>
  <c r="O54" i="9"/>
  <c r="O55" s="1"/>
  <c r="H61" i="8"/>
  <c r="H66" s="1"/>
  <c r="H62" s="1"/>
  <c r="I31" i="9"/>
  <c r="W30" i="8"/>
  <c r="X30" s="1"/>
  <c r="J60" i="4"/>
  <c r="H57" i="8"/>
  <c r="S136" i="10"/>
  <c r="T136" s="1"/>
  <c r="I149" i="8"/>
  <c r="I150" s="1"/>
  <c r="T31" i="11"/>
  <c r="R60" i="10"/>
  <c r="R65" s="1"/>
  <c r="R61" s="1"/>
  <c r="H148" i="9"/>
  <c r="H149" s="1"/>
  <c r="S57" i="11"/>
  <c r="M10"/>
  <c r="S10"/>
  <c r="G30" i="12"/>
  <c r="S29" i="11"/>
  <c r="G252" i="2"/>
  <c r="B7" i="11" s="1"/>
  <c r="S126" i="4"/>
  <c r="T126" s="1"/>
  <c r="Q148" i="12"/>
  <c r="Q149" s="1"/>
  <c r="I30"/>
  <c r="G124"/>
  <c r="Q19" i="11"/>
  <c r="P149" i="8"/>
  <c r="P150" s="1"/>
  <c r="J147" i="10"/>
  <c r="J148" s="1"/>
  <c r="P42" i="11"/>
  <c r="U149" i="8"/>
  <c r="U150" s="1"/>
  <c r="H16" i="1"/>
  <c r="I16" s="1"/>
  <c r="S29" i="12"/>
  <c r="T29" s="1"/>
  <c r="G148" i="4"/>
  <c r="G149" s="1"/>
  <c r="S149" s="1"/>
  <c r="T149" s="1"/>
  <c r="P10" i="11"/>
  <c r="T42"/>
  <c r="S42"/>
  <c r="H55" i="12"/>
  <c r="H60" s="1"/>
  <c r="H65" s="1"/>
  <c r="H61" s="1"/>
  <c r="G55"/>
  <c r="O56" i="8"/>
  <c r="O61" s="1"/>
  <c r="O66" s="1"/>
  <c r="O62" s="1"/>
  <c r="CO191" i="6"/>
  <c r="K56" i="8"/>
  <c r="W11"/>
  <c r="X11" s="1"/>
  <c r="G10"/>
  <c r="L31" i="11"/>
  <c r="Q60" i="10"/>
  <c r="Q65" s="1"/>
  <c r="Q61" s="1"/>
  <c r="S29"/>
  <c r="T29" s="1"/>
  <c r="Q30"/>
  <c r="P31" i="11"/>
  <c r="M11"/>
  <c r="S10" i="12"/>
  <c r="T10" s="1"/>
  <c r="L42" i="11"/>
  <c r="L57"/>
  <c r="Q11"/>
  <c r="O124" i="10"/>
  <c r="I147"/>
  <c r="I153" s="1"/>
  <c r="I158" s="1"/>
  <c r="I154" s="1"/>
  <c r="I60" i="9"/>
  <c r="I65" s="1"/>
  <c r="I61" s="1"/>
  <c r="I55"/>
  <c r="K124" i="10"/>
  <c r="K147"/>
  <c r="D12" i="1"/>
  <c r="E12" s="1"/>
  <c r="I60" i="12"/>
  <c r="I65" s="1"/>
  <c r="I61" s="1"/>
  <c r="I56"/>
  <c r="I19" i="11"/>
  <c r="J19"/>
  <c r="I42"/>
  <c r="J42"/>
  <c r="I11"/>
  <c r="J11"/>
  <c r="J31"/>
  <c r="I31"/>
  <c r="J148" i="12"/>
  <c r="S104" i="10" l="1"/>
  <c r="T104" s="1"/>
  <c r="R148" i="4"/>
  <c r="R149" s="1"/>
  <c r="M148"/>
  <c r="M154" s="1"/>
  <c r="M159" s="1"/>
  <c r="M155" s="1"/>
  <c r="M149" i="8"/>
  <c r="M155" s="1"/>
  <c r="M160" s="1"/>
  <c r="M156" s="1"/>
  <c r="T149"/>
  <c r="T150" s="1"/>
  <c r="O149"/>
  <c r="O150" s="1"/>
  <c r="L147" i="10"/>
  <c r="L148" s="1"/>
  <c r="J148" i="4"/>
  <c r="J154" s="1"/>
  <c r="J159" s="1"/>
  <c r="J155" s="1"/>
  <c r="G147" i="10"/>
  <c r="G148" s="1"/>
  <c r="N147"/>
  <c r="N153" s="1"/>
  <c r="N158" s="1"/>
  <c r="N154" s="1"/>
  <c r="N148" i="4"/>
  <c r="N154" s="1"/>
  <c r="N159" s="1"/>
  <c r="N155" s="1"/>
  <c r="S149" i="8"/>
  <c r="S150" s="1"/>
  <c r="J148" i="9"/>
  <c r="J154" s="1"/>
  <c r="J159" s="1"/>
  <c r="J155" s="1"/>
  <c r="I148"/>
  <c r="I149" s="1"/>
  <c r="H148" i="12"/>
  <c r="M125" i="4"/>
  <c r="S125" s="1"/>
  <c r="T125" s="1"/>
  <c r="K148"/>
  <c r="K149" s="1"/>
  <c r="H149" i="8"/>
  <c r="H155" s="1"/>
  <c r="H160" s="1"/>
  <c r="H156" s="1"/>
  <c r="K148" i="9"/>
  <c r="K149" s="1"/>
  <c r="Q147" i="10"/>
  <c r="Q148" s="1"/>
  <c r="R147"/>
  <c r="R153" s="1"/>
  <c r="R158" s="1"/>
  <c r="R154" s="1"/>
  <c r="P148" i="12"/>
  <c r="P154" s="1"/>
  <c r="Q148" i="9"/>
  <c r="Q154" s="1"/>
  <c r="Q159" s="1"/>
  <c r="Q155" s="1"/>
  <c r="R148" i="12"/>
  <c r="R149" s="1"/>
  <c r="Q149" i="8"/>
  <c r="Q150" s="1"/>
  <c r="M124" i="12"/>
  <c r="S124" s="1"/>
  <c r="T124" s="1"/>
  <c r="W125" i="8"/>
  <c r="X125" s="1"/>
  <c r="G149"/>
  <c r="W149" s="1"/>
  <c r="X149" s="1"/>
  <c r="N148" i="12"/>
  <c r="N149" s="1"/>
  <c r="O56" i="10"/>
  <c r="H148" i="4"/>
  <c r="H149" s="1"/>
  <c r="I148" i="12"/>
  <c r="I149" s="1"/>
  <c r="P148" i="4"/>
  <c r="P154" s="1"/>
  <c r="P159" s="1"/>
  <c r="P155" s="1"/>
  <c r="G148" i="9"/>
  <c r="S148" s="1"/>
  <c r="T148" s="1"/>
  <c r="N148"/>
  <c r="P147" i="10"/>
  <c r="P153" s="1"/>
  <c r="P158" s="1"/>
  <c r="P154" s="1"/>
  <c r="R148" i="9"/>
  <c r="R149" s="1"/>
  <c r="Q148" i="4"/>
  <c r="Q154" s="1"/>
  <c r="Q159" s="1"/>
  <c r="Q155" s="1"/>
  <c r="M148" i="9"/>
  <c r="M154" s="1"/>
  <c r="M159" s="1"/>
  <c r="M155" s="1"/>
  <c r="O148" i="12"/>
  <c r="O154" s="1"/>
  <c r="O159" s="1"/>
  <c r="O155" s="1"/>
  <c r="O148" i="4"/>
  <c r="O149" s="1"/>
  <c r="W126" i="8"/>
  <c r="X126" s="1"/>
  <c r="H147" i="10"/>
  <c r="H153" s="1"/>
  <c r="H158" s="1"/>
  <c r="H154" s="1"/>
  <c r="S123"/>
  <c r="T123" s="1"/>
  <c r="L148" i="12"/>
  <c r="L154" s="1"/>
  <c r="L159" s="1"/>
  <c r="L155" s="1"/>
  <c r="S124" i="9"/>
  <c r="T124" s="1"/>
  <c r="S125"/>
  <c r="T125" s="1"/>
  <c r="S123" i="12"/>
  <c r="T123" s="1"/>
  <c r="S124" i="4"/>
  <c r="T124" s="1"/>
  <c r="L148"/>
  <c r="L154" s="1"/>
  <c r="L159" s="1"/>
  <c r="L155" s="1"/>
  <c r="R156" i="13"/>
  <c r="R161" s="1"/>
  <c r="R157" s="1"/>
  <c r="O30" i="11"/>
  <c r="P30" s="1"/>
  <c r="S57" i="8"/>
  <c r="S31" i="9"/>
  <c r="T31" s="1"/>
  <c r="O55" i="11"/>
  <c r="H55"/>
  <c r="CU193" i="6"/>
  <c r="I57" i="11"/>
  <c r="K150" i="8"/>
  <c r="Q57" i="11"/>
  <c r="R150" i="13"/>
  <c r="N60" i="12"/>
  <c r="N65" s="1"/>
  <c r="N61" s="1"/>
  <c r="N60" i="10"/>
  <c r="N65" s="1"/>
  <c r="N61" s="1"/>
  <c r="N161" i="13"/>
  <c r="N157" s="1"/>
  <c r="N150"/>
  <c r="H150"/>
  <c r="S149"/>
  <c r="T149" s="1"/>
  <c r="L161"/>
  <c r="L157" s="1"/>
  <c r="L150"/>
  <c r="J150"/>
  <c r="J161"/>
  <c r="J157" s="1"/>
  <c r="O161"/>
  <c r="O157" s="1"/>
  <c r="O150"/>
  <c r="S125"/>
  <c r="T125" s="1"/>
  <c r="H30" i="11"/>
  <c r="P161" i="13"/>
  <c r="P157" s="1"/>
  <c r="P150"/>
  <c r="P149" i="9"/>
  <c r="I56" i="10"/>
  <c r="G154" i="12"/>
  <c r="G159" s="1"/>
  <c r="G155" s="1"/>
  <c r="O154" i="9"/>
  <c r="O159" s="1"/>
  <c r="O155" s="1"/>
  <c r="Q60"/>
  <c r="Q65" s="1"/>
  <c r="Q61" s="1"/>
  <c r="M150" i="8"/>
  <c r="M60" i="9"/>
  <c r="M65" s="1"/>
  <c r="M61" s="1"/>
  <c r="O153" i="10"/>
  <c r="O158" s="1"/>
  <c r="O154" s="1"/>
  <c r="M56" i="12"/>
  <c r="M60" i="10"/>
  <c r="M65" s="1"/>
  <c r="M61" s="1"/>
  <c r="O56" i="12"/>
  <c r="H55" i="9"/>
  <c r="N55"/>
  <c r="K60" i="12"/>
  <c r="K65" s="1"/>
  <c r="K61" s="1"/>
  <c r="J60" i="9"/>
  <c r="J65" s="1"/>
  <c r="J61" s="1"/>
  <c r="R154" i="4"/>
  <c r="R159" s="1"/>
  <c r="R155" s="1"/>
  <c r="CT193" i="6"/>
  <c r="M57" i="8"/>
  <c r="Q57"/>
  <c r="I61"/>
  <c r="I66" s="1"/>
  <c r="I62" s="1"/>
  <c r="L56" i="10"/>
  <c r="K149" i="12"/>
  <c r="P60"/>
  <c r="P65" s="1"/>
  <c r="P61" s="1"/>
  <c r="L57" i="8"/>
  <c r="S55" i="10"/>
  <c r="T55" s="1"/>
  <c r="K60"/>
  <c r="K65" s="1"/>
  <c r="K61" s="1"/>
  <c r="G60" i="9"/>
  <c r="S54"/>
  <c r="T54" s="1"/>
  <c r="G55"/>
  <c r="S55" s="1"/>
  <c r="T55" s="1"/>
  <c r="T10" i="11"/>
  <c r="L60" i="12"/>
  <c r="L65" s="1"/>
  <c r="L61" s="1"/>
  <c r="J149" i="9"/>
  <c r="P60"/>
  <c r="P65" s="1"/>
  <c r="P61" s="1"/>
  <c r="J60" i="12"/>
  <c r="J65" s="1"/>
  <c r="J61" s="1"/>
  <c r="R55" i="9"/>
  <c r="Q56" i="12"/>
  <c r="CN193" i="6"/>
  <c r="L61" i="8"/>
  <c r="L66" s="1"/>
  <c r="L62" s="1"/>
  <c r="I154" i="9"/>
  <c r="I159" s="1"/>
  <c r="I155" s="1"/>
  <c r="H150" i="8"/>
  <c r="L149" i="9"/>
  <c r="U61" i="8"/>
  <c r="U66" s="1"/>
  <c r="U62" s="1"/>
  <c r="CW193" i="6"/>
  <c r="K60" i="9"/>
  <c r="K65" s="1"/>
  <c r="K61" s="1"/>
  <c r="R56" i="12"/>
  <c r="R60"/>
  <c r="R65" s="1"/>
  <c r="R61" s="1"/>
  <c r="S155" i="8"/>
  <c r="S160" s="1"/>
  <c r="S156" s="1"/>
  <c r="H154" i="9"/>
  <c r="H159" s="1"/>
  <c r="H155" s="1"/>
  <c r="L153" i="10"/>
  <c r="L158" s="1"/>
  <c r="L154" s="1"/>
  <c r="M61" i="8"/>
  <c r="M66" s="1"/>
  <c r="M62" s="1"/>
  <c r="O60" i="9"/>
  <c r="O65" s="1"/>
  <c r="O61" s="1"/>
  <c r="W31" i="8"/>
  <c r="X31" s="1"/>
  <c r="L155"/>
  <c r="L160" s="1"/>
  <c r="L156" s="1"/>
  <c r="S60" i="4"/>
  <c r="T60" s="1"/>
  <c r="S56"/>
  <c r="T56" s="1"/>
  <c r="I155" i="8"/>
  <c r="I160" s="1"/>
  <c r="I156" s="1"/>
  <c r="O155"/>
  <c r="O160" s="1"/>
  <c r="O156" s="1"/>
  <c r="S148" i="4"/>
  <c r="T148" s="1"/>
  <c r="N149"/>
  <c r="I149"/>
  <c r="I154"/>
  <c r="I159" s="1"/>
  <c r="I155" s="1"/>
  <c r="N148" i="10"/>
  <c r="M149" i="4"/>
  <c r="Q154" i="12"/>
  <c r="Q159" s="1"/>
  <c r="Q155" s="1"/>
  <c r="S30"/>
  <c r="T30" s="1"/>
  <c r="G60"/>
  <c r="S55" i="11"/>
  <c r="M55"/>
  <c r="L30"/>
  <c r="J153" i="10"/>
  <c r="J158" s="1"/>
  <c r="J154" s="1"/>
  <c r="U155" i="8"/>
  <c r="U160" s="1"/>
  <c r="U156" s="1"/>
  <c r="T155"/>
  <c r="T160" s="1"/>
  <c r="T156" s="1"/>
  <c r="P155"/>
  <c r="P160" s="1"/>
  <c r="P156" s="1"/>
  <c r="Q155"/>
  <c r="Q160" s="1"/>
  <c r="Q156" s="1"/>
  <c r="Q10" i="11"/>
  <c r="K154" i="4"/>
  <c r="K159" s="1"/>
  <c r="K155" s="1"/>
  <c r="H56" i="12"/>
  <c r="G154" i="4"/>
  <c r="S154" s="1"/>
  <c r="T154" s="1"/>
  <c r="M29" i="11"/>
  <c r="T29"/>
  <c r="G154" i="9"/>
  <c r="G159" s="1"/>
  <c r="L29" i="11"/>
  <c r="G56" i="12"/>
  <c r="S55"/>
  <c r="T55" s="1"/>
  <c r="S30" i="10"/>
  <c r="T30" s="1"/>
  <c r="I148"/>
  <c r="CR193" i="6"/>
  <c r="O57" i="8"/>
  <c r="R148" i="10"/>
  <c r="K61" i="8"/>
  <c r="K66" s="1"/>
  <c r="K62" s="1"/>
  <c r="CO193" i="6"/>
  <c r="K57" i="8"/>
  <c r="G56"/>
  <c r="W10"/>
  <c r="X10" s="1"/>
  <c r="CL191" i="6"/>
  <c r="S124" i="10"/>
  <c r="T124" s="1"/>
  <c r="L10" i="11"/>
  <c r="H12" i="1"/>
  <c r="I12" s="1"/>
  <c r="Q29" i="11"/>
  <c r="M153" i="10"/>
  <c r="M158" s="1"/>
  <c r="M154" s="1"/>
  <c r="M148"/>
  <c r="K148"/>
  <c r="K153"/>
  <c r="K158" s="1"/>
  <c r="K154" s="1"/>
  <c r="O65" i="12"/>
  <c r="D20" i="1"/>
  <c r="E20" s="1"/>
  <c r="G61" i="10"/>
  <c r="H149" i="12"/>
  <c r="H154"/>
  <c r="J10" i="11"/>
  <c r="I10"/>
  <c r="M154" i="12"/>
  <c r="M159" s="1"/>
  <c r="M155" s="1"/>
  <c r="M149"/>
  <c r="J29" i="11"/>
  <c r="I29"/>
  <c r="J154" i="12"/>
  <c r="J159" s="1"/>
  <c r="J155" s="1"/>
  <c r="J149"/>
  <c r="G153" i="10" l="1"/>
  <c r="G158" s="1"/>
  <c r="G154" s="1"/>
  <c r="S154" s="1"/>
  <c r="T154" s="1"/>
  <c r="J149" i="4"/>
  <c r="K154" i="9"/>
  <c r="K159" s="1"/>
  <c r="K155" s="1"/>
  <c r="G155" i="8"/>
  <c r="W155" s="1"/>
  <c r="X155" s="1"/>
  <c r="Q153" i="10"/>
  <c r="Q158" s="1"/>
  <c r="Q154" s="1"/>
  <c r="R154" i="12"/>
  <c r="R159" s="1"/>
  <c r="R155" s="1"/>
  <c r="P149"/>
  <c r="R154" i="9"/>
  <c r="R159" s="1"/>
  <c r="R155" s="1"/>
  <c r="P149" i="4"/>
  <c r="N154" i="12"/>
  <c r="N159" s="1"/>
  <c r="N155" s="1"/>
  <c r="O154" i="4"/>
  <c r="O159" s="1"/>
  <c r="O155" s="1"/>
  <c r="S148" i="12"/>
  <c r="T148" s="1"/>
  <c r="L149"/>
  <c r="H154" i="4"/>
  <c r="H159" s="1"/>
  <c r="H155" s="1"/>
  <c r="H148" i="10"/>
  <c r="Q149" i="9"/>
  <c r="G149"/>
  <c r="S149" s="1"/>
  <c r="T149" s="1"/>
  <c r="L149" i="4"/>
  <c r="G150" i="8"/>
  <c r="W150" s="1"/>
  <c r="X150" s="1"/>
  <c r="I154" i="12"/>
  <c r="I159" s="1"/>
  <c r="I155" s="1"/>
  <c r="O149"/>
  <c r="P148" i="10"/>
  <c r="S147"/>
  <c r="T147" s="1"/>
  <c r="M149" i="9"/>
  <c r="Q149" i="4"/>
  <c r="N154" i="9"/>
  <c r="N159" s="1"/>
  <c r="N155" s="1"/>
  <c r="N149"/>
  <c r="Q30" i="11"/>
  <c r="Q55"/>
  <c r="P55"/>
  <c r="O56"/>
  <c r="P56" s="1"/>
  <c r="H56"/>
  <c r="G160" i="8"/>
  <c r="W160" s="1"/>
  <c r="X160" s="1"/>
  <c r="O62" i="11"/>
  <c r="H62"/>
  <c r="I55"/>
  <c r="S150" i="13"/>
  <c r="T150" s="1"/>
  <c r="H161"/>
  <c r="O67" i="11" s="1"/>
  <c r="S156" i="13"/>
  <c r="T156" s="1"/>
  <c r="S56" i="10"/>
  <c r="T56" s="1"/>
  <c r="S60"/>
  <c r="T60" s="1"/>
  <c r="S65"/>
  <c r="T65" s="1"/>
  <c r="G65" i="9"/>
  <c r="S60"/>
  <c r="T60" s="1"/>
  <c r="S60" i="12"/>
  <c r="T60" s="1"/>
  <c r="G159" i="4"/>
  <c r="G155" s="1"/>
  <c r="S155" s="1"/>
  <c r="T155" s="1"/>
  <c r="M30" i="11"/>
  <c r="T55"/>
  <c r="S56" i="12"/>
  <c r="T56" s="1"/>
  <c r="L56" i="11"/>
  <c r="G65" i="12"/>
  <c r="L62" i="11"/>
  <c r="S154" i="9"/>
  <c r="T154" s="1"/>
  <c r="L55" i="11"/>
  <c r="H20" i="1"/>
  <c r="I20" s="1"/>
  <c r="T30" i="11"/>
  <c r="S30"/>
  <c r="G61" i="8"/>
  <c r="G57"/>
  <c r="W57" s="1"/>
  <c r="X57" s="1"/>
  <c r="W56"/>
  <c r="X56" s="1"/>
  <c r="CL193" i="6"/>
  <c r="P159" i="12"/>
  <c r="O61"/>
  <c r="G155" i="9"/>
  <c r="S155" s="1"/>
  <c r="T155" s="1"/>
  <c r="S159"/>
  <c r="T159" s="1"/>
  <c r="I30" i="11"/>
  <c r="J30"/>
  <c r="S158" i="10"/>
  <c r="T158" s="1"/>
  <c r="H159" i="12"/>
  <c r="S61" i="10"/>
  <c r="T61" s="1"/>
  <c r="S149" i="12"/>
  <c r="T149" s="1"/>
  <c r="S153" i="10" l="1"/>
  <c r="T153" s="1"/>
  <c r="S154" i="12"/>
  <c r="T154" s="1"/>
  <c r="S148" i="10"/>
  <c r="T148" s="1"/>
  <c r="Q67" i="11"/>
  <c r="P67"/>
  <c r="P62"/>
  <c r="Q62"/>
  <c r="G156" i="8"/>
  <c r="W156" s="1"/>
  <c r="X156" s="1"/>
  <c r="S159" i="4"/>
  <c r="T159" s="1"/>
  <c r="J55" i="11"/>
  <c r="H157" i="13"/>
  <c r="O63" i="11" s="1"/>
  <c r="H67"/>
  <c r="I67" s="1"/>
  <c r="S161" i="13"/>
  <c r="T161" s="1"/>
  <c r="G61" i="9"/>
  <c r="S61" s="1"/>
  <c r="T61" s="1"/>
  <c r="S65"/>
  <c r="T65" s="1"/>
  <c r="M62" i="11"/>
  <c r="L67"/>
  <c r="G61" i="12"/>
  <c r="S61" s="1"/>
  <c r="T61" s="1"/>
  <c r="S65"/>
  <c r="T65" s="1"/>
  <c r="S56" i="11"/>
  <c r="T56"/>
  <c r="M56"/>
  <c r="G66" i="8"/>
  <c r="W61"/>
  <c r="X61" s="1"/>
  <c r="Q56" i="11"/>
  <c r="P155" i="12"/>
  <c r="H155"/>
  <c r="S159"/>
  <c r="T159" s="1"/>
  <c r="I56" i="11"/>
  <c r="J56"/>
  <c r="J62"/>
  <c r="I62"/>
  <c r="Q63" l="1"/>
  <c r="P63"/>
  <c r="S157" i="13"/>
  <c r="T157" s="1"/>
  <c r="H63" i="11"/>
  <c r="M67"/>
  <c r="M63"/>
  <c r="G62" i="8"/>
  <c r="W62" s="1"/>
  <c r="X62" s="1"/>
  <c r="W66"/>
  <c r="X66" s="1"/>
  <c r="S155" i="12"/>
  <c r="T155" s="1"/>
  <c r="L63" i="11" l="1"/>
  <c r="J63"/>
  <c r="I63"/>
  <c r="B101" i="16" l="1"/>
  <c r="B7"/>
  <c r="S7"/>
  <c r="S101" s="1"/>
  <c r="R8"/>
  <c r="R102" s="1"/>
  <c r="Q8"/>
  <c r="Q102" s="1"/>
  <c r="P8"/>
  <c r="P102" s="1"/>
  <c r="N8"/>
  <c r="N102" s="1"/>
  <c r="M8"/>
  <c r="M102" s="1"/>
  <c r="L8"/>
  <c r="L102" s="1"/>
  <c r="J8"/>
  <c r="J102" s="1"/>
  <c r="I8"/>
  <c r="I102" s="1"/>
  <c r="H8"/>
  <c r="H102" s="1"/>
  <c r="B54"/>
  <c r="E3"/>
  <c r="E2"/>
  <c r="S102"/>
  <c r="E4" l="1"/>
  <c r="B105"/>
  <c r="B11"/>
  <c r="B109"/>
  <c r="B15"/>
  <c r="B113"/>
  <c r="B19"/>
  <c r="B117"/>
  <c r="B23"/>
  <c r="B119"/>
  <c r="B25"/>
  <c r="B64"/>
  <c r="B158"/>
  <c r="B63"/>
  <c r="B157"/>
  <c r="B32"/>
  <c r="B126"/>
  <c r="B42"/>
  <c r="B136"/>
  <c r="B135"/>
  <c r="B41"/>
  <c r="B144"/>
  <c r="B50"/>
  <c r="B58"/>
  <c r="B151"/>
  <c r="B65"/>
  <c r="B159"/>
  <c r="G8"/>
  <c r="G102" s="1"/>
  <c r="K8"/>
  <c r="K102" s="1"/>
  <c r="O8"/>
  <c r="O102" s="1"/>
  <c r="B12"/>
  <c r="B106"/>
  <c r="B16"/>
  <c r="B110"/>
  <c r="B20"/>
  <c r="B114"/>
  <c r="B118"/>
  <c r="B24"/>
  <c r="B123"/>
  <c r="B29"/>
  <c r="B129"/>
  <c r="B35"/>
  <c r="B137"/>
  <c r="B43"/>
  <c r="B138"/>
  <c r="B44"/>
  <c r="B141"/>
  <c r="B47"/>
  <c r="B48"/>
  <c r="B142"/>
  <c r="B59"/>
  <c r="B152"/>
  <c r="B53"/>
  <c r="B153"/>
  <c r="B60"/>
  <c r="B154"/>
  <c r="B10"/>
  <c r="B104"/>
  <c r="B107"/>
  <c r="B13"/>
  <c r="B111"/>
  <c r="B17"/>
  <c r="B115"/>
  <c r="B21"/>
  <c r="B120"/>
  <c r="B26"/>
  <c r="B28"/>
  <c r="B122"/>
  <c r="B125"/>
  <c r="B31"/>
  <c r="B127"/>
  <c r="B33"/>
  <c r="B128"/>
  <c r="B34"/>
  <c r="B132"/>
  <c r="B38"/>
  <c r="B133"/>
  <c r="B39"/>
  <c r="B40"/>
  <c r="B134"/>
  <c r="B57"/>
  <c r="B150"/>
  <c r="B146"/>
  <c r="B52"/>
  <c r="B145"/>
  <c r="B51"/>
  <c r="B55"/>
  <c r="B148"/>
  <c r="B61"/>
  <c r="B155"/>
  <c r="T9"/>
  <c r="T103" s="1"/>
  <c r="B14"/>
  <c r="B108"/>
  <c r="B18"/>
  <c r="B112"/>
  <c r="B22"/>
  <c r="B116"/>
  <c r="B121"/>
  <c r="B27"/>
  <c r="B62"/>
  <c r="B156"/>
  <c r="B124"/>
  <c r="B30"/>
  <c r="B36"/>
  <c r="B130"/>
  <c r="B131"/>
  <c r="B37"/>
  <c r="B139"/>
  <c r="B45"/>
  <c r="B140"/>
  <c r="B46"/>
  <c r="B49"/>
  <c r="B143"/>
  <c r="B56"/>
  <c r="B149"/>
  <c r="S8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<sst xmlns="http://schemas.openxmlformats.org/spreadsheetml/2006/main" count="1531" uniqueCount="778">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</sst>
</file>

<file path=xl/styles.xml><?xml version="1.0" encoding="utf-8"?>
<styleSheet xmlns="http://schemas.openxmlformats.org/spreadsheetml/2006/main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r-Latn-CS"/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26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C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35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/>
        <c:marker val="1"/>
        <c:axId val="53728768"/>
        <c:axId val="53730304"/>
      </c:lineChart>
      <c:catAx>
        <c:axId val="53728768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lang="en-US" sz="600"/>
            </a:pPr>
            <a:endParaRPr lang="sr-Latn-CS"/>
          </a:p>
        </c:txPr>
        <c:crossAx val="53730304"/>
        <c:crosses val="autoZero"/>
        <c:auto val="1"/>
        <c:lblAlgn val="ctr"/>
        <c:lblOffset val="100"/>
        <c:tickLblSkip val="3"/>
      </c:catAx>
      <c:valAx>
        <c:axId val="53730304"/>
        <c:scaling>
          <c:orientation val="minMax"/>
          <c:min val="40000000"/>
        </c:scaling>
        <c:axPos val="l"/>
        <c:numFmt formatCode="###,000" sourceLinked="1"/>
        <c:tickLblPos val="nextTo"/>
        <c:txPr>
          <a:bodyPr/>
          <a:lstStyle/>
          <a:p>
            <a:pPr>
              <a:defRPr lang="en-US" sz="500"/>
            </a:pPr>
            <a:endParaRPr lang="sr-Latn-CS"/>
          </a:p>
        </c:txPr>
        <c:crossAx val="5372876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lang="en-US" sz="800"/>
          </a:pPr>
          <a:endParaRPr lang="sr-Latn-CS"/>
        </a:p>
      </c:txPr>
    </c:legend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r-Latn-CS"/>
  <c:chart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58"/>
        </c:manualLayout>
      </c:layout>
      <c:lineChart>
        <c:grouping val="standard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/>
        <c:marker val="1"/>
        <c:axId val="54116352"/>
        <c:axId val="54117888"/>
      </c:lineChart>
      <c:catAx>
        <c:axId val="54116352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lang="en-US" sz="600"/>
            </a:pPr>
            <a:endParaRPr lang="sr-Latn-CS"/>
          </a:p>
        </c:txPr>
        <c:crossAx val="54117888"/>
        <c:crosses val="autoZero"/>
        <c:auto val="1"/>
        <c:lblAlgn val="ctr"/>
        <c:lblOffset val="100"/>
        <c:tickLblSkip val="3"/>
      </c:catAx>
      <c:valAx>
        <c:axId val="54117888"/>
        <c:scaling>
          <c:orientation val="minMax"/>
        </c:scaling>
        <c:axPos val="l"/>
        <c:numFmt formatCode="###,000" sourceLinked="1"/>
        <c:tickLblPos val="nextTo"/>
        <c:txPr>
          <a:bodyPr/>
          <a:lstStyle/>
          <a:p>
            <a:pPr>
              <a:defRPr lang="en-US" sz="500"/>
            </a:pPr>
            <a:endParaRPr lang="sr-Latn-CS"/>
          </a:p>
        </c:txPr>
        <c:crossAx val="54116352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chart" Target="../charts/chart1.xml"/><Relationship Id="rId7" Type="http://schemas.openxmlformats.org/officeDocument/2006/relationships/hyperlink" Target="#'2016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7'!_2015plan"/><Relationship Id="rId5" Type="http://schemas.openxmlformats.org/officeDocument/2006/relationships/hyperlink" Target="#'2015'!A1"/><Relationship Id="rId10" Type="http://schemas.openxmlformats.org/officeDocument/2006/relationships/hyperlink" Target="#'2017'!B7"/><Relationship Id="rId4" Type="http://schemas.openxmlformats.org/officeDocument/2006/relationships/hyperlink" Target="#'2016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7'!_2015plan"/><Relationship Id="rId5" Type="http://schemas.openxmlformats.org/officeDocument/2006/relationships/hyperlink" Target="#'2015'!A1"/><Relationship Id="rId10" Type="http://schemas.openxmlformats.org/officeDocument/2006/relationships/hyperlink" Target="#'2017'!B7"/><Relationship Id="rId4" Type="http://schemas.openxmlformats.org/officeDocument/2006/relationships/hyperlink" Target="#'2016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6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6'!_2015plan"/><Relationship Id="rId5" Type="http://schemas.openxmlformats.org/officeDocument/2006/relationships/hyperlink" Target="#'2014'!A1"/><Relationship Id="rId10" Type="http://schemas.openxmlformats.org/officeDocument/2006/relationships/hyperlink" Target="#'2016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B7"/><Relationship Id="rId3" Type="http://schemas.openxmlformats.org/officeDocument/2006/relationships/hyperlink" Target="#'2013'!A1"/><Relationship Id="rId7" Type="http://schemas.openxmlformats.org/officeDocument/2006/relationships/hyperlink" Target="#'Analitika - 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A1"/><Relationship Id="rId5" Type="http://schemas.openxmlformats.org/officeDocument/2006/relationships/hyperlink" Target="#Breakdown!A1"/><Relationship Id="rId10" Type="http://schemas.openxmlformats.org/officeDocument/2006/relationships/hyperlink" Target="#'2014'!A1"/><Relationship Id="rId4" Type="http://schemas.openxmlformats.org/officeDocument/2006/relationships/hyperlink" Target="#Breakdown!A1"/><Relationship Id="rId9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B7"/><Relationship Id="rId3" Type="http://schemas.openxmlformats.org/officeDocument/2006/relationships/hyperlink" Target="#'2013'!A1"/><Relationship Id="rId7" Type="http://schemas.openxmlformats.org/officeDocument/2006/relationships/hyperlink" Target="#'Analitika - 2015'!A1"/><Relationship Id="rId12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3'!A1"/><Relationship Id="rId5" Type="http://schemas.openxmlformats.org/officeDocument/2006/relationships/hyperlink" Target="#Breakdown!A1"/><Relationship Id="rId10" Type="http://schemas.openxmlformats.org/officeDocument/2006/relationships/hyperlink" Target="#DataEx!A1"/><Relationship Id="rId4" Type="http://schemas.openxmlformats.org/officeDocument/2006/relationships/hyperlink" Target="#Breakdown!A1"/><Relationship Id="rId9" Type="http://schemas.openxmlformats.org/officeDocument/2006/relationships/hyperlink" Target="#'2014'!_2014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DataEx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x-none" sz="1100"/>
            <a:t>SAOPŠTENJE</a:t>
          </a:r>
          <a:r>
            <a:rPr lang="sr-Latn-RS" sz="1100"/>
            <a:t>:</a:t>
          </a:r>
          <a:r>
            <a:rPr lang="sr-Latn-RS" sz="1100" baseline="0"/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C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januar-jul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924,3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</a:t>
          </a:r>
          <a:r>
            <a:rPr lang="sr-Latn-C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 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3,5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0,4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96,4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julu prihodi budžeta iznosili su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160,5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u odnosu na plan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su za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3,5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2,2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%, i odnosu na isti mjesec 2017. godine viši za  14,6 mil.€ ili 10,0%.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992,6 mil.€ ili  22,4% BDP-a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59,7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6,4%. U odnosu na plan izdaci su niži za  50,3 mil. € ili 4,8%.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u julu iznosili su  143,6 mil.€ ili 3,2% i u odnosu na jul 2017. niži su za  2,2 mil.€ ili 1,5% i u odnosu na plan za 14,5 mil.€ ili 9,2%.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januar-jul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68,2 mil.€ ili 1,5% procijenjenog BDP-a, a u julu je ostvaren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suficit budžeta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iznosu od 17,0 mil.€ ili 0,4% BDP-a.</a:t>
          </a:r>
          <a:endParaRPr lang="en-GB">
            <a:effectLst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</a:p>
        <a:p>
          <a:pPr algn="just"/>
          <a:r>
            <a:rPr lang="sr-Latn-RS" sz="1100" baseline="0"/>
            <a:t>Stavka Izdaci za kupovinu hartija od vrijednosti je metodološki usklađena sa GFSM2014 i predstavlja transakciju finansiranja, i kao takva nije sastavni dio deficita budžeta. 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8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363538</xdr:colOff>
      <xdr:row>1</xdr:row>
      <xdr:rowOff>123825</xdr:rowOff>
    </xdr:from>
    <xdr:to>
      <xdr:col>13</xdr:col>
      <xdr:colOff>116523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26670</xdr:colOff>
      <xdr:row>1</xdr:row>
      <xdr:rowOff>47624</xdr:rowOff>
    </xdr:from>
    <xdr:to>
      <xdr:col>16</xdr:col>
      <xdr:colOff>388078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621665</xdr:colOff>
      <xdr:row>2</xdr:row>
      <xdr:rowOff>161925</xdr:rowOff>
    </xdr:from>
    <xdr:to>
      <xdr:col>19</xdr:col>
      <xdr:colOff>121377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16</xdr:col>
      <xdr:colOff>616652</xdr:colOff>
      <xdr:row>4</xdr:row>
      <xdr:rowOff>72190</xdr:rowOff>
    </xdr:from>
    <xdr:to>
      <xdr:col>19</xdr:col>
      <xdr:colOff>116364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255905</xdr:colOff>
      <xdr:row>1</xdr:row>
      <xdr:rowOff>57150</xdr:rowOff>
    </xdr:from>
    <xdr:to>
      <xdr:col>21</xdr:col>
      <xdr:colOff>594770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265430</xdr:colOff>
      <xdr:row>2</xdr:row>
      <xdr:rowOff>152400</xdr:rowOff>
    </xdr:from>
    <xdr:to>
      <xdr:col>21</xdr:col>
      <xdr:colOff>604295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274955</xdr:colOff>
      <xdr:row>4</xdr:row>
      <xdr:rowOff>66675</xdr:rowOff>
    </xdr:from>
    <xdr:to>
      <xdr:col>21</xdr:col>
      <xdr:colOff>596675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357188</xdr:colOff>
      <xdr:row>3</xdr:row>
      <xdr:rowOff>95250</xdr:rowOff>
    </xdr:from>
    <xdr:to>
      <xdr:col>13</xdr:col>
      <xdr:colOff>106998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14</xdr:col>
      <xdr:colOff>549910</xdr:colOff>
      <xdr:row>2</xdr:row>
      <xdr:rowOff>161925</xdr:rowOff>
    </xdr:from>
    <xdr:to>
      <xdr:col>16</xdr:col>
      <xdr:colOff>407353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14</xdr:col>
      <xdr:colOff>549910</xdr:colOff>
      <xdr:row>4</xdr:row>
      <xdr:rowOff>104775</xdr:rowOff>
    </xdr:from>
    <xdr:to>
      <xdr:col>16</xdr:col>
      <xdr:colOff>407353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696913</xdr:colOff>
      <xdr:row>1</xdr:row>
      <xdr:rowOff>123825</xdr:rowOff>
    </xdr:from>
    <xdr:to>
      <xdr:col>11</xdr:col>
      <xdr:colOff>345123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11</xdr:col>
      <xdr:colOff>969645</xdr:colOff>
      <xdr:row>1</xdr:row>
      <xdr:rowOff>47624</xdr:rowOff>
    </xdr:from>
    <xdr:to>
      <xdr:col>13</xdr:col>
      <xdr:colOff>721453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14</xdr:col>
      <xdr:colOff>21590</xdr:colOff>
      <xdr:row>2</xdr:row>
      <xdr:rowOff>161925</xdr:rowOff>
    </xdr:from>
    <xdr:to>
      <xdr:col>15</xdr:col>
      <xdr:colOff>835752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16577</xdr:colOff>
      <xdr:row>4</xdr:row>
      <xdr:rowOff>72190</xdr:rowOff>
    </xdr:from>
    <xdr:to>
      <xdr:col>15</xdr:col>
      <xdr:colOff>830739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46355</xdr:colOff>
      <xdr:row>1</xdr:row>
      <xdr:rowOff>57150</xdr:rowOff>
    </xdr:from>
    <xdr:to>
      <xdr:col>17</xdr:col>
      <xdr:colOff>909095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55880</xdr:colOff>
      <xdr:row>2</xdr:row>
      <xdr:rowOff>152400</xdr:rowOff>
    </xdr:from>
    <xdr:to>
      <xdr:col>17</xdr:col>
      <xdr:colOff>918620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65405</xdr:colOff>
      <xdr:row>4</xdr:row>
      <xdr:rowOff>66675</xdr:rowOff>
    </xdr:from>
    <xdr:to>
      <xdr:col>17</xdr:col>
      <xdr:colOff>911000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690563</xdr:colOff>
      <xdr:row>3</xdr:row>
      <xdr:rowOff>95250</xdr:rowOff>
    </xdr:from>
    <xdr:to>
      <xdr:col>11</xdr:col>
      <xdr:colOff>335598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12</xdr:col>
      <xdr:colOff>502285</xdr:colOff>
      <xdr:row>2</xdr:row>
      <xdr:rowOff>161925</xdr:rowOff>
    </xdr:from>
    <xdr:to>
      <xdr:col>13</xdr:col>
      <xdr:colOff>740728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12</xdr:col>
      <xdr:colOff>502285</xdr:colOff>
      <xdr:row>4</xdr:row>
      <xdr:rowOff>104775</xdr:rowOff>
    </xdr:from>
    <xdr:to>
      <xdr:col>13</xdr:col>
      <xdr:colOff>740728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10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11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10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11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12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2018-07</v>
      </c>
      <c r="O6" s="168" t="str">
        <f>+CONCATENATE(N6,"p")</f>
        <v>2018-07p</v>
      </c>
      <c r="P6" s="152"/>
      <c r="Q6" s="152"/>
      <c r="R6" s="168" t="str">
        <f>+IF(Master!B3-10&gt;=0,CONCATENATE(Master!B4-1,"-",Master!B3),CONCATENATE(Master!B4-1,"-0",Master!B3))</f>
        <v>2017-07</v>
      </c>
      <c r="S6" s="152"/>
      <c r="T6" s="152"/>
    </row>
    <row r="7" spans="1:20">
      <c r="A7" s="169"/>
      <c r="B7" s="478" t="s">
        <v>707</v>
      </c>
      <c r="C7" s="479"/>
      <c r="D7" s="479"/>
      <c r="E7" s="479"/>
      <c r="F7" s="479"/>
      <c r="G7" s="487" t="s">
        <v>705</v>
      </c>
      <c r="H7" s="488"/>
      <c r="I7" s="488"/>
      <c r="J7" s="488"/>
      <c r="K7" s="488"/>
      <c r="L7" s="488"/>
      <c r="M7" s="489"/>
      <c r="N7" s="490" t="str">
        <f>+Master!G240</f>
        <v>Decembar</v>
      </c>
      <c r="O7" s="488"/>
      <c r="P7" s="488"/>
      <c r="Q7" s="488"/>
      <c r="R7" s="488"/>
      <c r="S7" s="488"/>
      <c r="T7" s="491"/>
    </row>
    <row r="8" spans="1:20">
      <c r="A8" s="169"/>
      <c r="B8" s="480"/>
      <c r="C8" s="481"/>
      <c r="D8" s="481"/>
      <c r="E8" s="481"/>
      <c r="F8" s="482"/>
      <c r="G8" s="170" t="str">
        <f>+Master!G21</f>
        <v>Ostvarenje</v>
      </c>
      <c r="H8" s="170" t="str">
        <f>+Master!G20</f>
        <v>Plan</v>
      </c>
      <c r="I8" s="476" t="str">
        <f>+Master!G258</f>
        <v>Odstupanje</v>
      </c>
      <c r="J8" s="476"/>
      <c r="K8" s="170" t="str">
        <f>+CONCATENATE(Master!G243," ",Master!B4-1)</f>
        <v>Jan - Jul 2017</v>
      </c>
      <c r="L8" s="476" t="str">
        <f>+I8</f>
        <v>Odstupanje</v>
      </c>
      <c r="M8" s="486"/>
      <c r="N8" s="171" t="str">
        <f>+G8</f>
        <v>Ostvarenje</v>
      </c>
      <c r="O8" s="170" t="str">
        <f>+H8</f>
        <v>Plan</v>
      </c>
      <c r="P8" s="476" t="str">
        <f>+I8</f>
        <v>Odstupanje</v>
      </c>
      <c r="Q8" s="476"/>
      <c r="R8" s="170" t="str">
        <f>+CONCATENATE(Master!G242," ",Master!B4-1)</f>
        <v>Jul 2017</v>
      </c>
      <c r="S8" s="476" t="str">
        <f>+P8</f>
        <v>Odstupanje</v>
      </c>
      <c r="T8" s="477"/>
    </row>
    <row r="9" spans="1:20" ht="15.7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50" t="e">
        <f>+VLOOKUP($A18,Master!$D$25:$G$223,4,FALSE)</f>
        <v>#N/A</v>
      </c>
      <c r="C18" s="451"/>
      <c r="D18" s="451"/>
      <c r="E18" s="451"/>
      <c r="F18" s="451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50" t="str">
        <f>+VLOOKUP($A19,Master!$D$25:$G$223,4,FALSE)</f>
        <v>Ostali državni porezi</v>
      </c>
      <c r="C19" s="451"/>
      <c r="D19" s="451"/>
      <c r="E19" s="451"/>
      <c r="F19" s="451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54" t="str">
        <f>+VLOOKUP($A20,Master!$D$25:$G$223,4,FALSE)</f>
        <v>Doprinosi</v>
      </c>
      <c r="C20" s="455"/>
      <c r="D20" s="455"/>
      <c r="E20" s="455"/>
      <c r="F20" s="455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50" t="str">
        <f>+VLOOKUP($A21,Master!$D$25:$G$223,4,FALSE)</f>
        <v>Doprinosi za penzijsko i invalidsko osiguranje</v>
      </c>
      <c r="C21" s="451"/>
      <c r="D21" s="451"/>
      <c r="E21" s="451"/>
      <c r="F21" s="451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50" t="str">
        <f>+VLOOKUP($A22,Master!$D$25:$G$223,4,FALSE)</f>
        <v>Doprinosi za zdravstveno osiguranje</v>
      </c>
      <c r="C22" s="451"/>
      <c r="D22" s="451"/>
      <c r="E22" s="451"/>
      <c r="F22" s="451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50" t="str">
        <f>+VLOOKUP($A23,Master!$D$25:$G$223,4,FALSE)</f>
        <v>Doprinosi za osiguranje od nezaposlenosti</v>
      </c>
      <c r="C23" s="451"/>
      <c r="D23" s="451"/>
      <c r="E23" s="451"/>
      <c r="F23" s="451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50" t="str">
        <f>+VLOOKUP($A24,Master!$D$25:$G$223,4,FALSE)</f>
        <v>Ostali doprinosi</v>
      </c>
      <c r="C24" s="451"/>
      <c r="D24" s="451"/>
      <c r="E24" s="451"/>
      <c r="F24" s="451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52" t="str">
        <f>+VLOOKUP($A25,Master!$D$25:$G$223,4,FALSE)</f>
        <v>Takse</v>
      </c>
      <c r="C25" s="453"/>
      <c r="D25" s="453"/>
      <c r="E25" s="453"/>
      <c r="F25" s="453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52" t="str">
        <f>+VLOOKUP($A26,Master!$D$25:$G$223,4,FALSE)</f>
        <v>Naknade</v>
      </c>
      <c r="C26" s="453"/>
      <c r="D26" s="453"/>
      <c r="E26" s="453"/>
      <c r="F26" s="453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52" t="str">
        <f>+VLOOKUP($A27,Master!$D$25:$G$223,4,FALSE)</f>
        <v>Ostali prihodi</v>
      </c>
      <c r="C27" s="453"/>
      <c r="D27" s="453"/>
      <c r="E27" s="453"/>
      <c r="F27" s="453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52" t="str">
        <f>+VLOOKUP($A28,Master!$D$25:$G$223,4,FALSE)</f>
        <v>Primici od otplate kredita i sredstva prenesena iz prethodne godine</v>
      </c>
      <c r="C28" s="453"/>
      <c r="D28" s="453"/>
      <c r="E28" s="453"/>
      <c r="F28" s="453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56" t="str">
        <f>+VLOOKUP($A29,Master!$D$25:$G$223,4,FALSE)</f>
        <v>Donacije i transferi</v>
      </c>
      <c r="C29" s="457"/>
      <c r="D29" s="457"/>
      <c r="E29" s="457"/>
      <c r="F29" s="457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58" t="str">
        <f>+VLOOKUP($A30,Master!$D$25:$G$223,4,FALSE)</f>
        <v>Budžetski izdaci</v>
      </c>
      <c r="C30" s="459"/>
      <c r="D30" s="459"/>
      <c r="E30" s="459"/>
      <c r="F30" s="459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60" t="str">
        <f>+VLOOKUP($A31,Master!$D$25:$G$223,4,FALSE)</f>
        <v>Tekući izdaci</v>
      </c>
      <c r="C31" s="461"/>
      <c r="D31" s="461"/>
      <c r="E31" s="461"/>
      <c r="F31" s="461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62" t="str">
        <f>+VLOOKUP($A32,Master!$D$25:$G$223,4,FALSE)</f>
        <v>Tekući budžetski izdaci</v>
      </c>
      <c r="C32" s="463"/>
      <c r="D32" s="463"/>
      <c r="E32" s="463"/>
      <c r="F32" s="463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50" t="str">
        <f>+VLOOKUP($A33,Master!$D$25:$G$223,4,FALSE)</f>
        <v>Bruto zarade i doprinosi na teret poslodavca</v>
      </c>
      <c r="C33" s="451"/>
      <c r="D33" s="451"/>
      <c r="E33" s="451"/>
      <c r="F33" s="451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50" t="str">
        <f>+VLOOKUP($A34,Master!$D$25:$G$223,4,FALSE)</f>
        <v>Ostala lična primanja</v>
      </c>
      <c r="C34" s="451"/>
      <c r="D34" s="451"/>
      <c r="E34" s="451"/>
      <c r="F34" s="451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50" t="str">
        <f>+VLOOKUP($A35,Master!$D$25:$G$223,4,FALSE)</f>
        <v>Rashodi za materijal</v>
      </c>
      <c r="C35" s="451"/>
      <c r="D35" s="451"/>
      <c r="E35" s="451"/>
      <c r="F35" s="451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50" t="str">
        <f>+VLOOKUP($A36,Master!$D$25:$G$223,4,FALSE)</f>
        <v>Rashodi za usluge</v>
      </c>
      <c r="C36" s="451"/>
      <c r="D36" s="451"/>
      <c r="E36" s="451"/>
      <c r="F36" s="451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50" t="str">
        <f>+VLOOKUP($A37,Master!$D$25:$G$223,4,FALSE)</f>
        <v>Rashodi za tekuće održavanje</v>
      </c>
      <c r="C37" s="451"/>
      <c r="D37" s="451"/>
      <c r="E37" s="451"/>
      <c r="F37" s="451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50" t="str">
        <f>+VLOOKUP($A38,Master!$D$25:$G$223,4,FALSE)</f>
        <v>Kamate</v>
      </c>
      <c r="C38" s="451"/>
      <c r="D38" s="451"/>
      <c r="E38" s="451"/>
      <c r="F38" s="451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50" t="str">
        <f>+VLOOKUP($A39,Master!$D$25:$G$223,4,FALSE)</f>
        <v>Renta</v>
      </c>
      <c r="C39" s="451"/>
      <c r="D39" s="451"/>
      <c r="E39" s="451"/>
      <c r="F39" s="451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50" t="str">
        <f>+VLOOKUP($A40,Master!$D$25:$G$223,4,FALSE)</f>
        <v>Subvencije</v>
      </c>
      <c r="C40" s="451"/>
      <c r="D40" s="451"/>
      <c r="E40" s="451"/>
      <c r="F40" s="451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50" t="str">
        <f>+VLOOKUP($A41,Master!$D$25:$G$223,4,FALSE)</f>
        <v>Ostali izdaci</v>
      </c>
      <c r="C41" s="451"/>
      <c r="D41" s="451"/>
      <c r="E41" s="451"/>
      <c r="F41" s="451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50" t="str">
        <f>+VLOOKUP($A42,Master!$D$25:$G$223,4,FALSE)</f>
        <v>Kapitalni izdaci u tekućem budžetu</v>
      </c>
      <c r="C42" s="451"/>
      <c r="D42" s="451"/>
      <c r="E42" s="451"/>
      <c r="F42" s="451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66" t="str">
        <f>+VLOOKUP($A43,Master!$D$25:$G$223,4,FALSE)</f>
        <v>Transferi za socijalnu zaštitu</v>
      </c>
      <c r="C43" s="467"/>
      <c r="D43" s="467"/>
      <c r="E43" s="467"/>
      <c r="F43" s="467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50" t="str">
        <f>+VLOOKUP($A44,Master!$D$25:$G$223,4,FALSE)</f>
        <v>Prava iz oblasti socijalne zaštite</v>
      </c>
      <c r="C44" s="451"/>
      <c r="D44" s="451"/>
      <c r="E44" s="451"/>
      <c r="F44" s="451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50" t="str">
        <f>+VLOOKUP($A45,Master!$D$25:$G$223,4,FALSE)</f>
        <v>Sredstva za tehnološke viškove</v>
      </c>
      <c r="C45" s="451"/>
      <c r="D45" s="451"/>
      <c r="E45" s="451"/>
      <c r="F45" s="451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50" t="str">
        <f>+VLOOKUP($A46,Master!$D$25:$G$223,4,FALSE)</f>
        <v>Prava iz oblasti penzijskog i invalidskog osiguranja</v>
      </c>
      <c r="C46" s="451"/>
      <c r="D46" s="451"/>
      <c r="E46" s="451"/>
      <c r="F46" s="451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50" t="str">
        <f>+VLOOKUP($A47,Master!$D$25:$G$223,4,FALSE)</f>
        <v>Ostala prava iz oblasti zdravstvene zaštite</v>
      </c>
      <c r="C47" s="451"/>
      <c r="D47" s="451"/>
      <c r="E47" s="451"/>
      <c r="F47" s="451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50" t="str">
        <f>+VLOOKUP($A48,Master!$D$25:$G$223,4,FALSE)</f>
        <v>Ostala prava iz zdravstvenog osiguranja</v>
      </c>
      <c r="C48" s="451"/>
      <c r="D48" s="451"/>
      <c r="E48" s="451"/>
      <c r="F48" s="451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64" t="str">
        <f>+VLOOKUP($A49,Master!$D$25:$G$223,4,FALSE)</f>
        <v xml:space="preserve">Transferi institucijama, pojedincima, nevladinom i javnom sektoru </v>
      </c>
      <c r="C49" s="465"/>
      <c r="D49" s="465"/>
      <c r="E49" s="465"/>
      <c r="F49" s="465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64" t="str">
        <f>+VLOOKUP($A50,Master!$D$25:$G$223,4,FALSE)</f>
        <v>Kapitalni budžet</v>
      </c>
      <c r="C50" s="465"/>
      <c r="D50" s="465"/>
      <c r="E50" s="465"/>
      <c r="F50" s="465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68" t="str">
        <f>+VLOOKUP($A51,Master!$D$25:$G$223,4,FALSE)</f>
        <v>Pozajmice i krediti</v>
      </c>
      <c r="C51" s="469"/>
      <c r="D51" s="469"/>
      <c r="E51" s="469"/>
      <c r="F51" s="469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68" t="str">
        <f>+VLOOKUP($A52,Master!$D$25:$G$223,4,FALSE)</f>
        <v>Rezerve</v>
      </c>
      <c r="C52" s="469"/>
      <c r="D52" s="469"/>
      <c r="E52" s="469"/>
      <c r="F52" s="469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0" t="str">
        <f>+VLOOKUP($A53,Master!$D$25:$G$223,4,FALSE)</f>
        <v>Otplata garancija</v>
      </c>
      <c r="C53" s="471"/>
      <c r="D53" s="471"/>
      <c r="E53" s="471"/>
      <c r="F53" s="471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0" t="str">
        <f>+VLOOKUP($A54,Master!$D$25:$G$223,4,FALSE)</f>
        <v>Otplata obaveza iz prethodnih godina</v>
      </c>
      <c r="C54" s="471"/>
      <c r="D54" s="471"/>
      <c r="E54" s="471"/>
      <c r="F54" s="471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0" t="str">
        <f>+VLOOKUP($A55,Master!$D$25:$G$225,4,FALSE)</f>
        <v>Neto povećanje obaveza</v>
      </c>
      <c r="C55" s="471"/>
      <c r="D55" s="471"/>
      <c r="E55" s="471"/>
      <c r="F55" s="471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2" t="str">
        <f>+VLOOKUP($A56,Master!$D$25:$G$223,4,FALSE)</f>
        <v>Suficit / deficit</v>
      </c>
      <c r="C56" s="473"/>
      <c r="D56" s="473"/>
      <c r="E56" s="473"/>
      <c r="F56" s="473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4" t="str">
        <f>+VLOOKUP($A57,Master!$D$25:$G$223,4,FALSE)</f>
        <v>Primarni bilans</v>
      </c>
      <c r="C57" s="475"/>
      <c r="D57" s="475"/>
      <c r="E57" s="475"/>
      <c r="F57" s="475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66" t="str">
        <f>+VLOOKUP($A58,Master!$D$25:$G$223,4,FALSE)</f>
        <v>Otplata dugova</v>
      </c>
      <c r="C58" s="467"/>
      <c r="D58" s="467"/>
      <c r="E58" s="467"/>
      <c r="F58" s="467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92" t="str">
        <f>+VLOOKUP($A59,Master!$D$25:$G$223,4,FALSE)</f>
        <v>Otplata hartija od vrijednosti i kredita rezidentima</v>
      </c>
      <c r="C59" s="493"/>
      <c r="D59" s="493"/>
      <c r="E59" s="493"/>
      <c r="F59" s="493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68" t="str">
        <f>+VLOOKUP($A60,Master!$D$25:$G$223,4,FALSE)</f>
        <v>Otplata hartija od vrijednosti i kredita nerezidentima</v>
      </c>
      <c r="C60" s="469"/>
      <c r="D60" s="469"/>
      <c r="E60" s="469"/>
      <c r="F60" s="469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698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94" t="str">
        <f>+VLOOKUP($A62,Master!$D$25:$G$223,4,FALSE)</f>
        <v>Nedostajuća sredstva</v>
      </c>
      <c r="C62" s="495"/>
      <c r="D62" s="495"/>
      <c r="E62" s="495"/>
      <c r="F62" s="495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58" t="str">
        <f>+VLOOKUP($A63,Master!$D$25:$G$223,4,FALSE)</f>
        <v>Finansiranje</v>
      </c>
      <c r="C63" s="459"/>
      <c r="D63" s="459"/>
      <c r="E63" s="459"/>
      <c r="F63" s="459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92" t="str">
        <f>+VLOOKUP($A64,Master!$D$25:$G$223,4,FALSE)</f>
        <v>Pozajmice i krediti od domaćih izvora</v>
      </c>
      <c r="C64" s="493"/>
      <c r="D64" s="493"/>
      <c r="E64" s="493"/>
      <c r="F64" s="493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68" t="str">
        <f>+VLOOKUP($A65,Master!$D$25:$G$223,4,FALSE)</f>
        <v>Pozajmice i krediti od inostranih izvora</v>
      </c>
      <c r="C65" s="469"/>
      <c r="D65" s="469"/>
      <c r="E65" s="469"/>
      <c r="F65" s="469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68" t="str">
        <f>+VLOOKUP($A66,Master!$D$25:$G$223,4,FALSE)</f>
        <v>Primici od prodaje imovine</v>
      </c>
      <c r="C66" s="469"/>
      <c r="D66" s="469"/>
      <c r="E66" s="469"/>
      <c r="F66" s="469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+VLOOKUP($A67,Master!$D$25:$G$223,4,FALSE)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17" t="str">
        <f>+Master!G249</f>
        <v>Ostvarenje budžeta</v>
      </c>
      <c r="C7" s="518"/>
      <c r="D7" s="518"/>
      <c r="E7" s="518"/>
      <c r="F7" s="518"/>
      <c r="G7" s="509">
        <v>2013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10"/>
      <c r="S7" s="115" t="str">
        <f>+Master!G246</f>
        <v>BDP</v>
      </c>
      <c r="T7" s="116">
        <v>3393200615</v>
      </c>
    </row>
    <row r="8" spans="1:20" ht="16.5" customHeight="1">
      <c r="B8" s="519"/>
      <c r="C8" s="520"/>
      <c r="D8" s="520"/>
      <c r="E8" s="520"/>
      <c r="F8" s="521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509" t="str">
        <f>+Master!G243</f>
        <v>Jan - Jul</v>
      </c>
      <c r="T8" s="510"/>
    </row>
    <row r="9" spans="1:20" ht="13.5" thickBot="1">
      <c r="B9" s="522"/>
      <c r="C9" s="523"/>
      <c r="D9" s="523"/>
      <c r="E9" s="523"/>
      <c r="F9" s="524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511" t="str">
        <f>+VLOOKUP($A10,Master!$D$25:$G$223,4,FALSE)</f>
        <v>Prihodi budžeta</v>
      </c>
      <c r="C10" s="512"/>
      <c r="D10" s="512"/>
      <c r="E10" s="512"/>
      <c r="F10" s="512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13" t="str">
        <f>+VLOOKUP($A11,Master!$D$25:$G$223,4,FALSE)</f>
        <v>Porezi</v>
      </c>
      <c r="C11" s="514"/>
      <c r="D11" s="514"/>
      <c r="E11" s="514"/>
      <c r="F11" s="514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5" t="str">
        <f>+VLOOKUP($A12,Master!$D$25:$G$223,4,FALSE)</f>
        <v>Porez na dohodak fizičkih lica</v>
      </c>
      <c r="C12" s="516"/>
      <c r="D12" s="516"/>
      <c r="E12" s="516"/>
      <c r="F12" s="516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5" t="str">
        <f>+VLOOKUP($A13,Master!$D$25:$G$223,4,FALSE)</f>
        <v>Porez na dobit pravnih lica</v>
      </c>
      <c r="C13" s="516"/>
      <c r="D13" s="516"/>
      <c r="E13" s="516"/>
      <c r="F13" s="516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5" t="str">
        <f>+VLOOKUP($A14,Master!$D$25:$G$223,4,FALSE)</f>
        <v>Porez na promet nepokretnosti</v>
      </c>
      <c r="C14" s="516"/>
      <c r="D14" s="516"/>
      <c r="E14" s="516"/>
      <c r="F14" s="516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5" t="str">
        <f>+VLOOKUP($A15,Master!$D$25:$G$223,4,FALSE)</f>
        <v>Porez na dodatu vrijednost</v>
      </c>
      <c r="C15" s="516"/>
      <c r="D15" s="516"/>
      <c r="E15" s="516"/>
      <c r="F15" s="516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5" t="str">
        <f>+VLOOKUP($A16,Master!$D$25:$G$223,4,FALSE)</f>
        <v>Akcize</v>
      </c>
      <c r="C16" s="516"/>
      <c r="D16" s="516"/>
      <c r="E16" s="516"/>
      <c r="F16" s="516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5" t="str">
        <f>+VLOOKUP($A17,Master!$D$25:$G$223,4,FALSE)</f>
        <v>Porez na međunarodnu trgovinu i transakcije</v>
      </c>
      <c r="C17" s="516"/>
      <c r="D17" s="516"/>
      <c r="E17" s="516"/>
      <c r="F17" s="516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5" t="e">
        <f>+VLOOKUP($A18,Master!$D$25:$G$223,4,FALSE)</f>
        <v>#N/A</v>
      </c>
      <c r="C18" s="516"/>
      <c r="D18" s="516"/>
      <c r="E18" s="516"/>
      <c r="F18" s="516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5" t="str">
        <f>+VLOOKUP($A19,Master!$D$25:$G$223,4,FALSE)</f>
        <v>Ostali državni porezi</v>
      </c>
      <c r="C19" s="516"/>
      <c r="D19" s="516"/>
      <c r="E19" s="516"/>
      <c r="F19" s="516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8" t="str">
        <f>+VLOOKUP($A20,Master!$D$25:$G$223,4,FALSE)</f>
        <v>Doprinosi</v>
      </c>
      <c r="C20" s="529"/>
      <c r="D20" s="529"/>
      <c r="E20" s="529"/>
      <c r="F20" s="52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5" t="str">
        <f>+VLOOKUP($A21,Master!$D$25:$G$223,4,FALSE)</f>
        <v>Doprinosi za penzijsko i invalidsko osiguranje</v>
      </c>
      <c r="C21" s="516"/>
      <c r="D21" s="516"/>
      <c r="E21" s="516"/>
      <c r="F21" s="516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5" t="str">
        <f>+VLOOKUP($A22,Master!$D$25:$G$223,4,FALSE)</f>
        <v>Doprinosi za zdravstveno osiguranje</v>
      </c>
      <c r="C22" s="516"/>
      <c r="D22" s="516"/>
      <c r="E22" s="516"/>
      <c r="F22" s="516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5" t="str">
        <f>+VLOOKUP($A23,Master!$D$25:$G$223,4,FALSE)</f>
        <v>Doprinosi za osiguranje od nezaposlenosti</v>
      </c>
      <c r="C23" s="516"/>
      <c r="D23" s="516"/>
      <c r="E23" s="516"/>
      <c r="F23" s="516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5" t="str">
        <f>+VLOOKUP($A24,Master!$D$25:$G$223,4,FALSE)</f>
        <v>Ostali doprinosi</v>
      </c>
      <c r="C24" s="516"/>
      <c r="D24" s="516"/>
      <c r="E24" s="516"/>
      <c r="F24" s="516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6" t="str">
        <f>+VLOOKUP($A25,Master!$D$25:$G$223,4,FALSE)</f>
        <v>Takse</v>
      </c>
      <c r="C25" s="527"/>
      <c r="D25" s="527"/>
      <c r="E25" s="527"/>
      <c r="F25" s="527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6" t="str">
        <f>+VLOOKUP($A26,Master!$D$25:$G$223,4,FALSE)</f>
        <v>Naknade</v>
      </c>
      <c r="C26" s="527"/>
      <c r="D26" s="527"/>
      <c r="E26" s="527"/>
      <c r="F26" s="527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6" t="str">
        <f>+VLOOKUP($A27,Master!$D$25:$G$223,4,FALSE)</f>
        <v>Ostali prihodi</v>
      </c>
      <c r="C27" s="527"/>
      <c r="D27" s="527"/>
      <c r="E27" s="527"/>
      <c r="F27" s="527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6" t="str">
        <f>+VLOOKUP($A28,Master!$D$25:$G$223,4,FALSE)</f>
        <v>Primici od otplate kredita i sredstva prenesena iz prethodne godine</v>
      </c>
      <c r="C28" s="527"/>
      <c r="D28" s="527"/>
      <c r="E28" s="527"/>
      <c r="F28" s="527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30" t="str">
        <f>+VLOOKUP($A29,Master!$D$25:$G$223,4,FALSE)</f>
        <v>Donacije i transferi</v>
      </c>
      <c r="C29" s="531"/>
      <c r="D29" s="531"/>
      <c r="E29" s="531"/>
      <c r="F29" s="531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32" t="str">
        <f>+VLOOKUP($A30,Master!$D$25:$G$223,4,FALSE)</f>
        <v>Budžetski izdaci</v>
      </c>
      <c r="C30" s="533"/>
      <c r="D30" s="533"/>
      <c r="E30" s="533"/>
      <c r="F30" s="53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34" t="str">
        <f>+VLOOKUP($A31,Master!$D$25:$G$223,4,FALSE)</f>
        <v>Tekući izdaci</v>
      </c>
      <c r="C31" s="535"/>
      <c r="D31" s="535"/>
      <c r="E31" s="535"/>
      <c r="F31" s="535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36" t="str">
        <f>+VLOOKUP($A32,Master!$D$25:$G$223,4,FALSE)</f>
        <v>Tekući budžetski izdaci</v>
      </c>
      <c r="C32" s="537"/>
      <c r="D32" s="537"/>
      <c r="E32" s="537"/>
      <c r="F32" s="537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5" t="str">
        <f>+VLOOKUP($A33,Master!$D$25:$G$223,4,FALSE)</f>
        <v>Bruto zarade i doprinosi na teret poslodavca</v>
      </c>
      <c r="C33" s="516"/>
      <c r="D33" s="516"/>
      <c r="E33" s="516"/>
      <c r="F33" s="516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5" t="str">
        <f>+VLOOKUP($A34,Master!$D$25:$G$223,4,FALSE)</f>
        <v>Ostala lična primanja</v>
      </c>
      <c r="C34" s="516"/>
      <c r="D34" s="516"/>
      <c r="E34" s="516"/>
      <c r="F34" s="516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5" t="str">
        <f>+VLOOKUP($A35,Master!$D$25:$G$223,4,FALSE)</f>
        <v>Rashodi za materijal</v>
      </c>
      <c r="C35" s="516"/>
      <c r="D35" s="516"/>
      <c r="E35" s="516"/>
      <c r="F35" s="516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5" t="str">
        <f>+VLOOKUP($A36,Master!$D$25:$G$223,4,FALSE)</f>
        <v>Rashodi za usluge</v>
      </c>
      <c r="C36" s="516"/>
      <c r="D36" s="516"/>
      <c r="E36" s="516"/>
      <c r="F36" s="516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5" t="str">
        <f>+VLOOKUP($A37,Master!$D$25:$G$223,4,FALSE)</f>
        <v>Rashodi za tekuće održavanje</v>
      </c>
      <c r="C37" s="516"/>
      <c r="D37" s="516"/>
      <c r="E37" s="516"/>
      <c r="F37" s="516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5" t="str">
        <f>+VLOOKUP($A38,Master!$D$25:$G$223,4,FALSE)</f>
        <v>Kamate</v>
      </c>
      <c r="C38" s="516"/>
      <c r="D38" s="516"/>
      <c r="E38" s="516"/>
      <c r="F38" s="516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5" t="str">
        <f>+VLOOKUP($A39,Master!$D$25:$G$223,4,FALSE)</f>
        <v>Renta</v>
      </c>
      <c r="C39" s="516"/>
      <c r="D39" s="516"/>
      <c r="E39" s="516"/>
      <c r="F39" s="516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5" t="str">
        <f>+VLOOKUP($A40,Master!$D$25:$G$223,4,FALSE)</f>
        <v>Subvencije</v>
      </c>
      <c r="C40" s="516"/>
      <c r="D40" s="516"/>
      <c r="E40" s="516"/>
      <c r="F40" s="516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5" t="str">
        <f>+VLOOKUP($A41,Master!$D$25:$G$223,4,FALSE)</f>
        <v>Ostali izdaci</v>
      </c>
      <c r="C41" s="516"/>
      <c r="D41" s="516"/>
      <c r="E41" s="516"/>
      <c r="F41" s="516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5" t="str">
        <f>+VLOOKUP($A42,Master!$D$25:$G$223,4,FALSE)</f>
        <v>Kapitalni izdaci u tekućem budžetu</v>
      </c>
      <c r="C42" s="516"/>
      <c r="D42" s="516"/>
      <c r="E42" s="516"/>
      <c r="F42" s="516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42" t="str">
        <f>+VLOOKUP($A43,Master!$D$25:$G$223,4,FALSE)</f>
        <v>Transferi za socijalnu zaštitu</v>
      </c>
      <c r="C43" s="543"/>
      <c r="D43" s="543"/>
      <c r="E43" s="543"/>
      <c r="F43" s="54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5" t="str">
        <f>+VLOOKUP($A44,Master!$D$25:$G$223,4,FALSE)</f>
        <v>Prava iz oblasti socijalne zaštite</v>
      </c>
      <c r="C44" s="516"/>
      <c r="D44" s="516"/>
      <c r="E44" s="516"/>
      <c r="F44" s="516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5" t="str">
        <f>+VLOOKUP($A45,Master!$D$25:$G$223,4,FALSE)</f>
        <v>Sredstva za tehnološke viškove</v>
      </c>
      <c r="C45" s="516"/>
      <c r="D45" s="516"/>
      <c r="E45" s="516"/>
      <c r="F45" s="516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5" t="str">
        <f>+VLOOKUP($A46,Master!$D$25:$G$223,4,FALSE)</f>
        <v>Prava iz oblasti penzijskog i invalidskog osiguranja</v>
      </c>
      <c r="C46" s="516"/>
      <c r="D46" s="516"/>
      <c r="E46" s="516"/>
      <c r="F46" s="516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5" t="str">
        <f>+VLOOKUP($A47,Master!$D$25:$G$223,4,FALSE)</f>
        <v>Ostala prava iz oblasti zdravstvene zaštite</v>
      </c>
      <c r="C47" s="516"/>
      <c r="D47" s="516"/>
      <c r="E47" s="516"/>
      <c r="F47" s="516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5" t="str">
        <f>+VLOOKUP($A48,Master!$D$25:$G$223,4,FALSE)</f>
        <v>Ostala prava iz zdravstvenog osiguranja</v>
      </c>
      <c r="C48" s="516"/>
      <c r="D48" s="516"/>
      <c r="E48" s="516"/>
      <c r="F48" s="516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38" t="str">
        <f>+VLOOKUP($A49,Master!$D$25:$G$223,4,FALSE)</f>
        <v xml:space="preserve">Transferi institucijama, pojedincima, nevladinom i javnom sektoru </v>
      </c>
      <c r="C49" s="539"/>
      <c r="D49" s="539"/>
      <c r="E49" s="539"/>
      <c r="F49" s="539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38" t="str">
        <f>+VLOOKUP($A50,Master!$D$25:$G$223,4,FALSE)</f>
        <v>Kapitalni budžet</v>
      </c>
      <c r="C50" s="539"/>
      <c r="D50" s="539"/>
      <c r="E50" s="539"/>
      <c r="F50" s="539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40" t="str">
        <f>+VLOOKUP($A51,Master!$D$25:$G$223,4,FALSE)</f>
        <v>Pozajmice i krediti</v>
      </c>
      <c r="C51" s="541"/>
      <c r="D51" s="541"/>
      <c r="E51" s="541"/>
      <c r="F51" s="54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40" t="str">
        <f>+VLOOKUP($A52,Master!$D$25:$G$223,4,FALSE)</f>
        <v>Rezerve</v>
      </c>
      <c r="C52" s="541"/>
      <c r="D52" s="541"/>
      <c r="E52" s="541"/>
      <c r="F52" s="54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2" t="str">
        <f>+VLOOKUP($A53,Master!$D$25:$G$223,4,FALSE)</f>
        <v>Otplata garancija</v>
      </c>
      <c r="C53" s="553"/>
      <c r="D53" s="553"/>
      <c r="E53" s="553"/>
      <c r="F53" s="553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48" t="str">
        <f>+VLOOKUP($A54,Master!$D$25:$G$223,4,FALSE)</f>
        <v>Suficit / deficit</v>
      </c>
      <c r="C54" s="549"/>
      <c r="D54" s="549"/>
      <c r="E54" s="549"/>
      <c r="F54" s="549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50" t="str">
        <f>+VLOOKUP($A55,Master!$D$25:$G$223,4,FALSE)</f>
        <v>Primarni bilans</v>
      </c>
      <c r="C55" s="551"/>
      <c r="D55" s="551"/>
      <c r="E55" s="551"/>
      <c r="F55" s="551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42" t="str">
        <f>+VLOOKUP($A56,Master!$D$25:$G$223,4,FALSE)</f>
        <v>Otplata dugova</v>
      </c>
      <c r="C56" s="543"/>
      <c r="D56" s="543"/>
      <c r="E56" s="543"/>
      <c r="F56" s="54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46" t="str">
        <f>+VLOOKUP($A57,Master!$D$25:$G$223,4,FALSE)</f>
        <v>Otplata hartija od vrijednosti i kredita rezidentima</v>
      </c>
      <c r="C57" s="547"/>
      <c r="D57" s="547"/>
      <c r="E57" s="547"/>
      <c r="F57" s="547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40" t="str">
        <f>+VLOOKUP($A58,Master!$D$25:$G$223,4,FALSE)</f>
        <v>Otplata hartija od vrijednosti i kredita nerezidentima</v>
      </c>
      <c r="C58" s="541"/>
      <c r="D58" s="541"/>
      <c r="E58" s="541"/>
      <c r="F58" s="54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2" t="str">
        <f>+VLOOKUP($A59,Master!$D$25:$G$223,4,FALSE)</f>
        <v>Otplata obaveza iz prethodnih godina</v>
      </c>
      <c r="C59" s="553"/>
      <c r="D59" s="553"/>
      <c r="E59" s="553"/>
      <c r="F59" s="553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44" t="str">
        <f>+VLOOKUP($A60,Master!$D$25:$G$223,4,FALSE)</f>
        <v>Nedostajuća sredstva</v>
      </c>
      <c r="C60" s="545"/>
      <c r="D60" s="545"/>
      <c r="E60" s="545"/>
      <c r="F60" s="54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32" t="str">
        <f>+VLOOKUP($A61,Master!$D$25:$G$223,4,FALSE)</f>
        <v>Finansiranje</v>
      </c>
      <c r="C61" s="533"/>
      <c r="D61" s="533"/>
      <c r="E61" s="533"/>
      <c r="F61" s="533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46" t="str">
        <f>+VLOOKUP($A62,Master!$D$25:$G$223,4,FALSE)</f>
        <v>Pozajmice i krediti od domaćih izvora</v>
      </c>
      <c r="C62" s="547"/>
      <c r="D62" s="547"/>
      <c r="E62" s="547"/>
      <c r="F62" s="547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40" t="str">
        <f>+VLOOKUP($A63,Master!$D$25:$G$223,4,FALSE)</f>
        <v>Pozajmice i krediti od inostranih izvora</v>
      </c>
      <c r="C63" s="541"/>
      <c r="D63" s="541"/>
      <c r="E63" s="541"/>
      <c r="F63" s="54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40" t="str">
        <f>+VLOOKUP($A64,Master!$D$25:$G$223,4,FALSE)</f>
        <v>Primici od prodaje imovine</v>
      </c>
      <c r="C64" s="541"/>
      <c r="D64" s="541"/>
      <c r="E64" s="541"/>
      <c r="F64" s="54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498" t="str">
        <f>+Master!G250</f>
        <v>Plan ostvarenja budžeta</v>
      </c>
      <c r="C101" s="479"/>
      <c r="D101" s="479"/>
      <c r="E101" s="479"/>
      <c r="F101" s="479"/>
      <c r="G101" s="487">
        <v>2014</v>
      </c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91"/>
      <c r="S101" s="260" t="str">
        <f>+S7</f>
        <v>BDP</v>
      </c>
      <c r="T101" s="261">
        <v>3393200615</v>
      </c>
    </row>
    <row r="102" spans="1:20" ht="15.75" customHeight="1">
      <c r="A102" s="169"/>
      <c r="B102" s="480"/>
      <c r="C102" s="481"/>
      <c r="D102" s="481"/>
      <c r="E102" s="481"/>
      <c r="F102" s="482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87" t="str">
        <f>+Master!G244</f>
        <v>Jan - Dec</v>
      </c>
      <c r="T102" s="491">
        <f t="shared" si="16"/>
        <v>0</v>
      </c>
    </row>
    <row r="103" spans="1:20" ht="13.5" thickBot="1">
      <c r="A103" s="169"/>
      <c r="B103" s="483"/>
      <c r="C103" s="484"/>
      <c r="D103" s="484"/>
      <c r="E103" s="484"/>
      <c r="F103" s="485"/>
      <c r="G103" s="162" t="s">
        <v>428</v>
      </c>
      <c r="H103" s="162" t="s">
        <v>428</v>
      </c>
      <c r="I103" s="162" t="s">
        <v>428</v>
      </c>
      <c r="J103" s="162" t="s">
        <v>428</v>
      </c>
      <c r="K103" s="162" t="s">
        <v>428</v>
      </c>
      <c r="L103" s="162" t="s">
        <v>428</v>
      </c>
      <c r="M103" s="162" t="s">
        <v>428</v>
      </c>
      <c r="N103" s="162" t="s">
        <v>428</v>
      </c>
      <c r="O103" s="162" t="s">
        <v>428</v>
      </c>
      <c r="P103" s="162" t="s">
        <v>428</v>
      </c>
      <c r="Q103" s="162" t="s">
        <v>428</v>
      </c>
      <c r="R103" s="162" t="s">
        <v>428</v>
      </c>
      <c r="S103" s="262" t="s">
        <v>428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46" t="str">
        <f>+VLOOKUP(LEFT($A104,LEN(A104)-1)*1,Master!$D$25:$G$223,4,FALSE)</f>
        <v>Prihodi budžeta</v>
      </c>
      <c r="C104" s="447"/>
      <c r="D104" s="447"/>
      <c r="E104" s="447"/>
      <c r="F104" s="447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48" t="str">
        <f>+VLOOKUP(LEFT($A105,LEN(A105)-1)*1,Master!$D$25:$G$223,4,FALSE)</f>
        <v>Porezi</v>
      </c>
      <c r="C105" s="449"/>
      <c r="D105" s="449"/>
      <c r="E105" s="449"/>
      <c r="F105" s="449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50" t="str">
        <f>+VLOOKUP(LEFT($A106,LEN(A106)-1)*1,Master!$D$25:$G$223,4,FALSE)</f>
        <v>Porez na dohodak fizičkih lica</v>
      </c>
      <c r="C106" s="451"/>
      <c r="D106" s="451"/>
      <c r="E106" s="451"/>
      <c r="F106" s="451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50" t="str">
        <f>+VLOOKUP(LEFT($A107,LEN(A107)-1)*1,Master!$D$25:$G$223,4,FALSE)</f>
        <v>Porez na dobit pravnih lica</v>
      </c>
      <c r="C107" s="451"/>
      <c r="D107" s="451"/>
      <c r="E107" s="451"/>
      <c r="F107" s="451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50" t="str">
        <f>+VLOOKUP(LEFT($A108,LEN(A108)-1)*1,Master!$D$25:$G$223,4,FALSE)</f>
        <v>Porez na promet nepokretnosti</v>
      </c>
      <c r="C108" s="451"/>
      <c r="D108" s="451"/>
      <c r="E108" s="451"/>
      <c r="F108" s="451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50" t="str">
        <f>+VLOOKUP(LEFT($A109,LEN(A109)-1)*1,Master!$D$25:$G$223,4,FALSE)</f>
        <v>Porez na dodatu vrijednost</v>
      </c>
      <c r="C109" s="451"/>
      <c r="D109" s="451"/>
      <c r="E109" s="451"/>
      <c r="F109" s="451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50" t="str">
        <f>+VLOOKUP(LEFT($A110,LEN(A110)-1)*1,Master!$D$25:$G$223,4,FALSE)</f>
        <v>Akcize</v>
      </c>
      <c r="C110" s="451"/>
      <c r="D110" s="451"/>
      <c r="E110" s="451"/>
      <c r="F110" s="451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50" t="str">
        <f>+VLOOKUP(LEFT($A111,LEN(A111)-1)*1,Master!$D$25:$G$223,4,FALSE)</f>
        <v>Porez na međunarodnu trgovinu i transakcije</v>
      </c>
      <c r="C111" s="451"/>
      <c r="D111" s="451"/>
      <c r="E111" s="451"/>
      <c r="F111" s="451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50" t="e">
        <f>+VLOOKUP(LEFT($A112,LEN(A112)-1)*1,Master!$D$25:$G$223,4,FALSE)</f>
        <v>#N/A</v>
      </c>
      <c r="C112" s="451"/>
      <c r="D112" s="451"/>
      <c r="E112" s="451"/>
      <c r="F112" s="451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50" t="str">
        <f>+VLOOKUP(LEFT($A113,LEN(A113)-1)*1,Master!$D$25:$G$223,4,FALSE)</f>
        <v>Ostali državni porezi</v>
      </c>
      <c r="C113" s="451"/>
      <c r="D113" s="451"/>
      <c r="E113" s="451"/>
      <c r="F113" s="451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54" t="str">
        <f>+VLOOKUP(LEFT($A114,LEN(A114)-1)*1,Master!$D$25:$G$223,4,FALSE)</f>
        <v>Doprinosi</v>
      </c>
      <c r="C114" s="455"/>
      <c r="D114" s="455"/>
      <c r="E114" s="455"/>
      <c r="F114" s="455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50" t="str">
        <f>+VLOOKUP(LEFT($A115,LEN(A115)-1)*1,Master!$D$25:$G$223,4,FALSE)</f>
        <v>Doprinosi za penzijsko i invalidsko osiguranje</v>
      </c>
      <c r="C115" s="451"/>
      <c r="D115" s="451"/>
      <c r="E115" s="451"/>
      <c r="F115" s="451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50" t="str">
        <f>+VLOOKUP(LEFT($A116,LEN(A116)-1)*1,Master!$D$25:$G$223,4,FALSE)</f>
        <v>Doprinosi za zdravstveno osiguranje</v>
      </c>
      <c r="C116" s="451"/>
      <c r="D116" s="451"/>
      <c r="E116" s="451"/>
      <c r="F116" s="451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50" t="str">
        <f>+VLOOKUP(LEFT($A117,LEN(A117)-1)*1,Master!$D$25:$G$223,4,FALSE)</f>
        <v>Doprinosi za osiguranje od nezaposlenosti</v>
      </c>
      <c r="C117" s="451"/>
      <c r="D117" s="451"/>
      <c r="E117" s="451"/>
      <c r="F117" s="451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50" t="str">
        <f>+VLOOKUP(LEFT($A118,LEN(A118)-1)*1,Master!$D$25:$G$223,4,FALSE)</f>
        <v>Ostali doprinosi</v>
      </c>
      <c r="C118" s="451"/>
      <c r="D118" s="451"/>
      <c r="E118" s="451"/>
      <c r="F118" s="451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52" t="str">
        <f>+VLOOKUP(LEFT($A119,LEN(A119)-1)*1,Master!$D$25:$G$223,4,FALSE)</f>
        <v>Takse</v>
      </c>
      <c r="C119" s="453"/>
      <c r="D119" s="453"/>
      <c r="E119" s="453"/>
      <c r="F119" s="453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52" t="str">
        <f>+VLOOKUP(LEFT($A120,LEN(A120)-1)*1,Master!$D$25:$G$223,4,FALSE)</f>
        <v>Naknade</v>
      </c>
      <c r="C120" s="453"/>
      <c r="D120" s="453"/>
      <c r="E120" s="453"/>
      <c r="F120" s="453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52" t="str">
        <f>+VLOOKUP(LEFT($A121,LEN(A121)-1)*1,Master!$D$25:$G$223,4,FALSE)</f>
        <v>Ostali prihodi</v>
      </c>
      <c r="C121" s="453"/>
      <c r="D121" s="453"/>
      <c r="E121" s="453"/>
      <c r="F121" s="453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52" t="str">
        <f>+VLOOKUP(LEFT($A122,LEN(A122)-1)*1,Master!$D$25:$G$223,4,FALSE)</f>
        <v>Primici od otplate kredita i sredstva prenesena iz prethodne godine</v>
      </c>
      <c r="C122" s="453"/>
      <c r="D122" s="453"/>
      <c r="E122" s="453"/>
      <c r="F122" s="453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56" t="str">
        <f>+VLOOKUP(LEFT($A123,LEN(A123)-1)*1,Master!$D$25:$G$223,4,FALSE)</f>
        <v>Donacije i transferi</v>
      </c>
      <c r="C123" s="457"/>
      <c r="D123" s="457"/>
      <c r="E123" s="457"/>
      <c r="F123" s="457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58" t="str">
        <f>+VLOOKUP(LEFT($A124,LEN(A124)-1)*1,Master!$D$25:$G$223,4,FALSE)</f>
        <v>Budžetski izdaci</v>
      </c>
      <c r="C124" s="459"/>
      <c r="D124" s="459"/>
      <c r="E124" s="459"/>
      <c r="F124" s="459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60" t="str">
        <f>+VLOOKUP(LEFT($A125,LEN(A125)-1)*1,Master!$D$25:$G$223,4,FALSE)</f>
        <v>Tekući izdaci</v>
      </c>
      <c r="C125" s="461"/>
      <c r="D125" s="461"/>
      <c r="E125" s="461"/>
      <c r="F125" s="461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62" t="str">
        <f>+VLOOKUP(LEFT($A126,LEN(A126)-1)*1,Master!$D$25:$G$223,4,FALSE)</f>
        <v>Tekući budžetski izdaci</v>
      </c>
      <c r="C126" s="463"/>
      <c r="D126" s="463"/>
      <c r="E126" s="463"/>
      <c r="F126" s="463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50" t="str">
        <f>+VLOOKUP(LEFT($A127,LEN(A127)-1)*1,Master!$D$25:$G$223,4,FALSE)</f>
        <v>Bruto zarade i doprinosi na teret poslodavca</v>
      </c>
      <c r="C127" s="451"/>
      <c r="D127" s="451"/>
      <c r="E127" s="451"/>
      <c r="F127" s="451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50" t="str">
        <f>+VLOOKUP(LEFT($A128,LEN(A128)-1)*1,Master!$D$25:$G$223,4,FALSE)</f>
        <v>Ostala lična primanja</v>
      </c>
      <c r="C128" s="451"/>
      <c r="D128" s="451"/>
      <c r="E128" s="451"/>
      <c r="F128" s="451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50" t="str">
        <f>+VLOOKUP(LEFT($A129,LEN(A129)-1)*1,Master!$D$25:$G$223,4,FALSE)</f>
        <v>Rashodi za materijal</v>
      </c>
      <c r="C129" s="451"/>
      <c r="D129" s="451"/>
      <c r="E129" s="451"/>
      <c r="F129" s="451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50" t="str">
        <f>+VLOOKUP(LEFT($A130,LEN(A130)-1)*1,Master!$D$25:$G$223,4,FALSE)</f>
        <v>Rashodi za usluge</v>
      </c>
      <c r="C130" s="451"/>
      <c r="D130" s="451"/>
      <c r="E130" s="451"/>
      <c r="F130" s="451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50" t="str">
        <f>+VLOOKUP(LEFT($A131,LEN(A131)-1)*1,Master!$D$25:$G$223,4,FALSE)</f>
        <v>Rashodi za tekuće održavanje</v>
      </c>
      <c r="C131" s="451"/>
      <c r="D131" s="451"/>
      <c r="E131" s="451"/>
      <c r="F131" s="451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50" t="str">
        <f>+VLOOKUP(LEFT($A132,LEN(A132)-1)*1,Master!$D$25:$G$223,4,FALSE)</f>
        <v>Kamate</v>
      </c>
      <c r="C132" s="451"/>
      <c r="D132" s="451"/>
      <c r="E132" s="451"/>
      <c r="F132" s="451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50" t="str">
        <f>+VLOOKUP(LEFT($A133,LEN(A133)-1)*1,Master!$D$25:$G$223,4,FALSE)</f>
        <v>Renta</v>
      </c>
      <c r="C133" s="451"/>
      <c r="D133" s="451"/>
      <c r="E133" s="451"/>
      <c r="F133" s="451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50" t="str">
        <f>+VLOOKUP(LEFT($A134,LEN(A134)-1)*1,Master!$D$25:$G$223,4,FALSE)</f>
        <v>Subvencije</v>
      </c>
      <c r="C134" s="451"/>
      <c r="D134" s="451"/>
      <c r="E134" s="451"/>
      <c r="F134" s="451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50" t="str">
        <f>+VLOOKUP(LEFT($A135,LEN(A135)-1)*1,Master!$D$25:$G$223,4,FALSE)</f>
        <v>Ostali izdaci</v>
      </c>
      <c r="C135" s="451"/>
      <c r="D135" s="451"/>
      <c r="E135" s="451"/>
      <c r="F135" s="451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50" t="str">
        <f>+VLOOKUP(LEFT($A136,LEN(A136)-1)*1,Master!$D$25:$G$223,4,FALSE)</f>
        <v>Kapitalni izdaci u tekućem budžetu</v>
      </c>
      <c r="C136" s="451"/>
      <c r="D136" s="451"/>
      <c r="E136" s="451"/>
      <c r="F136" s="451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66" t="str">
        <f>+VLOOKUP(LEFT($A137,LEN(A137)-1)*1,Master!$D$25:$G$223,4,FALSE)</f>
        <v>Transferi za socijalnu zaštitu</v>
      </c>
      <c r="C137" s="467"/>
      <c r="D137" s="467"/>
      <c r="E137" s="467"/>
      <c r="F137" s="467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50" t="str">
        <f>+VLOOKUP(LEFT($A138,LEN(A138)-1)*1,Master!$D$25:$G$223,4,FALSE)</f>
        <v>Prava iz oblasti socijalne zaštite</v>
      </c>
      <c r="C138" s="451"/>
      <c r="D138" s="451"/>
      <c r="E138" s="451"/>
      <c r="F138" s="451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50" t="str">
        <f>+VLOOKUP(LEFT($A139,LEN(A139)-1)*1,Master!$D$25:$G$223,4,FALSE)</f>
        <v>Sredstva za tehnološke viškove</v>
      </c>
      <c r="C139" s="451"/>
      <c r="D139" s="451"/>
      <c r="E139" s="451"/>
      <c r="F139" s="451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50" t="str">
        <f>+VLOOKUP(LEFT($A140,LEN(A140)-1)*1,Master!$D$25:$G$223,4,FALSE)</f>
        <v>Prava iz oblasti penzijskog i invalidskog osiguranja</v>
      </c>
      <c r="C140" s="451"/>
      <c r="D140" s="451"/>
      <c r="E140" s="451"/>
      <c r="F140" s="451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50" t="str">
        <f>+VLOOKUP(LEFT($A141,LEN(A141)-1)*1,Master!$D$25:$G$223,4,FALSE)</f>
        <v>Ostala prava iz oblasti zdravstvene zaštite</v>
      </c>
      <c r="C141" s="451"/>
      <c r="D141" s="451"/>
      <c r="E141" s="451"/>
      <c r="F141" s="451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50" t="str">
        <f>+VLOOKUP(LEFT($A142,LEN(A142)-1)*1,Master!$D$25:$G$223,4,FALSE)</f>
        <v>Ostala prava iz zdravstvenog osiguranja</v>
      </c>
      <c r="C142" s="451"/>
      <c r="D142" s="451"/>
      <c r="E142" s="451"/>
      <c r="F142" s="451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64" t="str">
        <f>+VLOOKUP(LEFT($A143,LEN(A143)-1)*1,Master!$D$25:$G$223,4,FALSE)</f>
        <v xml:space="preserve">Transferi institucijama, pojedincima, nevladinom i javnom sektoru </v>
      </c>
      <c r="C143" s="465"/>
      <c r="D143" s="465"/>
      <c r="E143" s="465"/>
      <c r="F143" s="465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64" t="str">
        <f>+VLOOKUP(LEFT($A144,LEN(A144)-1)*1,Master!$D$25:$G$223,4,FALSE)</f>
        <v>Kapitalni budžet</v>
      </c>
      <c r="C144" s="465"/>
      <c r="D144" s="465"/>
      <c r="E144" s="465"/>
      <c r="F144" s="465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68" t="str">
        <f>+VLOOKUP(LEFT($A145,LEN(A145)-1)*1,Master!$D$25:$G$223,4,FALSE)</f>
        <v>Pozajmice i krediti</v>
      </c>
      <c r="C145" s="469"/>
      <c r="D145" s="469"/>
      <c r="E145" s="469"/>
      <c r="F145" s="469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68" t="str">
        <f>+VLOOKUP(LEFT($A146,LEN(A146)-1)*1,Master!$D$25:$G$223,4,FALSE)</f>
        <v>Rezerve</v>
      </c>
      <c r="C146" s="469"/>
      <c r="D146" s="469"/>
      <c r="E146" s="469"/>
      <c r="F146" s="469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0" t="str">
        <f>+VLOOKUP(LEFT($A147,LEN(A147)-1)*1,Master!$D$25:$G$223,4,FALSE)</f>
        <v>Otplata garancija</v>
      </c>
      <c r="C147" s="471"/>
      <c r="D147" s="471"/>
      <c r="E147" s="471"/>
      <c r="F147" s="471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2" t="str">
        <f>+VLOOKUP(LEFT($A148,LEN(A148)-1)*1,Master!$D$25:$G$223,4,FALSE)</f>
        <v>Suficit / deficit</v>
      </c>
      <c r="C148" s="473"/>
      <c r="D148" s="473"/>
      <c r="E148" s="473"/>
      <c r="F148" s="473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4" t="str">
        <f>+VLOOKUP(LEFT($A149,LEN(A149)-1)*1,Master!$D$25:$G$223,4,FALSE)</f>
        <v>Primarni bilans</v>
      </c>
      <c r="C149" s="475"/>
      <c r="D149" s="475"/>
      <c r="E149" s="475"/>
      <c r="F149" s="475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66" t="str">
        <f>+VLOOKUP(LEFT($A150,LEN(A150)-1)*1,Master!$D$25:$G$223,4,FALSE)</f>
        <v>Otplata dugova</v>
      </c>
      <c r="C150" s="467"/>
      <c r="D150" s="467"/>
      <c r="E150" s="467"/>
      <c r="F150" s="467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92" t="str">
        <f>+VLOOKUP(LEFT($A151,LEN(A151)-1)*1,Master!$D$25:$G$223,4,FALSE)</f>
        <v>Otplata hartija od vrijednosti i kredita rezidentima</v>
      </c>
      <c r="C151" s="493"/>
      <c r="D151" s="493"/>
      <c r="E151" s="493"/>
      <c r="F151" s="493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68" t="str">
        <f>+VLOOKUP(LEFT($A152,LEN(A152)-1)*1,Master!$D$25:$G$223,4,FALSE)</f>
        <v>Otplata hartija od vrijednosti i kredita nerezidentima</v>
      </c>
      <c r="C152" s="469"/>
      <c r="D152" s="469"/>
      <c r="E152" s="469"/>
      <c r="F152" s="469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0" t="str">
        <f>+VLOOKUP(LEFT($A153,LEN(A153)-1)*1,Master!$D$25:$G$223,4,FALSE)</f>
        <v>Otplata obaveza iz prethodnih godina</v>
      </c>
      <c r="C153" s="471"/>
      <c r="D153" s="471"/>
      <c r="E153" s="471"/>
      <c r="F153" s="471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94" t="str">
        <f>+VLOOKUP(LEFT($A154,LEN(A154)-1)*1,Master!$D$25:$G$223,4,FALSE)</f>
        <v>Nedostajuća sredstva</v>
      </c>
      <c r="C154" s="495"/>
      <c r="D154" s="495"/>
      <c r="E154" s="495"/>
      <c r="F154" s="495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58" t="str">
        <f>+VLOOKUP(LEFT($A155,LEN(A155)-1)*1,Master!$D$25:$G$223,4,FALSE)</f>
        <v>Finansiranje</v>
      </c>
      <c r="C155" s="459"/>
      <c r="D155" s="459"/>
      <c r="E155" s="459"/>
      <c r="F155" s="459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92" t="str">
        <f>+VLOOKUP(LEFT($A156,LEN(A156)-1)*1,Master!$D$25:$G$223,4,FALSE)</f>
        <v>Pozajmice i krediti od domaćih izvora</v>
      </c>
      <c r="C156" s="493"/>
      <c r="D156" s="493"/>
      <c r="E156" s="493"/>
      <c r="F156" s="493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68" t="str">
        <f>+VLOOKUP(LEFT($A157,LEN(A157)-1)*1,Master!$D$25:$G$223,4,FALSE)</f>
        <v>Pozajmice i krediti od inostranih izvora</v>
      </c>
      <c r="C157" s="469"/>
      <c r="D157" s="469"/>
      <c r="E157" s="469"/>
      <c r="F157" s="469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68" t="str">
        <f>+VLOOKUP(LEFT($A158,LEN(A158)-1)*1,Master!$D$25:$G$223,4,FALSE)</f>
        <v>Primici od prodaje imovine</v>
      </c>
      <c r="C158" s="469"/>
      <c r="D158" s="469"/>
      <c r="E158" s="469"/>
      <c r="F158" s="469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+VLOOKUP(LEFT($A159,LEN(A159)-1)*1,Master!$D$25:$G$223,4,FALSE)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/>
  <dimension ref="A2:LI400"/>
  <sheetViews>
    <sheetView zoomScaleNormal="100" workbookViewId="0">
      <pane xSplit="5" ySplit="7" topLeftCell="EX117" activePane="bottomRight" state="frozen"/>
      <selection pane="topRight" activeCell="F1" sqref="F1"/>
      <selection pane="bottomLeft" activeCell="A8" sqref="A8"/>
      <selection pane="bottomRight" activeCell="EW127" sqref="EW127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55" width="12.7109375" style="41" customWidth="1"/>
    <col min="156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59" t="s">
        <v>569</v>
      </c>
      <c r="F6" s="557">
        <v>2006</v>
      </c>
      <c r="G6" s="556"/>
      <c r="H6" s="556"/>
      <c r="I6" s="556"/>
      <c r="J6" s="556"/>
      <c r="K6" s="556"/>
      <c r="L6" s="556"/>
      <c r="M6" s="556"/>
      <c r="N6" s="556"/>
      <c r="O6" s="556"/>
      <c r="P6" s="556"/>
      <c r="Q6" s="558"/>
      <c r="R6" s="557">
        <v>2007</v>
      </c>
      <c r="S6" s="556"/>
      <c r="T6" s="556"/>
      <c r="U6" s="556"/>
      <c r="V6" s="556"/>
      <c r="W6" s="556"/>
      <c r="X6" s="556"/>
      <c r="Y6" s="556"/>
      <c r="Z6" s="556"/>
      <c r="AA6" s="556"/>
      <c r="AB6" s="556"/>
      <c r="AC6" s="558"/>
      <c r="AD6" s="557">
        <v>2008</v>
      </c>
      <c r="AE6" s="556"/>
      <c r="AF6" s="556"/>
      <c r="AG6" s="556"/>
      <c r="AH6" s="556"/>
      <c r="AI6" s="556"/>
      <c r="AJ6" s="556"/>
      <c r="AK6" s="556"/>
      <c r="AL6" s="556"/>
      <c r="AM6" s="556"/>
      <c r="AN6" s="556"/>
      <c r="AO6" s="558"/>
      <c r="AP6" s="557">
        <v>2009</v>
      </c>
      <c r="AQ6" s="556"/>
      <c r="AR6" s="556"/>
      <c r="AS6" s="556"/>
      <c r="AT6" s="556"/>
      <c r="AU6" s="556"/>
      <c r="AV6" s="556"/>
      <c r="AW6" s="556"/>
      <c r="AX6" s="556"/>
      <c r="AY6" s="556"/>
      <c r="AZ6" s="556"/>
      <c r="BA6" s="558"/>
      <c r="BB6" s="557">
        <v>2010</v>
      </c>
      <c r="BC6" s="556"/>
      <c r="BD6" s="556"/>
      <c r="BE6" s="556"/>
      <c r="BF6" s="556"/>
      <c r="BG6" s="556"/>
      <c r="BH6" s="556"/>
      <c r="BI6" s="556"/>
      <c r="BJ6" s="556"/>
      <c r="BK6" s="556"/>
      <c r="BL6" s="556"/>
      <c r="BM6" s="558"/>
      <c r="BN6" s="557">
        <v>2011</v>
      </c>
      <c r="BO6" s="556"/>
      <c r="BP6" s="556"/>
      <c r="BQ6" s="556"/>
      <c r="BR6" s="556"/>
      <c r="BS6" s="556"/>
      <c r="BT6" s="556"/>
      <c r="BU6" s="556"/>
      <c r="BV6" s="556"/>
      <c r="BW6" s="556"/>
      <c r="BX6" s="556"/>
      <c r="BY6" s="558"/>
      <c r="BZ6" s="556">
        <v>2012</v>
      </c>
      <c r="CA6" s="556"/>
      <c r="CB6" s="556"/>
      <c r="CC6" s="556"/>
      <c r="CD6" s="556"/>
      <c r="CE6" s="556"/>
      <c r="CF6" s="556"/>
      <c r="CG6" s="556"/>
      <c r="CH6" s="556"/>
      <c r="CI6" s="556"/>
      <c r="CJ6" s="556"/>
      <c r="CK6" s="556"/>
      <c r="CL6" s="557">
        <v>2013</v>
      </c>
      <c r="CM6" s="556"/>
      <c r="CN6" s="556"/>
      <c r="CO6" s="556"/>
      <c r="CP6" s="556"/>
      <c r="CQ6" s="556"/>
      <c r="CR6" s="556"/>
      <c r="CS6" s="556"/>
      <c r="CT6" s="556"/>
      <c r="CU6" s="556"/>
      <c r="CV6" s="556"/>
      <c r="CW6" s="558"/>
      <c r="CX6" s="557">
        <v>2014</v>
      </c>
      <c r="CY6" s="556"/>
      <c r="CZ6" s="556"/>
      <c r="DA6" s="556"/>
      <c r="DB6" s="556"/>
      <c r="DC6" s="556"/>
      <c r="DD6" s="556"/>
      <c r="DE6" s="556"/>
      <c r="DF6" s="556"/>
      <c r="DG6" s="556"/>
      <c r="DH6" s="556"/>
      <c r="DI6" s="558"/>
      <c r="DJ6" s="557">
        <v>2015</v>
      </c>
      <c r="DK6" s="556"/>
      <c r="DL6" s="556"/>
      <c r="DM6" s="556"/>
      <c r="DN6" s="556"/>
      <c r="DO6" s="556"/>
      <c r="DP6" s="556"/>
      <c r="DQ6" s="556"/>
      <c r="DR6" s="556"/>
      <c r="DS6" s="556"/>
      <c r="DT6" s="556"/>
      <c r="DU6" s="558"/>
    </row>
    <row r="7" spans="1:321">
      <c r="E7" s="559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708</v>
      </c>
      <c r="DW7" s="42" t="s">
        <v>709</v>
      </c>
      <c r="DX7" s="42" t="s">
        <v>710</v>
      </c>
      <c r="DY7" s="42" t="s">
        <v>711</v>
      </c>
      <c r="DZ7" s="42" t="s">
        <v>712</v>
      </c>
      <c r="EA7" s="42" t="s">
        <v>713</v>
      </c>
      <c r="EB7" s="42" t="s">
        <v>714</v>
      </c>
      <c r="EC7" s="42" t="s">
        <v>715</v>
      </c>
      <c r="ED7" s="42" t="s">
        <v>716</v>
      </c>
      <c r="EE7" s="42" t="s">
        <v>717</v>
      </c>
      <c r="EF7" s="42" t="s">
        <v>718</v>
      </c>
      <c r="EG7" s="42" t="s">
        <v>719</v>
      </c>
      <c r="EH7" s="42" t="s">
        <v>742</v>
      </c>
      <c r="EI7" s="42" t="s">
        <v>743</v>
      </c>
      <c r="EJ7" s="42" t="s">
        <v>744</v>
      </c>
      <c r="EK7" s="42" t="s">
        <v>745</v>
      </c>
      <c r="EL7" s="42" t="s">
        <v>746</v>
      </c>
      <c r="EM7" s="42" t="s">
        <v>747</v>
      </c>
      <c r="EN7" s="42" t="s">
        <v>748</v>
      </c>
      <c r="EO7" s="42" t="s">
        <v>749</v>
      </c>
      <c r="EP7" s="42" t="s">
        <v>750</v>
      </c>
      <c r="EQ7" s="42" t="s">
        <v>751</v>
      </c>
      <c r="ER7" s="42" t="s">
        <v>752</v>
      </c>
      <c r="ES7" s="42" t="s">
        <v>753</v>
      </c>
      <c r="ET7" s="397" t="s">
        <v>760</v>
      </c>
      <c r="EU7" s="397" t="s">
        <v>761</v>
      </c>
      <c r="EV7" s="397" t="s">
        <v>762</v>
      </c>
      <c r="EW7" s="397" t="s">
        <v>763</v>
      </c>
      <c r="EX7" s="397" t="s">
        <v>764</v>
      </c>
      <c r="EY7" s="397" t="s">
        <v>765</v>
      </c>
      <c r="EZ7" s="397" t="s">
        <v>766</v>
      </c>
      <c r="FA7" s="397" t="s">
        <v>767</v>
      </c>
      <c r="FB7" s="397" t="s">
        <v>768</v>
      </c>
      <c r="FC7" s="397" t="s">
        <v>769</v>
      </c>
      <c r="FD7" s="397" t="s">
        <v>770</v>
      </c>
      <c r="FE7" s="397" t="s">
        <v>771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3">
        <v>79855347.849999994</v>
      </c>
      <c r="EU9" s="423">
        <v>106190042</v>
      </c>
      <c r="EV9" s="423">
        <v>137417391.37</v>
      </c>
      <c r="EW9" s="376">
        <v>147833434.00999999</v>
      </c>
      <c r="EX9" s="376">
        <v>135934065.38</v>
      </c>
      <c r="EY9" s="376"/>
      <c r="EZ9" s="376"/>
      <c r="FA9" s="376"/>
      <c r="FB9" s="376"/>
      <c r="FC9" s="376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49873109.480000012</v>
      </c>
      <c r="DW10" s="338">
        <v>55731541.770000003</v>
      </c>
      <c r="DX10" s="338">
        <v>74814586.949999973</v>
      </c>
      <c r="DY10" s="338">
        <v>72317902.649999976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24">
        <v>60295851.509999998</v>
      </c>
      <c r="EU10" s="424">
        <v>64797597.329999998</v>
      </c>
      <c r="EV10" s="424">
        <v>89261850.609999999</v>
      </c>
      <c r="EW10" s="378">
        <v>97799793.079999998</v>
      </c>
      <c r="EX10" s="378">
        <v>90553351.069999993</v>
      </c>
      <c r="EY10" s="378">
        <v>87503254.430000007</v>
      </c>
      <c r="EZ10" s="378">
        <v>105015545.47</v>
      </c>
      <c r="FA10" s="378"/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8966879.7299999986</v>
      </c>
      <c r="DX11" s="337">
        <v>9924140.9199999943</v>
      </c>
      <c r="DY11" s="337">
        <v>8377077.2500000037</v>
      </c>
      <c r="DZ11" s="337">
        <v>8563145.8100000005</v>
      </c>
      <c r="EA11" s="337">
        <v>9760165.0700000003</v>
      </c>
      <c r="EB11" s="337">
        <v>12597996.66</v>
      </c>
      <c r="EC11" s="373">
        <v>11738543.990000006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423">
        <v>3496624.83</v>
      </c>
      <c r="EU11" s="423">
        <v>8897390.9499999993</v>
      </c>
      <c r="EV11" s="423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/>
      <c r="FB11" s="376"/>
      <c r="FC11" s="376"/>
      <c r="FD11" s="376"/>
      <c r="FE11" s="376"/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308497.07000000007</v>
      </c>
      <c r="DW12" s="337">
        <v>1230342</v>
      </c>
      <c r="DX12" s="337">
        <v>15051954.649999999</v>
      </c>
      <c r="DY12" s="337">
        <v>11458551.319999997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423">
        <v>475602.8</v>
      </c>
      <c r="EU12" s="423">
        <v>1641570.62</v>
      </c>
      <c r="EV12" s="423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/>
      <c r="FB12" s="376"/>
      <c r="FC12" s="376"/>
      <c r="FD12" s="376"/>
      <c r="FE12" s="376"/>
      <c r="FF12" s="376"/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84789.680000000008</v>
      </c>
      <c r="DW13" s="337">
        <v>116811.6</v>
      </c>
      <c r="DX13" s="337">
        <v>93474.83</v>
      </c>
      <c r="DY13" s="337">
        <v>89942.540000000008</v>
      </c>
      <c r="DZ13" s="337">
        <v>95910.8</v>
      </c>
      <c r="EA13" s="337">
        <v>125863.94</v>
      </c>
      <c r="EB13" s="337">
        <v>87863.37</v>
      </c>
      <c r="EC13" s="373">
        <v>133027.83000000002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423">
        <v>93380.49</v>
      </c>
      <c r="EU13" s="423">
        <v>116565.53</v>
      </c>
      <c r="EV13" s="423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/>
      <c r="FB13" s="376"/>
      <c r="FC13" s="376"/>
      <c r="FD13" s="376"/>
      <c r="FE13" s="376"/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33402847.570000004</v>
      </c>
      <c r="DW14" s="337">
        <v>32832195.190000009</v>
      </c>
      <c r="DX14" s="337">
        <v>34901875.719999991</v>
      </c>
      <c r="DY14" s="337">
        <v>36772461.839999989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55987960.809999995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423">
        <v>40926868.810000002</v>
      </c>
      <c r="EU14" s="423">
        <v>38270122.18</v>
      </c>
      <c r="EV14" s="423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/>
      <c r="FB14" s="376"/>
      <c r="FC14" s="376"/>
      <c r="FD14" s="376"/>
      <c r="FE14" s="376"/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11189049.660000002</v>
      </c>
      <c r="DW15" s="337">
        <v>10518357.289999988</v>
      </c>
      <c r="DX15" s="337">
        <v>12038089.529999997</v>
      </c>
      <c r="DY15" s="337">
        <v>12679799.319999993</v>
      </c>
      <c r="DZ15" s="337">
        <v>14146687.77</v>
      </c>
      <c r="EA15" s="337">
        <v>16150649.140000001</v>
      </c>
      <c r="EB15" s="337">
        <v>17832974.68</v>
      </c>
      <c r="EC15" s="373">
        <v>21188493.210000016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423">
        <v>13370061.67</v>
      </c>
      <c r="EU15" s="423">
        <v>13585674.48</v>
      </c>
      <c r="EV15" s="423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/>
      <c r="FB15" s="376"/>
      <c r="FC15" s="376"/>
      <c r="FD15" s="376"/>
      <c r="FE15" s="376"/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1014140.8600000003</v>
      </c>
      <c r="DW16" s="337">
        <v>1540490.1699999995</v>
      </c>
      <c r="DX16" s="337">
        <v>1983786.9400000004</v>
      </c>
      <c r="DY16" s="337">
        <v>2062637.2200000002</v>
      </c>
      <c r="DZ16" s="337">
        <v>2073939.87</v>
      </c>
      <c r="EA16" s="337">
        <v>2201013.2200000002</v>
      </c>
      <c r="EB16" s="337">
        <v>2455559.5</v>
      </c>
      <c r="EC16" s="373">
        <v>2776408.8999999994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423">
        <v>1218936.71</v>
      </c>
      <c r="EU16" s="423">
        <v>1678360</v>
      </c>
      <c r="EV16" s="423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/>
      <c r="FB16" s="376"/>
      <c r="FC16" s="376"/>
      <c r="FD16" s="376"/>
      <c r="FE16" s="376"/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495325.63000000006</v>
      </c>
      <c r="DW17" s="337">
        <v>526465.78999999992</v>
      </c>
      <c r="DX17" s="337">
        <v>821264.35999999952</v>
      </c>
      <c r="DY17" s="337">
        <v>877433.15999999992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423">
        <v>714376.2</v>
      </c>
      <c r="EU17" s="423">
        <v>607913.56999999995</v>
      </c>
      <c r="EV17" s="423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/>
      <c r="FB17" s="376"/>
      <c r="FC17" s="376"/>
      <c r="FD17" s="376"/>
      <c r="FE17" s="376"/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13982919.930000003</v>
      </c>
      <c r="DW18" s="338">
        <v>36106208.00999999</v>
      </c>
      <c r="DX18" s="338">
        <v>40051000.780000001</v>
      </c>
      <c r="DY18" s="338">
        <v>34479540.670000009</v>
      </c>
      <c r="DZ18" s="338">
        <v>35404319.93</v>
      </c>
      <c r="EA18" s="338">
        <v>38326161.630000003</v>
      </c>
      <c r="EB18" s="338">
        <v>34478165.640000001</v>
      </c>
      <c r="EC18" s="377">
        <v>37521101.960000023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424">
        <v>14572676.99</v>
      </c>
      <c r="EU18" s="424">
        <v>36938118.07</v>
      </c>
      <c r="EV18" s="424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/>
      <c r="FB18" s="378"/>
      <c r="FC18" s="378"/>
      <c r="FD18" s="378"/>
      <c r="FE18" s="378"/>
      <c r="FF18" s="378"/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21544837.749999996</v>
      </c>
      <c r="DX19" s="337">
        <v>24016994.959999997</v>
      </c>
      <c r="DY19" s="337">
        <v>20790455.370000005</v>
      </c>
      <c r="DZ19" s="337">
        <v>21319783.719999999</v>
      </c>
      <c r="EA19" s="337">
        <v>22969090.460000001</v>
      </c>
      <c r="EB19" s="337">
        <v>19655578.5</v>
      </c>
      <c r="EC19" s="373">
        <v>21952510.280000016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423">
        <v>8994145.9900000002</v>
      </c>
      <c r="EU19" s="423">
        <v>22424749.280000001</v>
      </c>
      <c r="EV19" s="423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/>
      <c r="FB19" s="376"/>
      <c r="FC19" s="376"/>
      <c r="FD19" s="376"/>
      <c r="FE19" s="376"/>
      <c r="FF19" s="376"/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4800329.5000000028</v>
      </c>
      <c r="DW20" s="337">
        <v>12579165.039999994</v>
      </c>
      <c r="DX20" s="337">
        <v>13884832.560000004</v>
      </c>
      <c r="DY20" s="337">
        <v>11850165.390000006</v>
      </c>
      <c r="DZ20" s="337">
        <v>12187579.609999999</v>
      </c>
      <c r="EA20" s="337">
        <v>13301393.529999999</v>
      </c>
      <c r="EB20" s="337">
        <v>12829742.73</v>
      </c>
      <c r="EC20" s="373">
        <v>13516680.290000003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423">
        <v>4907250.76</v>
      </c>
      <c r="EU20" s="423">
        <v>12702016.77</v>
      </c>
      <c r="EV20" s="423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/>
      <c r="FB20" s="376"/>
      <c r="FC20" s="376"/>
      <c r="FD20" s="376"/>
      <c r="FE20" s="376"/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384995.72999999992</v>
      </c>
      <c r="DW21" s="337">
        <v>1030024.7799999996</v>
      </c>
      <c r="DX21" s="337">
        <v>1115430.0299999996</v>
      </c>
      <c r="DY21" s="337">
        <v>954928.11999999988</v>
      </c>
      <c r="DZ21" s="337">
        <v>981014.58</v>
      </c>
      <c r="EA21" s="337">
        <v>1069704.96</v>
      </c>
      <c r="EB21" s="337">
        <v>1058680.3600000001</v>
      </c>
      <c r="EC21" s="373">
        <v>1052281.6200000008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423">
        <v>365962.97</v>
      </c>
      <c r="EU21" s="423">
        <v>960588.74</v>
      </c>
      <c r="EV21" s="423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/>
      <c r="FB21" s="376"/>
      <c r="FC21" s="376"/>
      <c r="FD21" s="376"/>
      <c r="FE21" s="376"/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355827.94999999995</v>
      </c>
      <c r="DW22" s="337">
        <v>952180.44000000006</v>
      </c>
      <c r="DX22" s="337">
        <v>1033743.2300000002</v>
      </c>
      <c r="DY22" s="337">
        <v>883991.79000000027</v>
      </c>
      <c r="DZ22" s="337">
        <v>915942.02</v>
      </c>
      <c r="EA22" s="337">
        <v>985972.68</v>
      </c>
      <c r="EB22" s="337">
        <v>934164.05</v>
      </c>
      <c r="EC22" s="373">
        <v>999629.77000000014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423">
        <v>305317.27</v>
      </c>
      <c r="EU22" s="423">
        <v>850763.28</v>
      </c>
      <c r="EV22" s="423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/>
      <c r="FB22" s="376"/>
      <c r="FC22" s="376"/>
      <c r="FD22" s="376"/>
      <c r="FE22" s="376"/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965284.06</v>
      </c>
      <c r="EG23" s="377">
        <v>1080527.47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424">
        <v>785627.24</v>
      </c>
      <c r="EU23" s="424">
        <v>993423.94</v>
      </c>
      <c r="EV23" s="424">
        <v>1089343.29</v>
      </c>
      <c r="EW23" s="378">
        <v>1198538.77</v>
      </c>
      <c r="EX23" s="378">
        <v>1382138.78</v>
      </c>
      <c r="EY23" s="378">
        <v>1539773.02</v>
      </c>
      <c r="EZ23" s="378">
        <v>1957332.54</v>
      </c>
      <c r="FA23" s="378"/>
      <c r="FB23" s="378"/>
      <c r="FC23" s="378"/>
      <c r="FD23" s="378"/>
      <c r="FE23" s="378"/>
      <c r="FF23" s="378"/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575619.69999999995</v>
      </c>
      <c r="EG24" s="373">
        <v>642217.41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423">
        <v>572123.71</v>
      </c>
      <c r="EU24" s="423">
        <v>691468.91</v>
      </c>
      <c r="EV24" s="423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/>
      <c r="FB24" s="376"/>
      <c r="FC24" s="376"/>
      <c r="FD24" s="376"/>
      <c r="FE24" s="376"/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423">
        <v>93434.6</v>
      </c>
      <c r="EU25" s="423">
        <v>109385.74</v>
      </c>
      <c r="EV25" s="423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/>
      <c r="FB25" s="376"/>
      <c r="FC25" s="376"/>
      <c r="FD25" s="376"/>
      <c r="FE25" s="376"/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423">
        <v>21633.83</v>
      </c>
      <c r="EU26" s="423">
        <v>24453.21</v>
      </c>
      <c r="EV26" s="423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/>
      <c r="FB26" s="376"/>
      <c r="FC26" s="376"/>
      <c r="FD26" s="376"/>
      <c r="FE26" s="376"/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423">
        <v>98435.1</v>
      </c>
      <c r="EU27" s="423">
        <v>168116.08</v>
      </c>
      <c r="EV27" s="423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/>
      <c r="FB27" s="376"/>
      <c r="FC27" s="376"/>
      <c r="FD27" s="376"/>
      <c r="FE27" s="376"/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1625009.9700000002</v>
      </c>
      <c r="DW28" s="338">
        <v>1267094.5</v>
      </c>
      <c r="DX28" s="338">
        <v>1342211.4</v>
      </c>
      <c r="DY28" s="338">
        <v>1888588.5499999998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424">
        <v>1774503.57</v>
      </c>
      <c r="EU28" s="424">
        <v>1885893.46</v>
      </c>
      <c r="EV28" s="424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/>
      <c r="FB28" s="378"/>
      <c r="FC28" s="378"/>
      <c r="FD28" s="378"/>
      <c r="FE28" s="378"/>
      <c r="FF28" s="378"/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24761.880000000005</v>
      </c>
      <c r="DX29" s="337">
        <v>40454.299999999996</v>
      </c>
      <c r="DY29" s="337">
        <v>28670.810000000005</v>
      </c>
      <c r="DZ29" s="337">
        <v>112730.53</v>
      </c>
      <c r="EA29" s="337">
        <v>72255.11</v>
      </c>
      <c r="EB29" s="337">
        <v>64500.49</v>
      </c>
      <c r="EC29" s="373">
        <v>96171.129999999961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423">
        <v>29715.1</v>
      </c>
      <c r="EU29" s="423">
        <v>46180.29</v>
      </c>
      <c r="EV29" s="423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/>
      <c r="FB29" s="376"/>
      <c r="FC29" s="376"/>
      <c r="FD29" s="376"/>
      <c r="FE29" s="376"/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164180.08000000002</v>
      </c>
      <c r="DW30" s="337">
        <v>112295.88000000002</v>
      </c>
      <c r="DX30" s="337">
        <v>67805.72</v>
      </c>
      <c r="DY30" s="337">
        <v>117301.46999999999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423">
        <v>120406.14</v>
      </c>
      <c r="EU30" s="423">
        <v>138658.04999999999</v>
      </c>
      <c r="EV30" s="423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/>
      <c r="FB30" s="376"/>
      <c r="FC30" s="376"/>
      <c r="FD30" s="376"/>
      <c r="FE30" s="376"/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24780.140000000003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19011.659999999996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423">
        <v>1567.64</v>
      </c>
      <c r="EU31" s="423">
        <v>1648.75</v>
      </c>
      <c r="EV31" s="423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/>
      <c r="FB31" s="376"/>
      <c r="FC31" s="376"/>
      <c r="FD31" s="376"/>
      <c r="FE31" s="376"/>
      <c r="FF31" s="376"/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787839.83000000007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772</v>
      </c>
      <c r="EN32" s="376" t="s">
        <v>773</v>
      </c>
      <c r="EO32" s="376">
        <v>608693.02</v>
      </c>
      <c r="EP32" s="376" t="s">
        <v>774</v>
      </c>
      <c r="EQ32" s="376">
        <v>179273.43</v>
      </c>
      <c r="ER32" s="376" t="s">
        <v>775</v>
      </c>
      <c r="ES32" s="376"/>
      <c r="ET32" s="423">
        <v>564026.22</v>
      </c>
      <c r="EU32" s="423">
        <v>552007.56999999995</v>
      </c>
      <c r="EV32" s="423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/>
      <c r="FB32" s="376"/>
      <c r="FC32" s="376"/>
      <c r="FD32" s="376"/>
      <c r="FE32" s="376"/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123378.67000000004</v>
      </c>
      <c r="DW33" s="337">
        <v>119691.48000000003</v>
      </c>
      <c r="DX33" s="337">
        <v>239538.34000000011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336982.61000000022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423">
        <v>202641</v>
      </c>
      <c r="EU33" s="423">
        <v>112102.37</v>
      </c>
      <c r="EV33" s="423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/>
      <c r="FB33" s="376"/>
      <c r="FC33" s="376"/>
      <c r="FD33" s="376"/>
      <c r="FE33" s="376"/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769272.74000000022</v>
      </c>
      <c r="DW34" s="337">
        <v>246490.12</v>
      </c>
      <c r="DX34" s="337">
        <v>281589.77999999991</v>
      </c>
      <c r="DY34" s="337">
        <v>905472.34999999986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423">
        <v>856147.47</v>
      </c>
      <c r="EU34" s="423">
        <v>1035296.43</v>
      </c>
      <c r="EV34" s="423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/>
      <c r="FB34" s="376"/>
      <c r="FC34" s="376"/>
      <c r="FD34" s="376"/>
      <c r="FE34" s="376"/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1022331.6999999993</v>
      </c>
      <c r="DW35" s="338">
        <v>1556932.7000000044</v>
      </c>
      <c r="DX35" s="338">
        <v>3490799.6899999976</v>
      </c>
      <c r="DY35" s="338">
        <v>3838235.5599999996</v>
      </c>
      <c r="DZ35" s="338">
        <v>2337905.56</v>
      </c>
      <c r="EA35" s="338">
        <v>3543193.56</v>
      </c>
      <c r="EB35" s="338">
        <v>2504253.4</v>
      </c>
      <c r="EC35" s="377">
        <v>3032034.1399999983</v>
      </c>
      <c r="ED35" s="377">
        <v>2100056.92</v>
      </c>
      <c r="EE35" s="377">
        <v>2033246.9300000002</v>
      </c>
      <c r="EF35" s="377">
        <v>2000149.84</v>
      </c>
      <c r="EG35" s="377">
        <v>6818241.6999999993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424">
        <v>2425520.81</v>
      </c>
      <c r="EU35" s="424">
        <v>1609741.96</v>
      </c>
      <c r="EV35" s="424">
        <v>2046839.31</v>
      </c>
      <c r="EW35" s="378">
        <v>5482431.4299999997</v>
      </c>
      <c r="EX35" s="378">
        <v>2149512.65</v>
      </c>
      <c r="EY35" s="378">
        <v>2742350.96</v>
      </c>
      <c r="EZ35" s="378">
        <v>3770774.03</v>
      </c>
      <c r="FA35" s="378"/>
      <c r="FB35" s="378"/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25654.440000000002</v>
      </c>
      <c r="DW36" s="337">
        <v>68698.909999999989</v>
      </c>
      <c r="DX36" s="337">
        <v>1198844.7199999997</v>
      </c>
      <c r="DY36" s="337">
        <v>1134153.43</v>
      </c>
      <c r="DZ36" s="337">
        <v>384689.91999999998</v>
      </c>
      <c r="EA36" s="337">
        <v>768404.49</v>
      </c>
      <c r="EB36" s="337">
        <v>19022.259999999998</v>
      </c>
      <c r="EC36" s="373">
        <v>377681.99000000005</v>
      </c>
      <c r="ED36" s="373">
        <v>1086198.8899999999</v>
      </c>
      <c r="EE36" s="373">
        <v>9393.7900000000009</v>
      </c>
      <c r="EF36" s="373">
        <v>180988.93</v>
      </c>
      <c r="EG36" s="373">
        <v>95321.96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425">
        <v>757682.7</v>
      </c>
      <c r="EU36" s="423">
        <v>26758.59</v>
      </c>
      <c r="EV36" s="423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/>
      <c r="FB36" s="376"/>
      <c r="FC36" s="376"/>
      <c r="FD36" s="376"/>
      <c r="FE36" s="376"/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599071.27999999921</v>
      </c>
      <c r="DW37" s="337">
        <v>868522.02000000072</v>
      </c>
      <c r="DX37" s="337">
        <v>1022966.5999999987</v>
      </c>
      <c r="DY37" s="337">
        <v>902917.00999999966</v>
      </c>
      <c r="DZ37" s="337">
        <v>1017499.54</v>
      </c>
      <c r="EA37" s="337">
        <v>1345707.91</v>
      </c>
      <c r="EB37" s="337">
        <v>1623788.74</v>
      </c>
      <c r="EC37" s="373">
        <v>1795848.7899999979</v>
      </c>
      <c r="ED37" s="373">
        <v>192384.74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423">
        <v>657232.74</v>
      </c>
      <c r="EU37" s="423">
        <v>844736.49</v>
      </c>
      <c r="EV37" s="423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/>
      <c r="FB37" s="376"/>
      <c r="FC37" s="376"/>
      <c r="FD37" s="376"/>
      <c r="FE37" s="376"/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144744.65000000005</v>
      </c>
      <c r="DX38" s="337">
        <v>170352.87000000002</v>
      </c>
      <c r="DY38" s="337">
        <v>180780.75000000015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764175.9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423">
        <v>126122.18</v>
      </c>
      <c r="EU38" s="423">
        <v>179834.33</v>
      </c>
      <c r="EV38" s="423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/>
      <c r="FB38" s="376"/>
      <c r="FC38" s="376"/>
      <c r="FD38" s="376"/>
      <c r="FE38" s="376"/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292029.41999999987</v>
      </c>
      <c r="DW39" s="337">
        <v>474967.12000000349</v>
      </c>
      <c r="DX39" s="337">
        <v>1098635.4999999991</v>
      </c>
      <c r="DY39" s="337">
        <v>1620384.3700000003</v>
      </c>
      <c r="DZ39" s="337">
        <v>746067.1</v>
      </c>
      <c r="EA39" s="337">
        <v>1177505.94</v>
      </c>
      <c r="EB39" s="337">
        <v>515716.45</v>
      </c>
      <c r="EC39" s="373">
        <v>640066.84000000032</v>
      </c>
      <c r="ED39" s="373">
        <v>57297.74</v>
      </c>
      <c r="EE39" s="373">
        <v>587106.59</v>
      </c>
      <c r="EF39" s="373">
        <v>515276.51</v>
      </c>
      <c r="EG39" s="373">
        <v>2563647.3199999998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423">
        <v>884483.19</v>
      </c>
      <c r="EU39" s="423">
        <v>558412.55000000005</v>
      </c>
      <c r="EV39" s="423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/>
      <c r="FB39" s="376"/>
      <c r="FC39" s="376"/>
      <c r="FD39" s="376"/>
      <c r="FE39" s="376"/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424">
        <v>136671.79999999999</v>
      </c>
      <c r="EU40" s="424">
        <v>273046.61</v>
      </c>
      <c r="EV40" s="424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/>
      <c r="FB40" s="378"/>
      <c r="FC40" s="378"/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376"/>
      <c r="EU41" s="376"/>
      <c r="EV41" s="376"/>
      <c r="EW41" s="376"/>
      <c r="EX41" s="376"/>
      <c r="EY41" s="376">
        <v>234254.39</v>
      </c>
      <c r="EZ41" s="376"/>
      <c r="FA41" s="376"/>
      <c r="FB41" s="376"/>
      <c r="FC41" s="376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376"/>
      <c r="EU42" s="376"/>
      <c r="EV42" s="376"/>
      <c r="EW42" s="376"/>
      <c r="EX42" s="376"/>
      <c r="EY42" s="376">
        <v>10077862.74</v>
      </c>
      <c r="EZ42" s="376"/>
      <c r="FA42" s="376"/>
      <c r="FB42" s="376"/>
      <c r="FC42" s="376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148151.22999999998</v>
      </c>
      <c r="DW43" s="338">
        <v>82290.95</v>
      </c>
      <c r="DX43" s="338">
        <v>119438.56999999999</v>
      </c>
      <c r="DY43" s="338">
        <v>103043.65999999999</v>
      </c>
      <c r="DZ43" s="338">
        <v>921596.33</v>
      </c>
      <c r="EA43" s="338">
        <v>565850.1</v>
      </c>
      <c r="EB43" s="338">
        <v>84480.12</v>
      </c>
      <c r="EC43" s="377">
        <v>79378.060000000012</v>
      </c>
      <c r="ED43" s="377">
        <v>134318.35</v>
      </c>
      <c r="EE43" s="377">
        <v>226256.22</v>
      </c>
      <c r="EF43" s="377">
        <v>783922.87</v>
      </c>
      <c r="EG43" s="377">
        <v>1034220.21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424">
        <v>172043.05</v>
      </c>
      <c r="EU43" s="424">
        <v>78777.210000000006</v>
      </c>
      <c r="EV43" s="424">
        <v>195694.06</v>
      </c>
      <c r="EW43" s="378">
        <v>433978.03</v>
      </c>
      <c r="EX43" s="378">
        <v>1090667.1299999999</v>
      </c>
      <c r="EY43" s="378">
        <v>2374577.77</v>
      </c>
      <c r="EZ43" s="378">
        <v>178131.97</v>
      </c>
      <c r="FA43" s="378"/>
      <c r="FB43" s="378"/>
      <c r="FC43" s="378"/>
      <c r="FD43" s="378"/>
      <c r="FE43" s="378"/>
      <c r="FF43" s="378"/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376"/>
      <c r="EU44" s="376"/>
      <c r="EV44" s="376"/>
      <c r="EW44" s="376"/>
      <c r="EX44" s="376"/>
      <c r="EY44" s="376"/>
      <c r="EZ44" s="376"/>
      <c r="FA44" s="376"/>
      <c r="FB44" s="376"/>
      <c r="FC44" s="376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376"/>
      <c r="EU45" s="376"/>
      <c r="EV45" s="376"/>
      <c r="EW45" s="376"/>
      <c r="EX45" s="376"/>
      <c r="EY45" s="376"/>
      <c r="EZ45" s="376"/>
      <c r="FA45" s="376"/>
      <c r="FB45" s="376"/>
      <c r="FC45" s="376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196891.75999999998</v>
      </c>
      <c r="DW46" s="338">
        <v>153797.54</v>
      </c>
      <c r="DX46" s="338">
        <v>730633.8600000001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612720.99999999988</v>
      </c>
      <c r="ED46" s="377">
        <v>1394917.14</v>
      </c>
      <c r="EE46" s="377">
        <v>1303452.33</v>
      </c>
      <c r="EF46" s="377">
        <v>1562846.95</v>
      </c>
      <c r="EG46" s="377">
        <v>2483747.6800000002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424">
        <v>1518621.66</v>
      </c>
      <c r="EU46" s="424">
        <v>776556.18</v>
      </c>
      <c r="EV46" s="424">
        <v>1210159.24</v>
      </c>
      <c r="EW46" s="378">
        <v>8493510.6400000006</v>
      </c>
      <c r="EX46" s="378">
        <v>1746477.29</v>
      </c>
      <c r="EY46" s="378">
        <v>1534287.36</v>
      </c>
      <c r="EZ46" s="378">
        <v>912596.37</v>
      </c>
      <c r="FA46" s="378"/>
      <c r="FB46" s="378"/>
      <c r="FC46" s="378"/>
      <c r="FD46" s="378"/>
      <c r="FE46" s="378"/>
      <c r="FF46" s="378"/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376"/>
      <c r="EU47" s="376"/>
      <c r="EV47" s="376"/>
      <c r="EW47" s="376"/>
      <c r="EX47" s="376"/>
      <c r="EY47" s="376"/>
      <c r="EZ47" s="376"/>
      <c r="FA47" s="376"/>
      <c r="FB47" s="376"/>
      <c r="FC47" s="376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376"/>
      <c r="EU48" s="376"/>
      <c r="EV48" s="376"/>
      <c r="EW48" s="376"/>
      <c r="EX48" s="376"/>
      <c r="EY48" s="376"/>
      <c r="EZ48" s="376"/>
      <c r="FA48" s="376"/>
      <c r="FB48" s="376"/>
      <c r="FC48" s="376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424">
        <v>24756264.800000001</v>
      </c>
      <c r="EU49" s="424">
        <v>75548588.189999998</v>
      </c>
      <c r="EV49" s="424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/>
      <c r="FB49" s="378"/>
      <c r="FC49" s="378"/>
      <c r="FD49" s="378"/>
      <c r="FE49" s="378"/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376"/>
      <c r="EU50" s="376"/>
      <c r="EV50" s="376"/>
      <c r="EW50" s="376"/>
      <c r="EX50" s="376"/>
      <c r="EY50" s="376"/>
      <c r="EZ50" s="376"/>
      <c r="FA50" s="376"/>
      <c r="FB50" s="376"/>
      <c r="FC50" s="376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425">
        <v>24535941.960000001</v>
      </c>
      <c r="EU51" s="425">
        <v>75357443.420000002</v>
      </c>
      <c r="EV51" s="425">
        <v>20706614.620000001</v>
      </c>
      <c r="EW51" s="376">
        <v>0</v>
      </c>
      <c r="EX51" s="376">
        <v>0</v>
      </c>
      <c r="EY51" s="376"/>
      <c r="EZ51" s="376">
        <v>18000000</v>
      </c>
      <c r="FA51" s="376"/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329243.48</v>
      </c>
      <c r="DW52" s="337">
        <v>1028135.44</v>
      </c>
      <c r="DX52" s="337">
        <v>305578933.99000001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319243.06</v>
      </c>
      <c r="ED52" s="373">
        <v>584698.59</v>
      </c>
      <c r="EE52" s="373">
        <v>713462.32</v>
      </c>
      <c r="EF52" s="373">
        <v>2120376.2599999998</v>
      </c>
      <c r="EG52" s="373">
        <v>11974834.460000001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425">
        <v>220322.84</v>
      </c>
      <c r="EU52" s="425">
        <v>191078.77</v>
      </c>
      <c r="EV52" s="425">
        <v>5238085.6500000004</v>
      </c>
      <c r="EW52" s="376">
        <v>125398354.06999999</v>
      </c>
      <c r="EX52" s="376">
        <v>7673073.0999999996</v>
      </c>
      <c r="EY52" s="376">
        <v>266114636.84999999</v>
      </c>
      <c r="EZ52" s="376">
        <v>3115189.9</v>
      </c>
      <c r="FA52" s="376"/>
      <c r="FB52" s="376"/>
      <c r="FC52" s="376"/>
      <c r="FD52" s="376"/>
      <c r="FE52" s="376"/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423">
        <v>104498495.13</v>
      </c>
      <c r="EU53" s="423">
        <v>123153743.48</v>
      </c>
      <c r="EV53" s="423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423">
        <v>17822596.359999999</v>
      </c>
      <c r="EU54" s="423">
        <v>53222053.950000003</v>
      </c>
      <c r="EV54" s="423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35219650.599999987</v>
      </c>
      <c r="DY55" s="337">
        <v>34632929.020000003</v>
      </c>
      <c r="DZ55" s="371">
        <v>35116227.890000001</v>
      </c>
      <c r="EA55" s="337">
        <v>35099089.280000001</v>
      </c>
      <c r="EB55" s="337">
        <v>34919572.219999999</v>
      </c>
      <c r="EC55" s="373">
        <v>34615240.759999998</v>
      </c>
      <c r="ED55" s="373">
        <v>35867936.32</v>
      </c>
      <c r="EE55" s="373">
        <v>36033379.700000003</v>
      </c>
      <c r="EF55" s="373">
        <v>38323683.899999999</v>
      </c>
      <c r="EG55" s="373">
        <v>40453331.560000002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423">
        <v>37313745.240000002</v>
      </c>
      <c r="EU55" s="423">
        <v>38053361.399999999</v>
      </c>
      <c r="EV55" s="423">
        <v>36623552.420000002</v>
      </c>
      <c r="EW55" s="376">
        <v>38350938.119999997</v>
      </c>
      <c r="EX55" s="376">
        <v>38447534.82</v>
      </c>
      <c r="EY55" s="376">
        <v>38983346.57</v>
      </c>
      <c r="EZ55" s="376">
        <v>37411972.93</v>
      </c>
      <c r="FA55" s="376"/>
      <c r="FB55" s="376"/>
      <c r="FC55" s="376"/>
      <c r="FD55" s="376"/>
      <c r="FE55" s="376"/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423"/>
      <c r="EV56" s="423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423"/>
      <c r="EV57" s="423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423"/>
      <c r="EV58" s="423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423"/>
      <c r="EV59" s="423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423"/>
      <c r="EV60" s="423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423">
        <v>363127.64</v>
      </c>
      <c r="EU61" s="423">
        <v>848575.97</v>
      </c>
      <c r="EV61" s="423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/>
      <c r="FB61" s="376"/>
      <c r="FC61" s="376"/>
      <c r="FD61" s="376"/>
      <c r="FE61" s="376"/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376"/>
      <c r="EU62" s="423"/>
      <c r="EV62" s="423"/>
      <c r="EW62" s="376"/>
      <c r="EX62" s="376"/>
      <c r="EY62" s="376"/>
      <c r="EZ62" s="376"/>
      <c r="FA62" s="376"/>
      <c r="FB62" s="376"/>
      <c r="FC62" s="376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376"/>
      <c r="EU63" s="423"/>
      <c r="EV63" s="423"/>
      <c r="EW63" s="376"/>
      <c r="EX63" s="376"/>
      <c r="EY63" s="376"/>
      <c r="EZ63" s="376"/>
      <c r="FA63" s="376"/>
      <c r="FB63" s="376"/>
      <c r="FC63" s="376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376"/>
      <c r="EU64" s="423"/>
      <c r="EV64" s="423"/>
      <c r="EW64" s="376"/>
      <c r="EX64" s="376"/>
      <c r="EY64" s="376"/>
      <c r="EZ64" s="376"/>
      <c r="FA64" s="376"/>
      <c r="FB64" s="376"/>
      <c r="FC64" s="376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376"/>
      <c r="EU65" s="423"/>
      <c r="EV65" s="423"/>
      <c r="EW65" s="376"/>
      <c r="EX65" s="376"/>
      <c r="EY65" s="376"/>
      <c r="EZ65" s="376"/>
      <c r="FA65" s="376"/>
      <c r="FB65" s="376"/>
      <c r="FC65" s="376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376"/>
      <c r="EU66" s="423"/>
      <c r="EV66" s="423"/>
      <c r="EW66" s="376"/>
      <c r="EX66" s="376"/>
      <c r="EY66" s="376"/>
      <c r="EZ66" s="376"/>
      <c r="FA66" s="376"/>
      <c r="FB66" s="376"/>
      <c r="FC66" s="376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376"/>
      <c r="EU67" s="423"/>
      <c r="EV67" s="423"/>
      <c r="EW67" s="376"/>
      <c r="EX67" s="376"/>
      <c r="EY67" s="376"/>
      <c r="EZ67" s="376"/>
      <c r="FA67" s="376"/>
      <c r="FB67" s="376"/>
      <c r="FC67" s="376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376"/>
      <c r="EU68" s="423"/>
      <c r="EV68" s="423"/>
      <c r="EW68" s="376"/>
      <c r="EX68" s="376"/>
      <c r="EY68" s="376"/>
      <c r="EZ68" s="376"/>
      <c r="FA68" s="376"/>
      <c r="FB68" s="376"/>
      <c r="FC68" s="376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423">
        <v>1027061</v>
      </c>
      <c r="EU69" s="423">
        <v>2339456.96</v>
      </c>
      <c r="EV69" s="423">
        <v>3799655</v>
      </c>
      <c r="EW69" s="376">
        <v>2451725.77</v>
      </c>
      <c r="EX69" s="376">
        <v>2819164.34</v>
      </c>
      <c r="EY69" s="376">
        <v>2228904.96</v>
      </c>
      <c r="EZ69" s="376">
        <v>2862691.11</v>
      </c>
      <c r="FA69" s="376"/>
      <c r="FB69" s="376"/>
      <c r="FC69" s="376"/>
      <c r="FD69" s="376"/>
      <c r="FE69" s="376"/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423"/>
      <c r="EV70" s="423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423"/>
      <c r="EV71" s="423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423"/>
      <c r="EV72" s="423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423"/>
      <c r="EV73" s="423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423"/>
      <c r="EV74" s="423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423"/>
      <c r="EV75" s="423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423">
        <v>1697528.93</v>
      </c>
      <c r="EU76" s="423">
        <v>3151750.86</v>
      </c>
      <c r="EV76" s="423">
        <v>4190810.86</v>
      </c>
      <c r="EW76" s="376">
        <v>4576692.6500000004</v>
      </c>
      <c r="EX76" s="376">
        <v>4902792.45</v>
      </c>
      <c r="EY76" s="376">
        <v>14304209.140000001</v>
      </c>
      <c r="EZ76" s="376">
        <v>4957958.04</v>
      </c>
      <c r="FA76" s="376"/>
      <c r="FB76" s="376"/>
      <c r="FC76" s="376"/>
      <c r="FD76" s="376"/>
      <c r="FE76" s="376"/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423"/>
      <c r="EV77" s="423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423"/>
      <c r="EV78" s="423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423"/>
      <c r="EV79" s="423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423"/>
      <c r="EV80" s="423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423"/>
      <c r="EV81" s="423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423"/>
      <c r="EV82" s="423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423"/>
      <c r="EV83" s="423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423"/>
      <c r="EV84" s="423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423"/>
      <c r="EV85" s="423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1501833.8</v>
      </c>
      <c r="DY86" s="337">
        <v>817791.18</v>
      </c>
      <c r="DZ86" s="370">
        <v>1646121.33</v>
      </c>
      <c r="EA86" s="370">
        <v>1787416.93</v>
      </c>
      <c r="EB86" s="373">
        <v>1579324.53</v>
      </c>
      <c r="EC86" s="380">
        <v>1691411.27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423">
        <v>106817.18</v>
      </c>
      <c r="EU86" s="423">
        <v>1254053.07</v>
      </c>
      <c r="EV86" s="423">
        <v>1932637.76</v>
      </c>
      <c r="EW86" s="376">
        <v>1697297.09</v>
      </c>
      <c r="EX86" s="376">
        <v>1674065.37</v>
      </c>
      <c r="EY86" s="376">
        <v>1595120.98</v>
      </c>
      <c r="EZ86" s="376">
        <v>1765570.63</v>
      </c>
      <c r="FA86" s="376"/>
      <c r="FB86" s="376"/>
      <c r="FC86" s="376"/>
      <c r="FD86" s="376"/>
      <c r="FE86" s="376"/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423"/>
      <c r="EV87" s="423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423"/>
      <c r="EV88" s="423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423"/>
      <c r="EV89" s="423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2682108.14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423">
        <v>4324077.55</v>
      </c>
      <c r="EU90" s="423">
        <v>1050801.23</v>
      </c>
      <c r="EV90" s="423">
        <v>39514676.710000001</v>
      </c>
      <c r="EW90" s="376">
        <v>1628189</v>
      </c>
      <c r="EX90" s="376">
        <v>10064809.060000001</v>
      </c>
      <c r="EY90" s="376">
        <v>1838720.63</v>
      </c>
      <c r="EZ90" s="376">
        <v>7490624.3200000003</v>
      </c>
      <c r="FA90" s="376"/>
      <c r="FB90" s="376"/>
      <c r="FC90" s="376"/>
      <c r="FD90" s="376"/>
      <c r="FE90" s="376"/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423"/>
      <c r="EV91" s="423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423"/>
      <c r="EV92" s="423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798294.91</v>
      </c>
      <c r="EF93" s="373">
        <v>538062.98</v>
      </c>
      <c r="EG93" s="373">
        <v>1865415.51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423">
        <v>175603.34</v>
      </c>
      <c r="EU93" s="423">
        <v>1124463.03</v>
      </c>
      <c r="EV93" s="423">
        <v>523950.18</v>
      </c>
      <c r="EW93" s="376">
        <v>641415.42000000004</v>
      </c>
      <c r="EX93" s="376">
        <v>939648.68</v>
      </c>
      <c r="EY93" s="376">
        <v>835746.88</v>
      </c>
      <c r="EZ93" s="376">
        <v>824335.7</v>
      </c>
      <c r="FA93" s="376"/>
      <c r="FB93" s="376"/>
      <c r="FC93" s="376"/>
      <c r="FD93" s="376"/>
      <c r="FE93" s="376"/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423"/>
      <c r="EV94" s="423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423"/>
      <c r="EV95" s="423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423"/>
      <c r="EV96" s="423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423">
        <v>31033.66</v>
      </c>
      <c r="EU97" s="423">
        <v>2281116.2599999998</v>
      </c>
      <c r="EV97" s="423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/>
      <c r="FB97" s="376"/>
      <c r="FC97" s="376"/>
      <c r="FD97" s="376"/>
      <c r="FE97" s="376"/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423"/>
      <c r="EV98" s="423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423"/>
      <c r="EV99" s="423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423"/>
      <c r="EV100" s="423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423">
        <v>585935.19999999995</v>
      </c>
      <c r="EU101" s="423">
        <v>3390433.55</v>
      </c>
      <c r="EV101" s="423">
        <v>2155321.13</v>
      </c>
      <c r="EW101" s="376">
        <v>2859100.45</v>
      </c>
      <c r="EX101" s="376">
        <v>2637225.6800000002</v>
      </c>
      <c r="EY101" s="376">
        <v>3639193.72</v>
      </c>
      <c r="EZ101" s="376">
        <v>2920320.15</v>
      </c>
      <c r="FA101" s="376"/>
      <c r="FB101" s="376"/>
      <c r="FC101" s="376"/>
      <c r="FD101" s="376"/>
      <c r="FE101" s="376"/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423"/>
      <c r="EV102" s="423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423"/>
      <c r="EV103" s="423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423"/>
      <c r="EV104" s="423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423"/>
      <c r="EV105" s="423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423"/>
      <c r="EV106" s="423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423"/>
      <c r="EV107" s="423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423"/>
      <c r="EV108" s="423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423"/>
      <c r="EV109" s="423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423"/>
      <c r="EV110" s="423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423">
        <v>42244817.57</v>
      </c>
      <c r="EU111" s="423">
        <v>45525440.090000004</v>
      </c>
      <c r="EV111" s="423">
        <v>45200709.079999998</v>
      </c>
      <c r="EW111" s="376">
        <v>43012361.310000002</v>
      </c>
      <c r="EX111" s="376">
        <v>43668965.609999999</v>
      </c>
      <c r="EY111" s="376"/>
      <c r="EZ111" s="376"/>
      <c r="FA111" s="376"/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423">
        <v>6003212.1200000001</v>
      </c>
      <c r="EU112" s="423">
        <v>7135869.1500000004</v>
      </c>
      <c r="EV112" s="423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/>
      <c r="FB112" s="376"/>
      <c r="FC112" s="376"/>
      <c r="FD112" s="376"/>
      <c r="FE112" s="376"/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423"/>
      <c r="EV113" s="423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376"/>
      <c r="EU114" s="423"/>
      <c r="EV114" s="423"/>
      <c r="EW114" s="376"/>
      <c r="EX114" s="376"/>
      <c r="EY114" s="376"/>
      <c r="EZ114" s="376"/>
      <c r="FA114" s="376"/>
      <c r="FB114" s="376"/>
      <c r="FC114" s="376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376"/>
      <c r="EU115" s="423"/>
      <c r="EV115" s="423"/>
      <c r="EW115" s="376"/>
      <c r="EX115" s="376"/>
      <c r="EY115" s="376"/>
      <c r="EZ115" s="376"/>
      <c r="FA115" s="376"/>
      <c r="FB115" s="376"/>
      <c r="FC115" s="376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376"/>
      <c r="EU116" s="423"/>
      <c r="EV116" s="423"/>
      <c r="EW116" s="376"/>
      <c r="EX116" s="376"/>
      <c r="EY116" s="376"/>
      <c r="EZ116" s="376"/>
      <c r="FA116" s="376"/>
      <c r="FB116" s="376"/>
      <c r="FC116" s="376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376"/>
      <c r="EU117" s="423"/>
      <c r="EV117" s="423"/>
      <c r="EW117" s="376"/>
      <c r="EX117" s="376"/>
      <c r="EY117" s="376"/>
      <c r="EZ117" s="376"/>
      <c r="FA117" s="376"/>
      <c r="FB117" s="376"/>
      <c r="FC117" s="376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376"/>
      <c r="EU118" s="423"/>
      <c r="EV118" s="423"/>
      <c r="EW118" s="376"/>
      <c r="EX118" s="376"/>
      <c r="EY118" s="376"/>
      <c r="EZ118" s="376"/>
      <c r="FA118" s="376"/>
      <c r="FB118" s="376"/>
      <c r="FC118" s="376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376"/>
      <c r="EU119" s="423"/>
      <c r="EV119" s="423"/>
      <c r="EW119" s="376"/>
      <c r="EX119" s="376"/>
      <c r="EY119" s="376"/>
      <c r="EZ119" s="376"/>
      <c r="FA119" s="376"/>
      <c r="FB119" s="376"/>
      <c r="FC119" s="376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739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376"/>
      <c r="EU120" s="423"/>
      <c r="EV120" s="423"/>
      <c r="EW120" s="376"/>
      <c r="EX120" s="376"/>
      <c r="EY120" s="376"/>
      <c r="EZ120" s="376"/>
      <c r="FA120" s="376"/>
      <c r="FB120" s="376"/>
      <c r="FC120" s="376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423">
        <v>110952</v>
      </c>
      <c r="EU121" s="423">
        <v>1323906.01</v>
      </c>
      <c r="EV121" s="423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/>
      <c r="FB121" s="376"/>
      <c r="FC121" s="376"/>
      <c r="FD121" s="376"/>
      <c r="FE121" s="376"/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423"/>
      <c r="EV122" s="423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423"/>
      <c r="EV123" s="423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423"/>
      <c r="EV124" s="423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423"/>
      <c r="EV125" s="423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423"/>
      <c r="EV126" s="423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423">
        <v>34029606.390000001</v>
      </c>
      <c r="EU127" s="423">
        <v>34751702.420000002</v>
      </c>
      <c r="EV127" s="423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/>
      <c r="FB127" s="376"/>
      <c r="FC127" s="376"/>
      <c r="FD127" s="376"/>
      <c r="FE127" s="376"/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423"/>
      <c r="EV128" s="423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423"/>
      <c r="EV129" s="423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423"/>
      <c r="EV130" s="423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423"/>
      <c r="EV131" s="423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423"/>
      <c r="EV132" s="423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423"/>
      <c r="EV133" s="423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423"/>
      <c r="EV134" s="423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423">
        <v>1365364.87</v>
      </c>
      <c r="EU135" s="423">
        <v>1602918.54</v>
      </c>
      <c r="EV135" s="423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/>
      <c r="FB135" s="376"/>
      <c r="FC135" s="376"/>
      <c r="FD135" s="376"/>
      <c r="FE135" s="376"/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423"/>
      <c r="EV136" s="423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423">
        <v>735682.19</v>
      </c>
      <c r="EU137" s="423">
        <v>711043.97</v>
      </c>
      <c r="EV137" s="423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/>
      <c r="FB137" s="376"/>
      <c r="FC137" s="376"/>
      <c r="FD137" s="376"/>
      <c r="FE137" s="376"/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423"/>
      <c r="EV138" s="423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423"/>
      <c r="EV139" s="423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423"/>
      <c r="EV140" s="423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423">
        <v>11036841.98</v>
      </c>
      <c r="EU141" s="423">
        <v>13096709.15</v>
      </c>
      <c r="EV141" s="423">
        <v>16347312.470000001</v>
      </c>
      <c r="EW141" s="376">
        <v>15688793.050000001</v>
      </c>
      <c r="EX141" s="376">
        <v>13306183.48</v>
      </c>
      <c r="EY141" s="376">
        <v>17878544.43</v>
      </c>
      <c r="EZ141" s="376">
        <v>20218156.109999999</v>
      </c>
      <c r="FA141" s="376"/>
      <c r="FB141" s="376"/>
      <c r="FC141" s="376"/>
      <c r="FD141" s="376"/>
      <c r="FE141" s="376"/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423">
        <v>10553508.65</v>
      </c>
      <c r="EU142" s="423">
        <v>12813375.82</v>
      </c>
      <c r="EV142" s="423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/>
      <c r="FB142" s="376"/>
      <c r="FC142" s="376"/>
      <c r="FD142" s="376"/>
      <c r="FE142" s="376"/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423"/>
      <c r="EU143" s="423"/>
      <c r="EV143" s="423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423"/>
      <c r="EV144" s="423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423"/>
      <c r="EV145" s="423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423"/>
      <c r="EV146" s="423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423"/>
      <c r="EV147" s="423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423"/>
      <c r="EV148" s="423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423"/>
      <c r="EV149" s="423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423"/>
      <c r="EV150" s="423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423"/>
      <c r="EV151" s="423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423">
        <v>483333.33</v>
      </c>
      <c r="EU152" s="423">
        <v>283333.33</v>
      </c>
      <c r="EV152" s="423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/>
      <c r="FB152" s="376"/>
      <c r="FC152" s="376"/>
      <c r="FD152" s="376"/>
      <c r="FE152" s="376"/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423"/>
      <c r="EV153" s="423"/>
      <c r="EW153" s="376"/>
      <c r="EX153" s="376"/>
      <c r="EY153" s="441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423"/>
      <c r="EV154" s="423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423"/>
      <c r="EV155" s="423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423"/>
      <c r="EV156" s="423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423"/>
      <c r="EV157" s="423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423"/>
      <c r="EV158" s="423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734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423">
        <v>2060574.27</v>
      </c>
      <c r="EU159" s="423">
        <v>2958395.49</v>
      </c>
      <c r="EV159" s="423">
        <v>10806505.67</v>
      </c>
      <c r="EW159" s="376">
        <v>28775491.48</v>
      </c>
      <c r="EX159" s="376">
        <v>12314358.92</v>
      </c>
      <c r="EY159" s="376">
        <v>19994287.210000001</v>
      </c>
      <c r="EZ159" s="376">
        <v>9966553.5099999998</v>
      </c>
      <c r="FA159" s="376"/>
      <c r="FB159" s="376"/>
      <c r="FC159" s="376"/>
      <c r="FD159" s="376"/>
      <c r="FE159" s="376"/>
      <c r="FF159" s="376"/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574365.92000000016</v>
      </c>
      <c r="DW160" s="337">
        <v>2409085.69</v>
      </c>
      <c r="DX160" s="337">
        <v>1684769.4699999995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1143634.6399999999</v>
      </c>
      <c r="ED160" s="373">
        <v>1391676.19</v>
      </c>
      <c r="EE160" s="373">
        <v>1219335.0900000001</v>
      </c>
      <c r="EF160" s="373">
        <v>3148854.2</v>
      </c>
      <c r="EG160" s="373">
        <v>14481049.99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423">
        <v>3266992.16</v>
      </c>
      <c r="EU160" s="423">
        <v>1252962.76</v>
      </c>
      <c r="EV160" s="423">
        <v>2398205.81</v>
      </c>
      <c r="EW160" s="376">
        <v>2567489.7200000002</v>
      </c>
      <c r="EX160" s="376">
        <f>72030552.34-68939595.36</f>
        <v>3090956.9800000042</v>
      </c>
      <c r="EY160" s="376">
        <v>7288010.0899999999</v>
      </c>
      <c r="EZ160" s="376">
        <v>2615698.5299999998</v>
      </c>
      <c r="FA160" s="376"/>
      <c r="FB160" s="376"/>
      <c r="FC160" s="376"/>
      <c r="FD160" s="376"/>
      <c r="FE160" s="376"/>
      <c r="FF160" s="376"/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423"/>
      <c r="EV161" s="423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423"/>
      <c r="EV162" s="423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423"/>
      <c r="EV163" s="423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423"/>
      <c r="EV164" s="423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423"/>
      <c r="EV165" s="423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423"/>
      <c r="EV166" s="423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423"/>
      <c r="EV167" s="423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423"/>
      <c r="EV168" s="423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/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423"/>
      <c r="EV169" s="423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423">
        <v>5000</v>
      </c>
      <c r="EU170" s="423">
        <v>380906.62</v>
      </c>
      <c r="EV170" s="423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/>
      <c r="FB170" s="376"/>
      <c r="FC170" s="376"/>
      <c r="FD170" s="376"/>
      <c r="FE170" s="376"/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423">
        <v>5000</v>
      </c>
      <c r="EU171" s="423">
        <v>380906.62</v>
      </c>
      <c r="EV171" s="423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/>
      <c r="FB171" s="376"/>
      <c r="FC171" s="376"/>
      <c r="FD171" s="376"/>
      <c r="FE171" s="376"/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423"/>
      <c r="EV172" s="423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423"/>
      <c r="EV173" s="423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423"/>
      <c r="EV174" s="423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423"/>
      <c r="EV175" s="423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423"/>
      <c r="EV176" s="423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423">
        <v>27871672.789999999</v>
      </c>
      <c r="EU177" s="423">
        <v>56704926.840000004</v>
      </c>
      <c r="EV177" s="423">
        <v>21093802.77</v>
      </c>
      <c r="EW177" s="376">
        <v>22441147.859999999</v>
      </c>
      <c r="EX177" s="376">
        <v>16011539.029999999</v>
      </c>
      <c r="EY177" s="376"/>
      <c r="EZ177" s="376"/>
      <c r="FA177" s="376"/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423">
        <v>26200164.98</v>
      </c>
      <c r="EU178" s="423">
        <v>54488971.759999998</v>
      </c>
      <c r="EV178" s="423">
        <v>19066024.489999998</v>
      </c>
      <c r="EW178" s="376">
        <v>19981471.989999998</v>
      </c>
      <c r="EX178" s="376">
        <v>14760695.76</v>
      </c>
      <c r="EY178" s="376"/>
      <c r="EZ178" s="376"/>
      <c r="FA178" s="376"/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423">
        <v>24566746.16</v>
      </c>
      <c r="EU179" s="423">
        <v>50952373.509999998</v>
      </c>
      <c r="EV179" s="423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/>
      <c r="FB179" s="376"/>
      <c r="FC179" s="376"/>
      <c r="FD179" s="376"/>
      <c r="FE179" s="376"/>
      <c r="FF179" s="376"/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423">
        <v>1633418.82</v>
      </c>
      <c r="EU180" s="423">
        <v>3536598.25</v>
      </c>
      <c r="EV180" s="423">
        <v>12014620.48</v>
      </c>
      <c r="EW180" s="376">
        <v>17749813.48</v>
      </c>
      <c r="EX180" s="376">
        <v>13929196.93</v>
      </c>
      <c r="EY180" s="376">
        <v>8509523.0099999998</v>
      </c>
      <c r="EZ180" s="376">
        <v>1633418.82</v>
      </c>
      <c r="FA180" s="376"/>
      <c r="FB180" s="376"/>
      <c r="FC180" s="376"/>
      <c r="FD180" s="376"/>
      <c r="FE180" s="376"/>
      <c r="FF180" s="376"/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423"/>
      <c r="EV181" s="423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/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423"/>
      <c r="EV182" s="423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423"/>
      <c r="EV183" s="423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423">
        <v>1671507.81</v>
      </c>
      <c r="EU184" s="423">
        <v>2215955.08</v>
      </c>
      <c r="EV184" s="423">
        <v>2027778.28</v>
      </c>
      <c r="EW184" s="376">
        <v>2459675.87</v>
      </c>
      <c r="EX184" s="376">
        <v>1250843.27</v>
      </c>
      <c r="EY184" s="376">
        <v>1981350.35</v>
      </c>
      <c r="EZ184" s="376">
        <v>4527449.25</v>
      </c>
      <c r="FA184" s="376"/>
      <c r="FB184" s="376"/>
      <c r="FC184" s="376"/>
      <c r="FD184" s="376"/>
      <c r="FE184" s="376"/>
      <c r="FF184" s="376"/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423">
        <v>190000</v>
      </c>
      <c r="EU185" s="423">
        <v>92000</v>
      </c>
      <c r="EV185" s="423">
        <v>2352909.08</v>
      </c>
      <c r="EW185" s="376">
        <v>460039.86</v>
      </c>
      <c r="EX185" s="376">
        <v>4042331.56</v>
      </c>
      <c r="EY185" s="376">
        <v>1980934.15</v>
      </c>
      <c r="EZ185" s="376">
        <v>1800352.01</v>
      </c>
      <c r="FA185" s="376"/>
      <c r="FB185" s="376"/>
      <c r="FC185" s="376"/>
      <c r="FD185" s="376"/>
      <c r="FE185" s="376"/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42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699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/>
      <c r="DZ189" s="369"/>
      <c r="EC189" s="373"/>
      <c r="ED189" s="373"/>
      <c r="EE189" s="373"/>
      <c r="EF189" s="373"/>
      <c r="EG189" s="373"/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6"/>
      <c r="ET189" s="376"/>
      <c r="EU189" s="376"/>
      <c r="EV189" s="376"/>
      <c r="EW189" s="376"/>
      <c r="EX189" s="376"/>
      <c r="EY189" s="435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+Master!G25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+Master!G77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+Master!G217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37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376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61">
      <c r="EH212" s="339"/>
    </row>
    <row r="215" spans="1:161">
      <c r="E215" s="559" t="s">
        <v>690</v>
      </c>
      <c r="F215" s="557">
        <v>2006</v>
      </c>
      <c r="G215" s="556"/>
      <c r="H215" s="556"/>
      <c r="I215" s="556"/>
      <c r="J215" s="556"/>
      <c r="K215" s="556"/>
      <c r="L215" s="556"/>
      <c r="M215" s="556"/>
      <c r="N215" s="556"/>
      <c r="O215" s="556"/>
      <c r="P215" s="556"/>
      <c r="Q215" s="558"/>
      <c r="R215" s="557">
        <v>2007</v>
      </c>
      <c r="S215" s="556"/>
      <c r="T215" s="556"/>
      <c r="U215" s="556"/>
      <c r="V215" s="556"/>
      <c r="W215" s="556"/>
      <c r="X215" s="556"/>
      <c r="Y215" s="556"/>
      <c r="Z215" s="556"/>
      <c r="AA215" s="556"/>
      <c r="AB215" s="556"/>
      <c r="AC215" s="558"/>
      <c r="AD215" s="557">
        <v>2008</v>
      </c>
      <c r="AE215" s="556"/>
      <c r="AF215" s="556"/>
      <c r="AG215" s="556"/>
      <c r="AH215" s="556"/>
      <c r="AI215" s="556"/>
      <c r="AJ215" s="556"/>
      <c r="AK215" s="556"/>
      <c r="AL215" s="556"/>
      <c r="AM215" s="556"/>
      <c r="AN215" s="556"/>
      <c r="AO215" s="558"/>
      <c r="AP215" s="557">
        <v>2009</v>
      </c>
      <c r="AQ215" s="556"/>
      <c r="AR215" s="556"/>
      <c r="AS215" s="556"/>
      <c r="AT215" s="556"/>
      <c r="AU215" s="556"/>
      <c r="AV215" s="556"/>
      <c r="AW215" s="556"/>
      <c r="AX215" s="556"/>
      <c r="AY215" s="556"/>
      <c r="AZ215" s="556"/>
      <c r="BA215" s="558"/>
      <c r="BB215" s="557">
        <v>2010</v>
      </c>
      <c r="BC215" s="556"/>
      <c r="BD215" s="556"/>
      <c r="BE215" s="556"/>
      <c r="BF215" s="556"/>
      <c r="BG215" s="556"/>
      <c r="BH215" s="556"/>
      <c r="BI215" s="556"/>
      <c r="BJ215" s="556"/>
      <c r="BK215" s="556"/>
      <c r="BL215" s="556"/>
      <c r="BM215" s="558"/>
      <c r="BN215" s="557">
        <v>2011</v>
      </c>
      <c r="BO215" s="556"/>
      <c r="BP215" s="556"/>
      <c r="BQ215" s="556"/>
      <c r="BR215" s="556"/>
      <c r="BS215" s="556"/>
      <c r="BT215" s="556"/>
      <c r="BU215" s="556"/>
      <c r="BV215" s="556"/>
      <c r="BW215" s="556"/>
      <c r="BX215" s="556"/>
      <c r="BY215" s="558"/>
      <c r="BZ215" s="556">
        <v>2012</v>
      </c>
      <c r="CA215" s="556"/>
      <c r="CB215" s="556"/>
      <c r="CC215" s="556"/>
      <c r="CD215" s="556"/>
      <c r="CE215" s="556"/>
      <c r="CF215" s="556"/>
      <c r="CG215" s="556"/>
      <c r="CH215" s="556"/>
      <c r="CI215" s="556"/>
      <c r="CJ215" s="556"/>
      <c r="CK215" s="556"/>
      <c r="CL215" s="557">
        <v>2013</v>
      </c>
      <c r="CM215" s="556"/>
      <c r="CN215" s="556"/>
      <c r="CO215" s="556"/>
      <c r="CP215" s="556"/>
      <c r="CQ215" s="556"/>
      <c r="CR215" s="556"/>
      <c r="CS215" s="556"/>
      <c r="CT215" s="556"/>
      <c r="CU215" s="556"/>
      <c r="CV215" s="556"/>
      <c r="CW215" s="558"/>
      <c r="CX215" s="557">
        <v>2014</v>
      </c>
      <c r="CY215" s="556"/>
      <c r="CZ215" s="556"/>
      <c r="DA215" s="556"/>
      <c r="DB215" s="556"/>
      <c r="DC215" s="556"/>
      <c r="DD215" s="556"/>
      <c r="DE215" s="556"/>
      <c r="DF215" s="556"/>
      <c r="DG215" s="556"/>
      <c r="DH215" s="556"/>
      <c r="DI215" s="558"/>
      <c r="DJ215" s="557">
        <v>2015</v>
      </c>
      <c r="DK215" s="556"/>
      <c r="DL215" s="556"/>
      <c r="DM215" s="556"/>
      <c r="DN215" s="556"/>
      <c r="DO215" s="556"/>
      <c r="DP215" s="556"/>
      <c r="DQ215" s="556"/>
      <c r="DR215" s="556"/>
      <c r="DS215" s="556"/>
      <c r="DT215" s="556"/>
      <c r="DU215" s="558"/>
    </row>
    <row r="216" spans="1:161">
      <c r="E216" s="559"/>
      <c r="F216" s="75" t="s">
        <v>570</v>
      </c>
      <c r="G216" s="76" t="s">
        <v>571</v>
      </c>
      <c r="H216" s="76" t="s">
        <v>572</v>
      </c>
      <c r="I216" s="76" t="s">
        <v>573</v>
      </c>
      <c r="J216" s="76" t="s">
        <v>574</v>
      </c>
      <c r="K216" s="76" t="s">
        <v>575</v>
      </c>
      <c r="L216" s="76" t="s">
        <v>576</v>
      </c>
      <c r="M216" s="76" t="s">
        <v>577</v>
      </c>
      <c r="N216" s="76" t="s">
        <v>578</v>
      </c>
      <c r="O216" s="76" t="s">
        <v>579</v>
      </c>
      <c r="P216" s="76" t="s">
        <v>580</v>
      </c>
      <c r="Q216" s="77" t="s">
        <v>581</v>
      </c>
      <c r="R216" s="75" t="s">
        <v>582</v>
      </c>
      <c r="S216" s="76" t="s">
        <v>583</v>
      </c>
      <c r="T216" s="76" t="s">
        <v>584</v>
      </c>
      <c r="U216" s="76" t="s">
        <v>585</v>
      </c>
      <c r="V216" s="76" t="s">
        <v>586</v>
      </c>
      <c r="W216" s="76" t="s">
        <v>587</v>
      </c>
      <c r="X216" s="76" t="s">
        <v>588</v>
      </c>
      <c r="Y216" s="76" t="s">
        <v>589</v>
      </c>
      <c r="Z216" s="76" t="s">
        <v>590</v>
      </c>
      <c r="AA216" s="76" t="s">
        <v>591</v>
      </c>
      <c r="AB216" s="76" t="s">
        <v>592</v>
      </c>
      <c r="AC216" s="77" t="s">
        <v>593</v>
      </c>
      <c r="AD216" s="75" t="s">
        <v>594</v>
      </c>
      <c r="AE216" s="76" t="s">
        <v>595</v>
      </c>
      <c r="AF216" s="76" t="s">
        <v>596</v>
      </c>
      <c r="AG216" s="76" t="s">
        <v>597</v>
      </c>
      <c r="AH216" s="76" t="s">
        <v>598</v>
      </c>
      <c r="AI216" s="76" t="s">
        <v>599</v>
      </c>
      <c r="AJ216" s="76" t="s">
        <v>600</v>
      </c>
      <c r="AK216" s="76" t="s">
        <v>601</v>
      </c>
      <c r="AL216" s="76" t="s">
        <v>602</v>
      </c>
      <c r="AM216" s="76" t="s">
        <v>603</v>
      </c>
      <c r="AN216" s="76" t="s">
        <v>604</v>
      </c>
      <c r="AO216" s="77" t="s">
        <v>605</v>
      </c>
      <c r="AP216" s="75" t="s">
        <v>606</v>
      </c>
      <c r="AQ216" s="76" t="s">
        <v>607</v>
      </c>
      <c r="AR216" s="76" t="s">
        <v>608</v>
      </c>
      <c r="AS216" s="76" t="s">
        <v>609</v>
      </c>
      <c r="AT216" s="76" t="s">
        <v>610</v>
      </c>
      <c r="AU216" s="76" t="s">
        <v>611</v>
      </c>
      <c r="AV216" s="76" t="s">
        <v>612</v>
      </c>
      <c r="AW216" s="76" t="s">
        <v>613</v>
      </c>
      <c r="AX216" s="76" t="s">
        <v>614</v>
      </c>
      <c r="AY216" s="76" t="s">
        <v>615</v>
      </c>
      <c r="AZ216" s="76" t="s">
        <v>616</v>
      </c>
      <c r="BA216" s="77" t="s">
        <v>617</v>
      </c>
      <c r="BB216" s="75" t="s">
        <v>618</v>
      </c>
      <c r="BC216" s="76" t="s">
        <v>619</v>
      </c>
      <c r="BD216" s="76" t="s">
        <v>620</v>
      </c>
      <c r="BE216" s="76" t="s">
        <v>621</v>
      </c>
      <c r="BF216" s="76" t="s">
        <v>622</v>
      </c>
      <c r="BG216" s="76" t="s">
        <v>623</v>
      </c>
      <c r="BH216" s="76" t="s">
        <v>624</v>
      </c>
      <c r="BI216" s="76" t="s">
        <v>625</v>
      </c>
      <c r="BJ216" s="76" t="s">
        <v>626</v>
      </c>
      <c r="BK216" s="76" t="s">
        <v>627</v>
      </c>
      <c r="BL216" s="76" t="s">
        <v>628</v>
      </c>
      <c r="BM216" s="77" t="s">
        <v>629</v>
      </c>
      <c r="BN216" s="75" t="s">
        <v>630</v>
      </c>
      <c r="BO216" s="76" t="s">
        <v>631</v>
      </c>
      <c r="BP216" s="76" t="s">
        <v>632</v>
      </c>
      <c r="BQ216" s="76" t="s">
        <v>633</v>
      </c>
      <c r="BR216" s="76" t="s">
        <v>634</v>
      </c>
      <c r="BS216" s="76" t="s">
        <v>635</v>
      </c>
      <c r="BT216" s="76" t="s">
        <v>636</v>
      </c>
      <c r="BU216" s="76" t="s">
        <v>637</v>
      </c>
      <c r="BV216" s="76" t="s">
        <v>638</v>
      </c>
      <c r="BW216" s="76" t="s">
        <v>639</v>
      </c>
      <c r="BX216" s="76" t="s">
        <v>640</v>
      </c>
      <c r="BY216" s="77" t="s">
        <v>641</v>
      </c>
      <c r="BZ216" s="76" t="s">
        <v>642</v>
      </c>
      <c r="CA216" s="76" t="s">
        <v>643</v>
      </c>
      <c r="CB216" s="76" t="s">
        <v>644</v>
      </c>
      <c r="CC216" s="76" t="s">
        <v>645</v>
      </c>
      <c r="CD216" s="76" t="s">
        <v>646</v>
      </c>
      <c r="CE216" s="76" t="s">
        <v>647</v>
      </c>
      <c r="CF216" s="76" t="s">
        <v>648</v>
      </c>
      <c r="CG216" s="76" t="s">
        <v>649</v>
      </c>
      <c r="CH216" s="76" t="s">
        <v>650</v>
      </c>
      <c r="CI216" s="76" t="s">
        <v>651</v>
      </c>
      <c r="CJ216" s="76" t="s">
        <v>652</v>
      </c>
      <c r="CK216" s="76" t="s">
        <v>653</v>
      </c>
      <c r="CL216" s="75" t="s">
        <v>654</v>
      </c>
      <c r="CM216" s="76" t="s">
        <v>655</v>
      </c>
      <c r="CN216" s="76" t="s">
        <v>656</v>
      </c>
      <c r="CO216" s="76" t="s">
        <v>657</v>
      </c>
      <c r="CP216" s="76" t="s">
        <v>658</v>
      </c>
      <c r="CQ216" s="76" t="s">
        <v>659</v>
      </c>
      <c r="CR216" s="76" t="s">
        <v>660</v>
      </c>
      <c r="CS216" s="76" t="s">
        <v>661</v>
      </c>
      <c r="CT216" s="76" t="s">
        <v>662</v>
      </c>
      <c r="CU216" s="76" t="s">
        <v>663</v>
      </c>
      <c r="CV216" s="76" t="s">
        <v>664</v>
      </c>
      <c r="CW216" s="77" t="s">
        <v>665</v>
      </c>
      <c r="CX216" s="75" t="s">
        <v>666</v>
      </c>
      <c r="CY216" s="76" t="s">
        <v>667</v>
      </c>
      <c r="CZ216" s="76" t="s">
        <v>668</v>
      </c>
      <c r="DA216" s="76" t="s">
        <v>669</v>
      </c>
      <c r="DB216" s="76" t="s">
        <v>670</v>
      </c>
      <c r="DC216" s="76" t="s">
        <v>671</v>
      </c>
      <c r="DD216" s="76" t="s">
        <v>672</v>
      </c>
      <c r="DE216" s="76" t="s">
        <v>673</v>
      </c>
      <c r="DF216" s="76" t="s">
        <v>674</v>
      </c>
      <c r="DG216" s="76" t="s">
        <v>675</v>
      </c>
      <c r="DH216" s="76" t="s">
        <v>676</v>
      </c>
      <c r="DI216" s="77" t="s">
        <v>677</v>
      </c>
      <c r="DJ216" s="75" t="s">
        <v>678</v>
      </c>
      <c r="DK216" s="76" t="s">
        <v>679</v>
      </c>
      <c r="DL216" s="76" t="s">
        <v>680</v>
      </c>
      <c r="DM216" s="76" t="s">
        <v>681</v>
      </c>
      <c r="DN216" s="76" t="s">
        <v>682</v>
      </c>
      <c r="DO216" s="76" t="s">
        <v>683</v>
      </c>
      <c r="DP216" s="76" t="s">
        <v>684</v>
      </c>
      <c r="DQ216" s="76" t="s">
        <v>685</v>
      </c>
      <c r="DR216" s="76" t="s">
        <v>686</v>
      </c>
      <c r="DS216" s="76" t="s">
        <v>687</v>
      </c>
      <c r="DT216" s="76" t="s">
        <v>688</v>
      </c>
      <c r="DU216" s="77" t="s">
        <v>689</v>
      </c>
      <c r="DV216" s="42" t="s">
        <v>720</v>
      </c>
      <c r="DW216" s="42" t="s">
        <v>721</v>
      </c>
      <c r="DX216" s="42" t="s">
        <v>722</v>
      </c>
      <c r="DY216" s="42" t="s">
        <v>723</v>
      </c>
      <c r="DZ216" s="42" t="s">
        <v>724</v>
      </c>
      <c r="EA216" s="42" t="s">
        <v>725</v>
      </c>
      <c r="EB216" s="42" t="s">
        <v>726</v>
      </c>
      <c r="EC216" s="42" t="s">
        <v>727</v>
      </c>
      <c r="ED216" s="42" t="s">
        <v>728</v>
      </c>
      <c r="EE216" s="42" t="s">
        <v>729</v>
      </c>
      <c r="EF216" s="42" t="s">
        <v>730</v>
      </c>
      <c r="EG216" s="42" t="s">
        <v>731</v>
      </c>
      <c r="EH216" s="397" t="s">
        <v>742</v>
      </c>
      <c r="EI216" s="397" t="s">
        <v>743</v>
      </c>
      <c r="EJ216" s="397" t="s">
        <v>744</v>
      </c>
      <c r="EK216" s="397" t="s">
        <v>745</v>
      </c>
      <c r="EL216" s="397" t="s">
        <v>746</v>
      </c>
      <c r="EM216" s="397" t="s">
        <v>747</v>
      </c>
      <c r="EN216" s="397" t="s">
        <v>748</v>
      </c>
      <c r="EO216" s="397" t="s">
        <v>749</v>
      </c>
      <c r="EP216" s="397" t="s">
        <v>750</v>
      </c>
      <c r="EQ216" s="397" t="s">
        <v>751</v>
      </c>
      <c r="ER216" s="397" t="s">
        <v>752</v>
      </c>
      <c r="ES216" s="397" t="s">
        <v>753</v>
      </c>
      <c r="ET216" s="397" t="s">
        <v>760</v>
      </c>
      <c r="EU216" s="397" t="s">
        <v>761</v>
      </c>
      <c r="EV216" s="397" t="s">
        <v>762</v>
      </c>
      <c r="EW216" s="397" t="s">
        <v>763</v>
      </c>
      <c r="EX216" s="397" t="s">
        <v>764</v>
      </c>
      <c r="EY216" s="397" t="s">
        <v>765</v>
      </c>
      <c r="EZ216" s="397" t="s">
        <v>766</v>
      </c>
      <c r="FA216" s="397" t="s">
        <v>767</v>
      </c>
      <c r="FB216" s="397" t="s">
        <v>768</v>
      </c>
      <c r="FC216" s="397" t="s">
        <v>769</v>
      </c>
      <c r="FD216" s="397" t="s">
        <v>770</v>
      </c>
      <c r="FE216" s="397" t="s">
        <v>771</v>
      </c>
    </row>
    <row r="217" spans="1:161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61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61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11">
        <v>60295851.510000005</v>
      </c>
      <c r="EU219" s="411">
        <v>64797597.330000006</v>
      </c>
      <c r="EV219" s="411">
        <v>89261850.609999985</v>
      </c>
      <c r="EW219" s="411">
        <v>97799793.080000013</v>
      </c>
      <c r="EX219" s="411">
        <v>90553351.069999993</v>
      </c>
      <c r="EY219" s="411">
        <v>87503254.430000007</v>
      </c>
      <c r="EZ219" s="411">
        <v>99397799.482830197</v>
      </c>
      <c r="FA219" s="411">
        <v>110357770.3498607</v>
      </c>
      <c r="FB219" s="411">
        <v>102093047.15872496</v>
      </c>
      <c r="FC219" s="411">
        <v>95698512.829288453</v>
      </c>
      <c r="FD219" s="411">
        <v>82424829.046484277</v>
      </c>
      <c r="FE219" s="411">
        <v>98213532.499999791</v>
      </c>
    </row>
    <row r="220" spans="1:161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</row>
    <row r="221" spans="1:161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</row>
    <row r="222" spans="1:161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</row>
    <row r="223" spans="1:161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</row>
    <row r="224" spans="1:161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</row>
    <row r="225" spans="1:161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</row>
    <row r="226" spans="1:161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61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11">
        <v>14572676.99</v>
      </c>
      <c r="EU228" s="411">
        <v>36938118.07</v>
      </c>
      <c r="EV228" s="411">
        <v>43053255.970000006</v>
      </c>
      <c r="EW228" s="411">
        <v>41029948.000000007</v>
      </c>
      <c r="EX228" s="411">
        <v>40388291.549999997</v>
      </c>
      <c r="EY228" s="411">
        <v>42077356.240000002</v>
      </c>
      <c r="EZ228" s="411">
        <v>46362054.926801726</v>
      </c>
      <c r="FA228" s="411">
        <v>45724084.253699668</v>
      </c>
      <c r="FB228" s="411">
        <v>41947258.969554022</v>
      </c>
      <c r="FC228" s="411">
        <v>44433442.802094914</v>
      </c>
      <c r="FD228" s="411">
        <v>45788790.684398532</v>
      </c>
      <c r="FE228" s="411">
        <v>79938550.463845864</v>
      </c>
    </row>
    <row r="229" spans="1:161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</row>
    <row r="230" spans="1:161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</row>
    <row r="231" spans="1:161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</row>
    <row r="232" spans="1:161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</row>
    <row r="233" spans="1:161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11">
        <v>785627.23999999987</v>
      </c>
      <c r="EU233" s="411">
        <v>993423.94</v>
      </c>
      <c r="EV233" s="411">
        <v>1089343.29</v>
      </c>
      <c r="EW233" s="411">
        <v>1198538.77</v>
      </c>
      <c r="EX233" s="411">
        <v>1382138.7799999998</v>
      </c>
      <c r="EY233" s="411">
        <v>1539773.02</v>
      </c>
      <c r="EZ233" s="411">
        <v>1993333.2050530105</v>
      </c>
      <c r="FA233" s="411">
        <v>2094009.8411112905</v>
      </c>
      <c r="FB233" s="411">
        <v>1758705.3100069393</v>
      </c>
      <c r="FC233" s="411">
        <v>1756312.8353634721</v>
      </c>
      <c r="FD233" s="411">
        <v>1538063.0039378535</v>
      </c>
      <c r="FE233" s="411">
        <v>1571199.152751297</v>
      </c>
    </row>
    <row r="234" spans="1:161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</row>
    <row r="235" spans="1:161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</row>
    <row r="236" spans="1:161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</row>
    <row r="237" spans="1:161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</row>
    <row r="238" spans="1:161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11">
        <v>1774503.5699999998</v>
      </c>
      <c r="EU238" s="411">
        <v>1885893.46</v>
      </c>
      <c r="EV238" s="411">
        <v>2001213.06</v>
      </c>
      <c r="EW238" s="411">
        <v>2389766.7799999998</v>
      </c>
      <c r="EX238" s="411">
        <v>1530724.52</v>
      </c>
      <c r="EY238" s="411">
        <v>2860047.35</v>
      </c>
      <c r="EZ238" s="411">
        <v>2768982.89609381</v>
      </c>
      <c r="FA238" s="411">
        <v>1878964.846878767</v>
      </c>
      <c r="FB238" s="411">
        <v>2453431.0919642458</v>
      </c>
      <c r="FC238" s="411">
        <v>3062621.0292725526</v>
      </c>
      <c r="FD238" s="411">
        <v>2157522.0205821833</v>
      </c>
      <c r="FE238" s="411">
        <v>3364455.4723437326</v>
      </c>
    </row>
    <row r="239" spans="1:161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</row>
    <row r="240" spans="1:161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</row>
    <row r="241" spans="1:161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</row>
    <row r="242" spans="1:161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</row>
    <row r="243" spans="1:161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</row>
    <row r="244" spans="1:161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</row>
    <row r="245" spans="1:161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11">
        <v>2425520.8099999996</v>
      </c>
      <c r="EU245" s="411">
        <v>1609741.96</v>
      </c>
      <c r="EV245" s="411">
        <v>2046839.3099999998</v>
      </c>
      <c r="EW245" s="411">
        <v>5482431.4299999997</v>
      </c>
      <c r="EX245" s="411">
        <v>2151437.83</v>
      </c>
      <c r="EY245" s="411">
        <v>2740294.16</v>
      </c>
      <c r="EZ245" s="411">
        <v>3610099.6149461018</v>
      </c>
      <c r="FA245" s="411">
        <v>2856432.7673175023</v>
      </c>
      <c r="FB245" s="411">
        <v>38693622.019299239</v>
      </c>
      <c r="FC245" s="411">
        <v>3080614.3453884441</v>
      </c>
      <c r="FD245" s="411">
        <v>2054798.3756645597</v>
      </c>
      <c r="FE245" s="411">
        <v>4981072.0471647922</v>
      </c>
    </row>
    <row r="246" spans="1:161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</row>
    <row r="247" spans="1:161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</row>
    <row r="248" spans="1:161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</row>
    <row r="249" spans="1:161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</row>
    <row r="250" spans="1:161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</row>
    <row r="251" spans="1:161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61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61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</row>
    <row r="254" spans="1:161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</row>
    <row r="255" spans="1:161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61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</row>
    <row r="257" spans="1:162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</row>
    <row r="258" spans="1:162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62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62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</row>
    <row r="261" spans="1:162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</row>
    <row r="262" spans="1:162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24658333.329999998</v>
      </c>
    </row>
    <row r="263" spans="1:162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62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62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10">
        <v>36581480.009166665</v>
      </c>
      <c r="EU265" s="410">
        <v>36581480.009166665</v>
      </c>
      <c r="EV265" s="410">
        <v>36581480.009166665</v>
      </c>
      <c r="EW265" s="410">
        <v>36581480.009166665</v>
      </c>
      <c r="EX265" s="410">
        <v>36581480.009166665</v>
      </c>
      <c r="EY265" s="410">
        <v>36581480.009166665</v>
      </c>
      <c r="EZ265" s="410">
        <v>36581480.009166665</v>
      </c>
      <c r="FA265" s="410">
        <v>36581480.009166665</v>
      </c>
      <c r="FB265" s="410">
        <v>36581480.009166665</v>
      </c>
      <c r="FC265" s="410">
        <v>36581480.009166665</v>
      </c>
      <c r="FD265" s="410">
        <v>36581480.009166665</v>
      </c>
      <c r="FE265" s="410">
        <v>36581480.009166665</v>
      </c>
      <c r="FF265" s="410">
        <f>SUM(ET265:FE265)</f>
        <v>438977760.10999995</v>
      </c>
    </row>
    <row r="266" spans="1:162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62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62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62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62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62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10">
        <v>1045765.8483333333</v>
      </c>
      <c r="EU271" s="410">
        <v>1045765.8483333333</v>
      </c>
      <c r="EV271" s="410">
        <v>1045765.8483333333</v>
      </c>
      <c r="EW271" s="410">
        <v>1064654.7372222226</v>
      </c>
      <c r="EX271" s="410">
        <v>1064654.7372222226</v>
      </c>
      <c r="EY271" s="410">
        <v>1064654.7372222226</v>
      </c>
      <c r="EZ271" s="410">
        <v>1064654.7372222226</v>
      </c>
      <c r="FA271" s="410">
        <v>1064654.7372222226</v>
      </c>
      <c r="FB271" s="410">
        <v>1064654.7372222226</v>
      </c>
      <c r="FC271" s="410">
        <v>1064654.7372222226</v>
      </c>
      <c r="FD271" s="410">
        <v>1064654.7372222226</v>
      </c>
      <c r="FE271" s="410">
        <v>1064654.7372222226</v>
      </c>
      <c r="FF271" s="410">
        <f>SUM(ET271:FE271)</f>
        <v>12719190.180000003</v>
      </c>
    </row>
    <row r="272" spans="1:162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62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62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62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62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62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62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62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10">
        <v>2429373.3213333334</v>
      </c>
      <c r="EU279" s="410">
        <v>2429373.3213333334</v>
      </c>
      <c r="EV279" s="410">
        <v>2429373.3213333334</v>
      </c>
      <c r="EW279" s="410">
        <v>2429373.3213333334</v>
      </c>
      <c r="EX279" s="410">
        <v>2429373.3213333334</v>
      </c>
      <c r="EY279" s="410">
        <v>2429373.3213333334</v>
      </c>
      <c r="EZ279" s="410">
        <v>3644059.9819999994</v>
      </c>
      <c r="FA279" s="410">
        <v>3644059.9819999994</v>
      </c>
      <c r="FB279" s="410">
        <v>3644059.9819999994</v>
      </c>
      <c r="FC279" s="410">
        <v>3644059.9819999994</v>
      </c>
      <c r="FD279" s="410">
        <v>3644059.9819999994</v>
      </c>
      <c r="FE279" s="410">
        <v>3644059.9819999994</v>
      </c>
      <c r="FF279" s="410">
        <f>SUM(ET279:FE279)</f>
        <v>36440599.82</v>
      </c>
    </row>
    <row r="280" spans="1:162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62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62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62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62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62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62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10">
        <v>3986420.5893333331</v>
      </c>
      <c r="EU286" s="410">
        <v>3986420.5893333331</v>
      </c>
      <c r="EV286" s="410">
        <v>3986420.5893333331</v>
      </c>
      <c r="EW286" s="410">
        <v>4097531.7004444432</v>
      </c>
      <c r="EX286" s="410">
        <v>4097531.7004444432</v>
      </c>
      <c r="EY286" s="410">
        <v>4097531.7004444432</v>
      </c>
      <c r="EZ286" s="410">
        <v>6090741.9951111097</v>
      </c>
      <c r="FA286" s="410">
        <v>6090741.9951111097</v>
      </c>
      <c r="FB286" s="410">
        <v>6090741.9951111097</v>
      </c>
      <c r="FC286" s="410">
        <v>6090741.9951111097</v>
      </c>
      <c r="FD286" s="410">
        <v>6090741.9951111097</v>
      </c>
      <c r="FE286" s="410">
        <v>6090741.9951111097</v>
      </c>
      <c r="FF286" s="410">
        <f>SUM(ET286:FE286)</f>
        <v>60796308.839999974</v>
      </c>
    </row>
    <row r="287" spans="1:162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62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62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62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62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62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62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62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62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62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10">
        <v>1860319.3983333334</v>
      </c>
      <c r="EU296" s="410">
        <v>1860319.3983333334</v>
      </c>
      <c r="EV296" s="410">
        <v>1860319.3983333334</v>
      </c>
      <c r="EW296" s="410">
        <v>1860319.3983333334</v>
      </c>
      <c r="EX296" s="410">
        <v>1860319.3983333334</v>
      </c>
      <c r="EY296" s="410">
        <v>1860319.3983333334</v>
      </c>
      <c r="EZ296" s="410">
        <v>1860319.3983333334</v>
      </c>
      <c r="FA296" s="410">
        <v>1860319.3983333334</v>
      </c>
      <c r="FB296" s="410">
        <v>1860319.3983333334</v>
      </c>
      <c r="FC296" s="410">
        <v>1860319.3983333334</v>
      </c>
      <c r="FD296" s="410">
        <v>1860319.3983333334</v>
      </c>
      <c r="FE296" s="410">
        <v>1860319.3983333334</v>
      </c>
      <c r="FF296" s="410">
        <f>SUM(ET296:FE296)</f>
        <v>22323832.780000001</v>
      </c>
    </row>
    <row r="297" spans="1:162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62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62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62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10">
        <v>7122725</v>
      </c>
      <c r="EU300" s="410">
        <v>7122725</v>
      </c>
      <c r="EV300" s="410">
        <v>7122725</v>
      </c>
      <c r="EW300" s="410">
        <v>7122725</v>
      </c>
      <c r="EX300" s="410">
        <v>7122725</v>
      </c>
      <c r="EY300" s="410">
        <v>7122725</v>
      </c>
      <c r="EZ300" s="410">
        <v>7122725</v>
      </c>
      <c r="FA300" s="410">
        <v>7122725</v>
      </c>
      <c r="FB300" s="410">
        <v>7122725</v>
      </c>
      <c r="FC300" s="410">
        <v>7122725</v>
      </c>
      <c r="FD300" s="410">
        <v>7122725</v>
      </c>
      <c r="FE300" s="410">
        <v>7122725</v>
      </c>
      <c r="FF300" s="410">
        <f>SUM(ET300:FE300)</f>
        <v>85472700</v>
      </c>
    </row>
    <row r="301" spans="1:162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62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62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10">
        <v>800010.93333333347</v>
      </c>
      <c r="EU303" s="410">
        <v>800010.93333333347</v>
      </c>
      <c r="EV303" s="410">
        <v>800010.93333333347</v>
      </c>
      <c r="EW303" s="410">
        <v>800010.93333333347</v>
      </c>
      <c r="EX303" s="410">
        <v>800010.93333333347</v>
      </c>
      <c r="EY303" s="410">
        <v>800010.93333333347</v>
      </c>
      <c r="EZ303" s="410">
        <v>800010.93333333347</v>
      </c>
      <c r="FA303" s="410">
        <v>800010.93333333347</v>
      </c>
      <c r="FB303" s="410">
        <v>800010.93333333347</v>
      </c>
      <c r="FC303" s="410">
        <v>800010.93333333347</v>
      </c>
      <c r="FD303" s="410">
        <v>800010.93333333347</v>
      </c>
      <c r="FE303" s="410">
        <v>800010.93333333347</v>
      </c>
      <c r="FF303" s="410">
        <f>SUM(ET303:FE303)</f>
        <v>9600131.2000000011</v>
      </c>
    </row>
    <row r="304" spans="1:162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62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62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62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10">
        <v>2250983.3333333335</v>
      </c>
      <c r="EU307" s="410">
        <v>2250983.3333333335</v>
      </c>
      <c r="EV307" s="410">
        <v>2250983.3333333335</v>
      </c>
      <c r="EW307" s="410">
        <v>2250983.3333333335</v>
      </c>
      <c r="EX307" s="410">
        <v>2250983.3333333335</v>
      </c>
      <c r="EY307" s="410">
        <v>2250983.3333333335</v>
      </c>
      <c r="EZ307" s="410">
        <v>2250983.3333333335</v>
      </c>
      <c r="FA307" s="410">
        <v>2250983.3333333335</v>
      </c>
      <c r="FB307" s="410">
        <v>2250983.3333333335</v>
      </c>
      <c r="FC307" s="410">
        <v>2250983.3333333335</v>
      </c>
      <c r="FD307" s="410">
        <v>2250983.3333333335</v>
      </c>
      <c r="FE307" s="410">
        <v>2250983.3333333335</v>
      </c>
      <c r="FF307" s="410">
        <f>SUM(ET307:FE307)</f>
        <v>27011799.999999996</v>
      </c>
    </row>
    <row r="308" spans="1:162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62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62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62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10">
        <v>2581823.9339999999</v>
      </c>
      <c r="EU311" s="410">
        <v>2581823.9339999999</v>
      </c>
      <c r="EV311" s="410">
        <v>2581823.9339999999</v>
      </c>
      <c r="EW311" s="410">
        <v>2696268.3784444444</v>
      </c>
      <c r="EX311" s="410">
        <v>2696268.3784444444</v>
      </c>
      <c r="EY311" s="410">
        <v>2696268.3784444444</v>
      </c>
      <c r="EZ311" s="410">
        <v>3987180.345444445</v>
      </c>
      <c r="FA311" s="410">
        <v>3987180.345444445</v>
      </c>
      <c r="FB311" s="410">
        <v>3987180.345444445</v>
      </c>
      <c r="FC311" s="410">
        <v>3987180.345444445</v>
      </c>
      <c r="FD311" s="410">
        <v>3987180.345444445</v>
      </c>
      <c r="FE311" s="410">
        <v>3987180.345444445</v>
      </c>
      <c r="FF311" s="410">
        <f>SUM(ET311:FE311)</f>
        <v>39757359.010000005</v>
      </c>
    </row>
    <row r="312" spans="1:162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62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62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62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62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62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62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62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62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62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10">
        <v>45950724.162500009</v>
      </c>
      <c r="EU321" s="410">
        <v>45950724.162500009</v>
      </c>
      <c r="EV321" s="410">
        <v>45950724.162500009</v>
      </c>
      <c r="EW321" s="410">
        <v>45950724.162500009</v>
      </c>
      <c r="EX321" s="410">
        <v>45950724.162500009</v>
      </c>
      <c r="EY321" s="410">
        <v>45950724.162500009</v>
      </c>
      <c r="EZ321" s="410">
        <v>45950724.162500009</v>
      </c>
      <c r="FA321" s="410">
        <v>45950724.162500009</v>
      </c>
      <c r="FB321" s="410">
        <v>45950724.162500009</v>
      </c>
      <c r="FC321" s="410">
        <v>45950724.162500009</v>
      </c>
      <c r="FD321" s="410">
        <v>45950724.162500009</v>
      </c>
      <c r="FE321" s="410">
        <v>45950724.162500009</v>
      </c>
      <c r="FF321" s="410">
        <f>SUM(ET321:FE321)</f>
        <v>551408689.95000017</v>
      </c>
    </row>
    <row r="322" spans="1:162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10">
        <v>6651000</v>
      </c>
      <c r="EU322" s="410">
        <v>6651000</v>
      </c>
      <c r="EV322" s="410">
        <v>6651000</v>
      </c>
      <c r="EW322" s="410">
        <v>6651000</v>
      </c>
      <c r="EX322" s="410">
        <v>6651000</v>
      </c>
      <c r="EY322" s="410">
        <v>6651000</v>
      </c>
      <c r="EZ322" s="410">
        <v>6651000</v>
      </c>
      <c r="FA322" s="410">
        <v>6651000</v>
      </c>
      <c r="FB322" s="410">
        <v>6651000</v>
      </c>
      <c r="FC322" s="410">
        <v>6651000</v>
      </c>
      <c r="FD322" s="410">
        <v>6651000</v>
      </c>
      <c r="FE322" s="410">
        <v>6651000</v>
      </c>
      <c r="FF322" s="410">
        <f>SUM(ET322:FE322)</f>
        <v>79812000</v>
      </c>
    </row>
    <row r="323" spans="1:162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62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62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62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62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62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62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62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10">
        <v>1699899.96</v>
      </c>
      <c r="EU330" s="410">
        <v>1699899.96</v>
      </c>
      <c r="EV330" s="410">
        <v>1699899.96</v>
      </c>
      <c r="EW330" s="410">
        <v>1699899.96</v>
      </c>
      <c r="EX330" s="410">
        <v>1699899.96</v>
      </c>
      <c r="EY330" s="410">
        <v>1699899.96</v>
      </c>
      <c r="EZ330" s="410">
        <v>1699899.96</v>
      </c>
      <c r="FA330" s="410">
        <v>1699899.96</v>
      </c>
      <c r="FB330" s="410">
        <v>1699899.96</v>
      </c>
      <c r="FC330" s="410">
        <v>1699899.96</v>
      </c>
      <c r="FD330" s="410">
        <v>1699899.96</v>
      </c>
      <c r="FE330" s="410">
        <v>1699899.96</v>
      </c>
      <c r="FF330" s="410">
        <f>SUM(ET330:FE330)</f>
        <v>20398799.520000007</v>
      </c>
    </row>
    <row r="331" spans="1:162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62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62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62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62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62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10">
        <v>35472732.535833336</v>
      </c>
      <c r="EU336" s="410">
        <v>35472732.535833336</v>
      </c>
      <c r="EV336" s="410">
        <v>35472732.535833336</v>
      </c>
      <c r="EW336" s="410">
        <v>35472732.535833336</v>
      </c>
      <c r="EX336" s="410">
        <v>35472732.535833336</v>
      </c>
      <c r="EY336" s="410">
        <v>35472732.535833336</v>
      </c>
      <c r="EZ336" s="410">
        <v>35472732.535833336</v>
      </c>
      <c r="FA336" s="410">
        <v>35472732.535833336</v>
      </c>
      <c r="FB336" s="410">
        <v>35472732.535833336</v>
      </c>
      <c r="FC336" s="410">
        <v>35472732.535833336</v>
      </c>
      <c r="FD336" s="410">
        <v>35472732.535833336</v>
      </c>
      <c r="FE336" s="410">
        <v>35472732.535833336</v>
      </c>
      <c r="FF336" s="410">
        <f>SUM(ET336:FE336)</f>
        <v>425672790.43000013</v>
      </c>
    </row>
    <row r="337" spans="1:162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62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62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62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62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62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62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62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10">
        <v>1375008.3333333333</v>
      </c>
      <c r="EU344" s="410">
        <v>1375008.3333333333</v>
      </c>
      <c r="EV344" s="410">
        <v>1375008.3333333333</v>
      </c>
      <c r="EW344" s="410">
        <v>1375008.3333333333</v>
      </c>
      <c r="EX344" s="410">
        <v>1375008.3333333333</v>
      </c>
      <c r="EY344" s="410">
        <v>1375008.3333333333</v>
      </c>
      <c r="EZ344" s="410">
        <v>1375008.3333333333</v>
      </c>
      <c r="FA344" s="410">
        <v>1375008.3333333333</v>
      </c>
      <c r="FB344" s="410">
        <v>1375008.3333333333</v>
      </c>
      <c r="FC344" s="410">
        <v>1375008.3333333333</v>
      </c>
      <c r="FD344" s="410">
        <v>1375008.3333333333</v>
      </c>
      <c r="FE344" s="410">
        <v>1375008.3333333333</v>
      </c>
      <c r="FF344" s="410">
        <f>SUM(ET344:FE344)</f>
        <v>16500100.000000002</v>
      </c>
    </row>
    <row r="345" spans="1:162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62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10">
        <v>752083.33333333337</v>
      </c>
      <c r="EU346" s="410">
        <v>752083.33333333337</v>
      </c>
      <c r="EV346" s="410">
        <v>752083.33333333337</v>
      </c>
      <c r="EW346" s="410">
        <v>752083.33333333337</v>
      </c>
      <c r="EX346" s="410">
        <v>752083.33333333337</v>
      </c>
      <c r="EY346" s="410">
        <v>752083.33333333337</v>
      </c>
      <c r="EZ346" s="410">
        <v>752083.33333333337</v>
      </c>
      <c r="FA346" s="410">
        <v>752083.33333333337</v>
      </c>
      <c r="FB346" s="410">
        <v>752083.33333333337</v>
      </c>
      <c r="FC346" s="410">
        <v>752083.33333333337</v>
      </c>
      <c r="FD346" s="410">
        <v>752083.33333333337</v>
      </c>
      <c r="FE346" s="410">
        <v>752083.33333333337</v>
      </c>
      <c r="FF346" s="410">
        <f>SUM(ET346:FE346)</f>
        <v>9024999.9999999981</v>
      </c>
    </row>
    <row r="347" spans="1:162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62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62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62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10">
        <v>15295211.558333334</v>
      </c>
      <c r="EU350" s="410">
        <v>15295211.558333334</v>
      </c>
      <c r="EV350" s="410">
        <v>15295211.558333334</v>
      </c>
      <c r="EW350" s="410">
        <v>18161878.224999998</v>
      </c>
      <c r="EX350" s="410">
        <v>18161878.224999998</v>
      </c>
      <c r="EY350" s="410">
        <v>18161878.224999998</v>
      </c>
      <c r="EZ350" s="410">
        <v>15295211.558333334</v>
      </c>
      <c r="FA350" s="410">
        <v>15295211.558333334</v>
      </c>
      <c r="FB350" s="410">
        <v>15295211.558333334</v>
      </c>
      <c r="FC350" s="410">
        <v>15295211.558333334</v>
      </c>
      <c r="FD350" s="410">
        <v>15295211.558333334</v>
      </c>
      <c r="FE350" s="410">
        <v>15295211.558333334</v>
      </c>
      <c r="FF350" s="410">
        <f>SUM(ET350:FE350)</f>
        <v>192142538.69999999</v>
      </c>
    </row>
    <row r="351" spans="1:162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10">
        <v>14810545.166666666</v>
      </c>
      <c r="EU351" s="410">
        <v>14810545.166666666</v>
      </c>
      <c r="EV351" s="410">
        <v>14810545.166666666</v>
      </c>
      <c r="EW351" s="410">
        <v>17677211.833333332</v>
      </c>
      <c r="EX351" s="410">
        <v>17677211.833333332</v>
      </c>
      <c r="EY351" s="410">
        <v>17677211.833333332</v>
      </c>
      <c r="EZ351" s="410">
        <v>14810545.166666666</v>
      </c>
      <c r="FA351" s="410">
        <v>14810545.166666666</v>
      </c>
      <c r="FB351" s="410">
        <v>14810545.166666666</v>
      </c>
      <c r="FC351" s="410">
        <v>14810545.166666666</v>
      </c>
      <c r="FD351" s="410">
        <v>14810545.166666666</v>
      </c>
      <c r="FE351" s="410">
        <v>14810545.166666666</v>
      </c>
      <c r="FF351" s="410">
        <f>SUM(ET351:FE351)</f>
        <v>186326541.99999997</v>
      </c>
    </row>
    <row r="352" spans="1:162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62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62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62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62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62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62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62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62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62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10">
        <v>484666.39166666666</v>
      </c>
      <c r="EU361" s="410">
        <v>484666.39166666666</v>
      </c>
      <c r="EV361" s="410">
        <v>484666.39166666666</v>
      </c>
      <c r="EW361" s="410">
        <v>484666.39166666666</v>
      </c>
      <c r="EX361" s="410">
        <v>484666.39166666666</v>
      </c>
      <c r="EY361" s="410">
        <v>484666.39166666666</v>
      </c>
      <c r="EZ361" s="410">
        <v>484666.39166666666</v>
      </c>
      <c r="FA361" s="410">
        <v>484666.39166666666</v>
      </c>
      <c r="FB361" s="410">
        <v>484666.39166666666</v>
      </c>
      <c r="FC361" s="410">
        <v>484666.39166666666</v>
      </c>
      <c r="FD361" s="410">
        <v>484666.39166666666</v>
      </c>
      <c r="FE361" s="410">
        <v>484666.39166666666</v>
      </c>
      <c r="FF361" s="410">
        <f>SUM(ET361:FE361)</f>
        <v>5815996.7000000002</v>
      </c>
    </row>
    <row r="362" spans="1:162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62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62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62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62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62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62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554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10">
        <v>21472083.333333332</v>
      </c>
      <c r="EU368" s="410">
        <v>21472083.333333332</v>
      </c>
      <c r="EV368" s="410">
        <v>21472083.333333332</v>
      </c>
      <c r="EW368" s="410">
        <v>21472083.333333332</v>
      </c>
      <c r="EX368" s="410">
        <v>21472083.333333332</v>
      </c>
      <c r="EY368" s="410">
        <v>21472083.333333332</v>
      </c>
      <c r="EZ368" s="410">
        <v>26990416.666666664</v>
      </c>
      <c r="FA368" s="410">
        <v>26990416.666666664</v>
      </c>
      <c r="FB368" s="410">
        <v>26990416.666666664</v>
      </c>
      <c r="FC368" s="410">
        <v>26990416.666666664</v>
      </c>
      <c r="FD368" s="410">
        <v>27490416.670000002</v>
      </c>
      <c r="FE368" s="410">
        <v>27490416.66</v>
      </c>
      <c r="FF368" s="410">
        <f>SUM(ET368:FE368)</f>
        <v>291774999.99666667</v>
      </c>
    </row>
    <row r="369" spans="1:162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425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10">
        <v>3322124.294666667</v>
      </c>
      <c r="EU369" s="410">
        <v>3322124.294666667</v>
      </c>
      <c r="EV369" s="410">
        <v>3322124.294666667</v>
      </c>
      <c r="EW369" s="410">
        <v>3322124.294666667</v>
      </c>
      <c r="EX369" s="410">
        <f>73522124.29-EX377</f>
        <v>3522124.2900000066</v>
      </c>
      <c r="EY369" s="410">
        <v>3322124.294666667</v>
      </c>
      <c r="EZ369" s="410">
        <v>4983186.4420000007</v>
      </c>
      <c r="FA369" s="410">
        <v>4983186.4420000007</v>
      </c>
      <c r="FB369" s="410">
        <v>4983186.4420000007</v>
      </c>
      <c r="FC369" s="410">
        <v>4983186.4420000007</v>
      </c>
      <c r="FD369" s="410">
        <v>4983186.4420000007</v>
      </c>
      <c r="FE369" s="410">
        <v>4983186.4420000007</v>
      </c>
      <c r="FF369" s="410">
        <f>SUM(ET369:FE369)</f>
        <v>50031864.415333346</v>
      </c>
    </row>
    <row r="370" spans="1:162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62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62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62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62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62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62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62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10">
        <v>70000000</v>
      </c>
    </row>
    <row r="378" spans="1:162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62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10">
        <v>239583.41666666666</v>
      </c>
      <c r="EU379" s="410">
        <v>239583.41666666666</v>
      </c>
      <c r="EV379" s="410">
        <v>239583.41666666666</v>
      </c>
      <c r="EW379" s="410">
        <v>239583.41666666666</v>
      </c>
      <c r="EX379" s="410">
        <v>239583.41666666666</v>
      </c>
      <c r="EY379" s="410">
        <v>239583.41666666666</v>
      </c>
      <c r="EZ379" s="410">
        <v>239583.41666666666</v>
      </c>
      <c r="FA379" s="410">
        <v>239583.41666666666</v>
      </c>
      <c r="FB379" s="410">
        <v>239583.41666666666</v>
      </c>
      <c r="FC379" s="410">
        <v>239583.41666666666</v>
      </c>
      <c r="FD379" s="410">
        <v>239583.41666666666</v>
      </c>
      <c r="FE379" s="410">
        <v>239583.41666666666</v>
      </c>
      <c r="FF379" s="410">
        <f>SUM(ET379:FE379)</f>
        <v>2875000.9999999995</v>
      </c>
    </row>
    <row r="380" spans="1:162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62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62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62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62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62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62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6">
        <f>DV387+DV390+DV393</f>
        <v>32768615.2925</v>
      </c>
      <c r="DW386" s="396">
        <f t="shared" ref="DW386:ES386" si="106">DW387+DW390+DW393</f>
        <v>32768615.2925</v>
      </c>
      <c r="DX386" s="396">
        <f t="shared" si="106"/>
        <v>32768615.2925</v>
      </c>
      <c r="DY386" s="396">
        <f t="shared" si="106"/>
        <v>32768615.2925</v>
      </c>
      <c r="DZ386" s="396">
        <f t="shared" si="106"/>
        <v>32768615.2925</v>
      </c>
      <c r="EA386" s="396">
        <f t="shared" si="106"/>
        <v>32768615.2925</v>
      </c>
      <c r="EB386" s="396">
        <f t="shared" si="106"/>
        <v>32768615.2925</v>
      </c>
      <c r="EC386" s="396">
        <f t="shared" si="106"/>
        <v>32768615.2925</v>
      </c>
      <c r="ED386" s="396">
        <f t="shared" si="106"/>
        <v>32768615.2925</v>
      </c>
      <c r="EE386" s="396">
        <f t="shared" si="106"/>
        <v>32768615.2925</v>
      </c>
      <c r="EF386" s="396">
        <f t="shared" si="106"/>
        <v>32768615.2925</v>
      </c>
      <c r="EG386" s="396">
        <f t="shared" si="106"/>
        <v>32768615.2925</v>
      </c>
      <c r="EH386" s="396">
        <f t="shared" si="106"/>
        <v>4617467.5633333325</v>
      </c>
      <c r="EI386" s="396">
        <f t="shared" si="106"/>
        <v>5248180.4533333331</v>
      </c>
      <c r="EJ386" s="396">
        <f t="shared" si="106"/>
        <v>18465645.143333334</v>
      </c>
      <c r="EK386" s="396">
        <f t="shared" si="106"/>
        <v>67460865.603333324</v>
      </c>
      <c r="EL386" s="396">
        <f t="shared" si="106"/>
        <v>10247541.783333333</v>
      </c>
      <c r="EM386" s="396">
        <f t="shared" si="106"/>
        <v>16046343.563333331</v>
      </c>
      <c r="EN386" s="396">
        <f t="shared" si="106"/>
        <v>23103608.363333337</v>
      </c>
      <c r="EO386" s="396">
        <f t="shared" si="106"/>
        <v>16877006.883333333</v>
      </c>
      <c r="EP386" s="396">
        <f t="shared" si="106"/>
        <v>17318908.093333334</v>
      </c>
      <c r="EQ386" s="396">
        <f t="shared" si="106"/>
        <v>9686739.4033333324</v>
      </c>
      <c r="ER386" s="396">
        <f t="shared" si="106"/>
        <v>11714826.133333333</v>
      </c>
      <c r="ES386" s="396">
        <f t="shared" si="106"/>
        <v>19628370.163333334</v>
      </c>
    </row>
    <row r="387" spans="1:162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</row>
    <row r="388" spans="1:162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13">
        <v>1983333.3333333333</v>
      </c>
      <c r="CS388" s="413">
        <v>1983333.3333333333</v>
      </c>
      <c r="CT388" s="413">
        <v>1983333.3333333333</v>
      </c>
      <c r="CU388" s="413">
        <v>1983333.3333333333</v>
      </c>
      <c r="CV388" s="413">
        <v>1983333.3333333333</v>
      </c>
      <c r="CW388" s="414">
        <v>1983333.3333333333</v>
      </c>
      <c r="CX388" s="415">
        <v>2500695.4391666665</v>
      </c>
      <c r="CY388" s="416">
        <v>2500695.4391666665</v>
      </c>
      <c r="CZ388" s="416">
        <v>2500695.4391666665</v>
      </c>
      <c r="DA388" s="416">
        <v>2500695.4391666665</v>
      </c>
      <c r="DB388" s="416">
        <v>2500695.4391666665</v>
      </c>
      <c r="DC388" s="416">
        <v>2500695.4391666665</v>
      </c>
      <c r="DD388" s="416">
        <v>2500695.4391666665</v>
      </c>
      <c r="DE388" s="416">
        <v>2500695.4391666665</v>
      </c>
      <c r="DF388" s="416">
        <v>2500695.4391666665</v>
      </c>
      <c r="DG388" s="416">
        <v>2500695.4391666665</v>
      </c>
      <c r="DH388" s="416">
        <v>2500695.4391666665</v>
      </c>
      <c r="DI388" s="417">
        <v>2500695.4391666665</v>
      </c>
      <c r="DJ388" s="418">
        <v>3892510.16</v>
      </c>
      <c r="DK388" s="413">
        <v>3892510.16</v>
      </c>
      <c r="DL388" s="413">
        <v>3892510.16</v>
      </c>
      <c r="DM388" s="413">
        <v>3892510.16</v>
      </c>
      <c r="DN388" s="413">
        <v>3892510.16</v>
      </c>
      <c r="DO388" s="413">
        <v>3892510.16</v>
      </c>
      <c r="DP388" s="413">
        <v>3892510.16</v>
      </c>
      <c r="DQ388" s="413">
        <v>3892510.16</v>
      </c>
      <c r="DR388" s="413">
        <v>3892510.16</v>
      </c>
      <c r="DS388" s="413">
        <v>3892510.16</v>
      </c>
      <c r="DT388" s="413">
        <v>3892510.16</v>
      </c>
      <c r="DU388" s="414">
        <v>3892510.16</v>
      </c>
      <c r="DV388" s="419">
        <v>3722931.8866666667</v>
      </c>
      <c r="DW388" s="419">
        <v>3722931.8866666667</v>
      </c>
      <c r="DX388" s="419">
        <v>3722931.8866666667</v>
      </c>
      <c r="DY388" s="419">
        <v>3722931.8866666667</v>
      </c>
      <c r="DZ388" s="419">
        <v>3722931.8866666667</v>
      </c>
      <c r="EA388" s="419">
        <v>3722931.8866666667</v>
      </c>
      <c r="EB388" s="419">
        <v>3722931.8866666667</v>
      </c>
      <c r="EC388" s="419">
        <v>3722931.8866666667</v>
      </c>
      <c r="ED388" s="419">
        <v>3722931.8866666667</v>
      </c>
      <c r="EE388" s="419">
        <v>3722931.8866666667</v>
      </c>
      <c r="EF388" s="419">
        <v>3722931.8866666667</v>
      </c>
      <c r="EG388" s="419">
        <v>3722931.8866666667</v>
      </c>
      <c r="EH388" s="419">
        <v>174340.51</v>
      </c>
      <c r="EI388" s="419">
        <v>177326.85</v>
      </c>
      <c r="EJ388" s="419">
        <v>7687779.1100000003</v>
      </c>
      <c r="EK388" s="419">
        <v>191127.48</v>
      </c>
      <c r="EL388" s="419">
        <v>949797.77</v>
      </c>
      <c r="EM388" s="419">
        <v>2019268.13</v>
      </c>
      <c r="EN388" s="419">
        <v>10660481.32</v>
      </c>
      <c r="EO388" s="419">
        <v>11526152.189999999</v>
      </c>
      <c r="EP388" s="419">
        <v>10016017.119999999</v>
      </c>
      <c r="EQ388" s="419">
        <v>1834828.67</v>
      </c>
      <c r="ER388" s="419">
        <v>2345417.37</v>
      </c>
      <c r="ES388" s="419">
        <v>4329305.63</v>
      </c>
      <c r="ET388" s="419">
        <v>116701.86</v>
      </c>
      <c r="EU388" s="420">
        <v>867332.36</v>
      </c>
      <c r="EV388" s="420">
        <v>7801367.0199999996</v>
      </c>
      <c r="EW388" s="420">
        <v>4481623.79</v>
      </c>
      <c r="EX388" s="420">
        <v>2831467.37</v>
      </c>
      <c r="EY388" s="420">
        <v>7170000.0800000001</v>
      </c>
      <c r="EZ388" s="420">
        <v>82322.3</v>
      </c>
      <c r="FA388" s="420">
        <v>10832753.109999999</v>
      </c>
      <c r="FB388" s="420">
        <v>1958366.01</v>
      </c>
      <c r="FC388" s="420">
        <v>1510132.11</v>
      </c>
      <c r="FD388" s="420">
        <v>834059.15</v>
      </c>
      <c r="FE388" s="420">
        <v>12202154.65</v>
      </c>
    </row>
    <row r="389" spans="1:162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19">
        <v>2071825.5645770216</v>
      </c>
      <c r="EU389" s="420">
        <v>2862393.2253735214</v>
      </c>
      <c r="EV389" s="420">
        <v>12467636.918240691</v>
      </c>
      <c r="EW389" s="420">
        <v>17326274.372907523</v>
      </c>
      <c r="EX389" s="420">
        <v>15150457.606090657</v>
      </c>
      <c r="EY389" s="420">
        <v>8947929.7645770218</v>
      </c>
      <c r="EZ389" s="420">
        <v>2071825.5545770216</v>
      </c>
      <c r="FA389" s="420">
        <v>2989936.9753735219</v>
      </c>
      <c r="FB389" s="420">
        <v>16625761.232895471</v>
      </c>
      <c r="FC389" s="420">
        <v>4165314.0029075216</v>
      </c>
      <c r="FD389" s="420">
        <v>6972714.957903021</v>
      </c>
      <c r="FE389" s="420">
        <v>8947929.8245770223</v>
      </c>
    </row>
    <row r="390" spans="1:162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</row>
    <row r="391" spans="1:162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62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62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10">
        <v>2681427.6666666665</v>
      </c>
      <c r="CS393" s="410">
        <v>2681427.6666666665</v>
      </c>
      <c r="CT393" s="410">
        <v>2681427.6666666665</v>
      </c>
      <c r="CU393" s="410">
        <v>2681427.6666666665</v>
      </c>
      <c r="CV393" s="410">
        <v>2681427.6666666665</v>
      </c>
      <c r="CW393" s="410">
        <v>2681427.6666666665</v>
      </c>
      <c r="CX393" s="410">
        <v>2778179.9974999996</v>
      </c>
      <c r="CY393" s="410">
        <v>2778179.9974999996</v>
      </c>
      <c r="CZ393" s="410">
        <v>2778179.9974999996</v>
      </c>
      <c r="DA393" s="410">
        <v>2778179.9974999996</v>
      </c>
      <c r="DB393" s="410">
        <v>2778179.9974999996</v>
      </c>
      <c r="DC393" s="410">
        <v>2778179.9974999996</v>
      </c>
      <c r="DD393" s="410">
        <v>2778179.9974999996</v>
      </c>
      <c r="DE393" s="410">
        <v>2778179.9974999996</v>
      </c>
      <c r="DF393" s="410">
        <v>2778179.9974999996</v>
      </c>
      <c r="DG393" s="410">
        <v>2778179.9974999996</v>
      </c>
      <c r="DH393" s="410">
        <v>2778179.9974999996</v>
      </c>
      <c r="DI393" s="410">
        <v>2778179.9974999996</v>
      </c>
      <c r="DJ393" s="410">
        <v>2817590</v>
      </c>
      <c r="DK393" s="410">
        <v>2817590</v>
      </c>
      <c r="DL393" s="410">
        <v>2817590</v>
      </c>
      <c r="DM393" s="410">
        <v>2817590</v>
      </c>
      <c r="DN393" s="410">
        <v>2817590</v>
      </c>
      <c r="DO393" s="410">
        <v>2817590</v>
      </c>
      <c r="DP393" s="410">
        <v>2817590</v>
      </c>
      <c r="DQ393" s="410">
        <v>2817590</v>
      </c>
      <c r="DR393" s="410">
        <v>2817590</v>
      </c>
      <c r="DS393" s="410">
        <v>2817590</v>
      </c>
      <c r="DT393" s="410">
        <v>2817590</v>
      </c>
      <c r="DU393" s="410">
        <v>2817590</v>
      </c>
      <c r="DV393" s="410">
        <v>3281229.6141666663</v>
      </c>
      <c r="DW393" s="410">
        <v>3281229.6141666663</v>
      </c>
      <c r="DX393" s="410">
        <v>3281229.6141666663</v>
      </c>
      <c r="DY393" s="410">
        <v>3281229.6141666663</v>
      </c>
      <c r="DZ393" s="410">
        <v>3281229.6141666663</v>
      </c>
      <c r="EA393" s="410">
        <v>3281229.6141666663</v>
      </c>
      <c r="EB393" s="410">
        <v>3281229.6141666663</v>
      </c>
      <c r="EC393" s="410">
        <v>3281229.6141666663</v>
      </c>
      <c r="ED393" s="410">
        <v>3281229.6141666663</v>
      </c>
      <c r="EE393" s="410">
        <v>3281229.6141666663</v>
      </c>
      <c r="EF393" s="410">
        <v>3281229.6141666663</v>
      </c>
      <c r="EG393" s="410">
        <v>3281229.6141666663</v>
      </c>
      <c r="EH393" s="410">
        <v>2809708.2333333329</v>
      </c>
      <c r="EI393" s="410">
        <v>2809708.2333333329</v>
      </c>
      <c r="EJ393" s="410">
        <v>2809708.2333333329</v>
      </c>
      <c r="EK393" s="410">
        <v>2809708.2333333329</v>
      </c>
      <c r="EL393" s="410">
        <v>2809708.2333333329</v>
      </c>
      <c r="EM393" s="410">
        <v>2809708.2333333329</v>
      </c>
      <c r="EN393" s="410">
        <v>2809708.2333333329</v>
      </c>
      <c r="EO393" s="410">
        <v>2809708.2333333329</v>
      </c>
      <c r="EP393" s="410">
        <v>2809708.2333333329</v>
      </c>
      <c r="EQ393" s="410">
        <v>2809708.2333333329</v>
      </c>
      <c r="ER393" s="410">
        <v>2809708.2333333329</v>
      </c>
      <c r="ES393" s="410">
        <v>2809708.2333333329</v>
      </c>
      <c r="ET393" s="410">
        <v>1807457.9166666667</v>
      </c>
      <c r="EU393" s="410">
        <v>1882457.9166666667</v>
      </c>
      <c r="EV393" s="410">
        <v>1937457.9166666667</v>
      </c>
      <c r="EW393" s="410">
        <v>1912457.9166666667</v>
      </c>
      <c r="EX393" s="410">
        <v>1967457.9166666667</v>
      </c>
      <c r="EY393" s="410">
        <v>1907457.9166666667</v>
      </c>
      <c r="EZ393" s="410">
        <v>3852457.9166666665</v>
      </c>
      <c r="FA393" s="410">
        <v>3337457.9166666665</v>
      </c>
      <c r="FB393" s="410">
        <v>2757457.9166666665</v>
      </c>
      <c r="FC393" s="410">
        <v>2852457.9166666665</v>
      </c>
      <c r="FD393" s="410">
        <v>2847457.9166666665</v>
      </c>
      <c r="FE393" s="410">
        <v>3402457.9166666665</v>
      </c>
      <c r="FF393" s="410">
        <f>SUM(ET393:FE393)</f>
        <v>30464495.000000004</v>
      </c>
    </row>
    <row r="394" spans="1:162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10">
        <f>+ET395+ET396</f>
        <v>830846.24800000002</v>
      </c>
      <c r="EU394" s="410">
        <f t="shared" ref="EU394:FE394" si="117">+EU395+EU396</f>
        <v>830846.24800000002</v>
      </c>
      <c r="EV394" s="410">
        <f t="shared" si="117"/>
        <v>830846.24800000002</v>
      </c>
      <c r="EW394" s="410">
        <f t="shared" si="117"/>
        <v>949846.13199999998</v>
      </c>
      <c r="EX394" s="410">
        <f t="shared" si="117"/>
        <v>1306845.784</v>
      </c>
      <c r="EY394" s="410">
        <f t="shared" si="117"/>
        <v>830846.24800000002</v>
      </c>
      <c r="EZ394" s="410">
        <f t="shared" si="117"/>
        <v>1246269.3720000002</v>
      </c>
      <c r="FA394" s="410">
        <f t="shared" si="117"/>
        <v>1246269.3720000002</v>
      </c>
      <c r="FB394" s="410">
        <f t="shared" si="117"/>
        <v>1246269.3720000002</v>
      </c>
      <c r="FC394" s="410">
        <f t="shared" si="117"/>
        <v>1246269.3720000002</v>
      </c>
      <c r="FD394" s="410">
        <f t="shared" si="117"/>
        <v>1246269.3720000002</v>
      </c>
      <c r="FE394" s="410">
        <f t="shared" si="117"/>
        <v>1246269.3720000002</v>
      </c>
      <c r="FF394" s="410">
        <f>SUM(ET394:FE394)</f>
        <v>13057693.139999999</v>
      </c>
    </row>
    <row r="395" spans="1:162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10">
        <v>830846.24800000002</v>
      </c>
      <c r="EU395" s="410">
        <v>830846.24800000002</v>
      </c>
      <c r="EV395" s="410">
        <v>830846.24800000002</v>
      </c>
      <c r="EW395" s="410">
        <v>830846.24800000002</v>
      </c>
      <c r="EX395" s="410">
        <v>830846.24800000002</v>
      </c>
      <c r="EY395" s="410">
        <v>830846.24800000002</v>
      </c>
      <c r="EZ395" s="410">
        <v>1246269.3720000002</v>
      </c>
      <c r="FA395" s="410">
        <v>1246269.3720000002</v>
      </c>
      <c r="FB395" s="410">
        <v>1246269.3720000002</v>
      </c>
      <c r="FC395" s="410">
        <v>1246269.3720000002</v>
      </c>
      <c r="FD395" s="410">
        <v>1246269.3720000002</v>
      </c>
      <c r="FE395" s="410">
        <v>1246269.3720000002</v>
      </c>
      <c r="FF395" s="410">
        <f>SUM(ET395:FE395)</f>
        <v>12462693.719999999</v>
      </c>
    </row>
    <row r="396" spans="1:162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10">
        <v>0</v>
      </c>
      <c r="EU396" s="410">
        <v>0</v>
      </c>
      <c r="EV396" s="410">
        <v>0</v>
      </c>
      <c r="EW396" s="410">
        <v>118999.88400000001</v>
      </c>
      <c r="EX396" s="410">
        <v>475999.53600000002</v>
      </c>
      <c r="EY396" s="410">
        <v>0</v>
      </c>
      <c r="EZ396" s="410">
        <v>0</v>
      </c>
      <c r="FA396" s="410">
        <v>0</v>
      </c>
      <c r="FB396" s="410">
        <v>0</v>
      </c>
      <c r="FC396" s="410">
        <v>0</v>
      </c>
      <c r="FD396" s="410">
        <v>0</v>
      </c>
      <c r="FE396" s="410">
        <v>0</v>
      </c>
      <c r="FF396" s="410">
        <f>SUM(ET396:FE396)</f>
        <v>594999.42000000004</v>
      </c>
    </row>
    <row r="397" spans="1:162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62">
      <c r="D398" s="74">
        <v>1005</v>
      </c>
      <c r="E398" s="78" t="s">
        <v>699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62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62">
      <c r="FF400" s="412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2018</v>
      </c>
      <c r="C4" s="56" t="s">
        <v>694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754</v>
      </c>
      <c r="F11" s="12" t="s">
        <v>755</v>
      </c>
      <c r="G11" s="52" t="str">
        <f t="shared" si="0"/>
        <v>Mjesečni podaci 2017</v>
      </c>
    </row>
    <row r="12" spans="2:7">
      <c r="D12" s="41"/>
      <c r="E12" s="11" t="s">
        <v>732</v>
      </c>
      <c r="F12" s="12" t="s">
        <v>733</v>
      </c>
      <c r="G12" s="52" t="str">
        <f t="shared" si="0"/>
        <v>Mjesečni podaci 2016</v>
      </c>
    </row>
    <row r="13" spans="2:7">
      <c r="E13" s="11" t="s">
        <v>703</v>
      </c>
      <c r="F13" s="12" t="s">
        <v>704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756</v>
      </c>
      <c r="F16" s="12" t="s">
        <v>757</v>
      </c>
      <c r="G16" s="52" t="str">
        <f t="shared" si="0"/>
        <v>Mjesečni podaci 2012</v>
      </c>
    </row>
    <row r="17" spans="2:7">
      <c r="E17" s="11" t="s">
        <v>758</v>
      </c>
      <c r="F17" s="12" t="s">
        <v>759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695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738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776</v>
      </c>
      <c r="F77" s="16" t="s">
        <v>123</v>
      </c>
      <c r="G77" s="52" t="str">
        <f t="shared" si="1"/>
        <v>Budžetski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735</v>
      </c>
      <c r="F94" s="22" t="s">
        <v>737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735</v>
      </c>
      <c r="F146" s="22" t="s">
        <v>736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554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557</v>
      </c>
      <c r="F217" s="96" t="s">
        <v>558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559</v>
      </c>
      <c r="F218" s="96" t="s">
        <v>560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555</v>
      </c>
      <c r="F220" s="96" t="s">
        <v>561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556</v>
      </c>
      <c r="F221" s="96" t="s">
        <v>562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563</v>
      </c>
      <c r="F223" s="96" t="s">
        <v>564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699</v>
      </c>
      <c r="F225" s="96" t="s">
        <v>700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Jul</v>
      </c>
    </row>
    <row r="243" spans="4:7">
      <c r="D243" s="49"/>
      <c r="E243" s="9"/>
      <c r="F243" s="10"/>
      <c r="G243" s="52" t="str">
        <f>+CONCATENATE("Jan - ",LEFT(G242,3))</f>
        <v>Jan - Jul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568</v>
      </c>
      <c r="F249" s="10" t="s">
        <v>565</v>
      </c>
      <c r="G249" s="52" t="str">
        <f t="shared" si="3"/>
        <v>Ostvarenje budžeta</v>
      </c>
    </row>
    <row r="250" spans="4:7">
      <c r="D250" s="46"/>
      <c r="E250" s="9" t="s">
        <v>566</v>
      </c>
      <c r="F250" s="10" t="s">
        <v>567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Jul</v>
      </c>
      <c r="F251" s="10" t="str">
        <f>+CONCATENATE("Analytics for period ",G242)</f>
        <v>Analytics for period Jul</v>
      </c>
      <c r="G251" s="52" t="str">
        <f>+IF(ISBLANK(IF($B$2=1,E251,F251)),"",IF($B$2=1,E251,F251))</f>
        <v>Analitika za period Jul</v>
      </c>
    </row>
    <row r="252" spans="4:7">
      <c r="D252" s="46"/>
      <c r="E252" s="9" t="str">
        <f>+CONCATENATE("Analitika za period ",G243)</f>
        <v>Analitika za period Jan - Jul</v>
      </c>
      <c r="F252" s="10" t="str">
        <f>+CONCATENATE("Analytics for period ",G243)</f>
        <v>Analytics for period Jan - Jul</v>
      </c>
      <c r="G252" s="52" t="str">
        <f>+IF(ISBLANK(IF($B$2=1,E252,F252)),"",IF($B$2=1,E252,F252))</f>
        <v>Analitika za period Jan - Jul</v>
      </c>
    </row>
    <row r="253" spans="4:7">
      <c r="D253" s="39"/>
      <c r="E253" s="144"/>
      <c r="F253" s="145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691</v>
      </c>
      <c r="F258" s="10" t="s">
        <v>692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696</v>
      </c>
      <c r="F260" s="10" t="s">
        <v>697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Jul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Jul</v>
      </c>
    </row>
    <row r="269" spans="4:7">
      <c r="E269" s="9" t="s">
        <v>741</v>
      </c>
      <c r="F269" s="10" t="s">
        <v>406</v>
      </c>
      <c r="G269" s="52" t="str">
        <f>+CONCATENATE(IF(ISBLANK(IF($B$2=1,E269,F269)),"",IF($B$2=1,E269,F269))," ",$G$242)</f>
        <v>Suficit/Deficit za mjesec Jul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Jul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Jul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Jul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1" t="s">
        <v>701</v>
      </c>
      <c r="F279" s="60" t="s">
        <v>702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K9" sqref="K9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ekonomsku politiku i razvoj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+Master!G267</f>
        <v>Prihodi za mjesec Jul</v>
      </c>
      <c r="E11" s="157"/>
      <c r="F11" s="157"/>
      <c r="G11" s="157"/>
      <c r="H11" s="318" t="str">
        <f>+Master!G271</f>
        <v>Prihodi za period Januar - Jul</v>
      </c>
      <c r="I11" s="319"/>
      <c r="J11" s="307"/>
      <c r="K11" s="158"/>
    </row>
    <row r="12" spans="3:11">
      <c r="C12" s="156"/>
      <c r="D12" s="160">
        <f>+'Analitika - 2018'!N10</f>
        <v>160547184.50999999</v>
      </c>
      <c r="E12" s="161">
        <f>+D12/'2018'!T7</f>
        <v>3.6233538222483014E-2</v>
      </c>
      <c r="F12" s="157"/>
      <c r="G12" s="157"/>
      <c r="H12" s="320">
        <f>+'Analitika - 2018'!G10</f>
        <v>924331269.88</v>
      </c>
      <c r="I12" s="321">
        <f>+H12/'2018'!T7</f>
        <v>0.20861027553770115</v>
      </c>
      <c r="J12" s="307"/>
      <c r="K12" s="158"/>
    </row>
    <row r="13" spans="3:11">
      <c r="C13" s="156"/>
      <c r="D13" s="162" t="s">
        <v>428</v>
      </c>
      <c r="E13" s="162" t="str">
        <f>+Master!G247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+Master!G268</f>
        <v>Rashodi za mjesec Jul</v>
      </c>
      <c r="E15" s="157"/>
      <c r="F15" s="157"/>
      <c r="G15" s="157"/>
      <c r="H15" s="318" t="str">
        <f>+Master!G272</f>
        <v>Rashodi za period Januar - Jul</v>
      </c>
      <c r="I15" s="319"/>
      <c r="J15" s="307"/>
      <c r="K15" s="158"/>
    </row>
    <row r="16" spans="3:11">
      <c r="C16" s="156"/>
      <c r="D16" s="160">
        <f>+'Analitika - 2018'!N29</f>
        <v>143585258.87</v>
      </c>
      <c r="E16" s="161">
        <f>+D16/'2018'!T7</f>
        <v>3.2405438820555646E-2</v>
      </c>
      <c r="F16" s="157"/>
      <c r="G16" s="157"/>
      <c r="H16" s="320">
        <f>+'Analitika - 2018'!G29</f>
        <v>992557611.05000007</v>
      </c>
      <c r="I16" s="321">
        <f>+H16/'2018'!T7</f>
        <v>0.22400812725405675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+Master!G269</f>
        <v>Suficit/Deficit za mjesec Jul</v>
      </c>
      <c r="E19" s="157"/>
      <c r="F19" s="157"/>
      <c r="G19" s="157"/>
      <c r="H19" s="318" t="str">
        <f>+Master!G273</f>
        <v>Deficit za period Januar - Jul</v>
      </c>
      <c r="I19" s="319"/>
      <c r="J19" s="307"/>
      <c r="K19" s="158"/>
    </row>
    <row r="20" spans="3:11">
      <c r="C20" s="156"/>
      <c r="D20" s="160">
        <f>+'Analitika - 2018'!N55</f>
        <v>16961925.639999986</v>
      </c>
      <c r="E20" s="161">
        <f>+D20/'2018'!T7</f>
        <v>3.8280994019273705E-3</v>
      </c>
      <c r="F20" s="157"/>
      <c r="G20" s="157"/>
      <c r="H20" s="320">
        <f>+'Analitika - 2018'!G55</f>
        <v>-68226341.170000061</v>
      </c>
      <c r="I20" s="321">
        <f>+H20/'2018'!T7</f>
        <v>-1.5397851716355607E-2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496"/>
      <c r="E22" s="497"/>
      <c r="F22" s="497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T70"/>
  <sheetViews>
    <sheetView zoomScale="112" zoomScaleNormal="112" workbookViewId="0">
      <pane ySplit="5" topLeftCell="A6" activePane="bottomLeft" state="frozen"/>
      <selection activeCell="DK219" sqref="DK219"/>
      <selection pane="bottomLeft" activeCell="N67" sqref="N67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2018-07</v>
      </c>
      <c r="O6" s="168" t="str">
        <f>+CONCATENATE(N6,"p")</f>
        <v>2018-07p</v>
      </c>
      <c r="P6" s="152"/>
      <c r="Q6" s="152"/>
      <c r="R6" s="168" t="str">
        <f>+IF(Master!B3-10&gt;=0,CONCATENATE(Master!B4-1,"-",Master!B3),CONCATENATE(Master!B4-1,"-0",Master!B3))</f>
        <v>2017-07</v>
      </c>
      <c r="S6" s="152"/>
      <c r="T6" s="152"/>
    </row>
    <row r="7" spans="1:20">
      <c r="A7" s="169"/>
      <c r="B7" s="478" t="str">
        <f>+Master!G252</f>
        <v>Analitika za period Jan - Jul</v>
      </c>
      <c r="C7" s="479"/>
      <c r="D7" s="479"/>
      <c r="E7" s="479"/>
      <c r="F7" s="479"/>
      <c r="G7" s="487" t="str">
        <f>+Master!G243</f>
        <v>Jan - Jul</v>
      </c>
      <c r="H7" s="488"/>
      <c r="I7" s="488"/>
      <c r="J7" s="488"/>
      <c r="K7" s="488"/>
      <c r="L7" s="488"/>
      <c r="M7" s="489"/>
      <c r="N7" s="490" t="str">
        <f>+Master!G242</f>
        <v>Jul</v>
      </c>
      <c r="O7" s="488"/>
      <c r="P7" s="488"/>
      <c r="Q7" s="488"/>
      <c r="R7" s="488"/>
      <c r="S7" s="488"/>
      <c r="T7" s="491"/>
    </row>
    <row r="8" spans="1:20">
      <c r="A8" s="169"/>
      <c r="B8" s="480"/>
      <c r="C8" s="481"/>
      <c r="D8" s="481"/>
      <c r="E8" s="481"/>
      <c r="F8" s="482"/>
      <c r="G8" s="170" t="str">
        <f>+Master!G21</f>
        <v>Ostvarenje</v>
      </c>
      <c r="H8" s="170" t="str">
        <f>+Master!G20</f>
        <v>Plan</v>
      </c>
      <c r="I8" s="476" t="str">
        <f>+Master!G258</f>
        <v>Odstupanje</v>
      </c>
      <c r="J8" s="476"/>
      <c r="K8" s="170" t="str">
        <f>+CONCATENATE(Master!G243," ",Master!B4-1)</f>
        <v>Jan - Jul 2017</v>
      </c>
      <c r="L8" s="476" t="str">
        <f>+I8</f>
        <v>Odstupanje</v>
      </c>
      <c r="M8" s="486"/>
      <c r="N8" s="171" t="str">
        <f>+G8</f>
        <v>Ostvarenje</v>
      </c>
      <c r="O8" s="170" t="str">
        <f>+H8</f>
        <v>Plan</v>
      </c>
      <c r="P8" s="476" t="str">
        <f>+I8</f>
        <v>Odstupanje</v>
      </c>
      <c r="Q8" s="476"/>
      <c r="R8" s="170" t="str">
        <f>+CONCATENATE(Master!G242," ",Master!B4-1)</f>
        <v>Jul 2017</v>
      </c>
      <c r="S8" s="476" t="str">
        <f>+P8</f>
        <v>Odstupanje</v>
      </c>
      <c r="T8" s="477"/>
    </row>
    <row r="9" spans="1:20" ht="15.7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>+SUMPRODUCT(('2018'!$G10:$R10)*('2018'!$G$5:$R$5&lt;=Master!$B$3)*($A10='2018'!$A$10:$A$66))</f>
        <v>924331269.88</v>
      </c>
      <c r="H10" s="176">
        <f>+SUMPRODUCT(('2018'!$G105:$R105)*('2018'!$G$5:$R$5&lt;=Master!$B$3))</f>
        <v>920828786.14834738</v>
      </c>
      <c r="I10" s="177">
        <f>+G10-H10</f>
        <v>3502483.7316526175</v>
      </c>
      <c r="J10" s="178">
        <f>+IF(ISNUMBER(G10/H10-1),G10/H10-1,"…")</f>
        <v>3.8036210252536673E-3</v>
      </c>
      <c r="K10" s="176">
        <f>+SUMPRODUCT(('2017'!$G10:$R10)*('2017'!$G$5:$R$5&lt;=Master!$B$3))</f>
        <v>827915898.75999999</v>
      </c>
      <c r="L10" s="177">
        <f>+G10-K10</f>
        <v>96415371.120000005</v>
      </c>
      <c r="M10" s="179">
        <f>+IF(ISNUMBER(G10/K10-1),G10/K10-1,"…")</f>
        <v>0.11645551349406968</v>
      </c>
      <c r="N10" s="176">
        <f>'2018'!M10</f>
        <v>160547184.50999999</v>
      </c>
      <c r="O10" s="176">
        <f>+INDEX('2018'!$1:$1048576,MATCH(CONCATENATE('Analitika - 2018'!$A10,"p"),'2018'!$A:$A,0),MATCH('Analitika - 2018'!$O$6,'2018'!$101:$101,0))</f>
        <v>157046601.92834741</v>
      </c>
      <c r="P10" s="177">
        <f>+N10-O10</f>
        <v>3500582.5816525817</v>
      </c>
      <c r="Q10" s="178">
        <f>+IF(ISNUMBER(N10/O10-1),N10/O10-1,"…")</f>
        <v>2.2290088029091715E-2</v>
      </c>
      <c r="R10" s="176">
        <f>'2017'!M10</f>
        <v>145961895.20999998</v>
      </c>
      <c r="S10" s="177">
        <f>+N10-R10</f>
        <v>14585289.300000012</v>
      </c>
      <c r="T10" s="179">
        <f>+IF(ISNUMBER(N10/R10-1),N10/R10-1,"…")</f>
        <v>9.9925321461575178E-2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94">
        <f>+SUMPRODUCT(('2018'!$G11:$R11)*('2018'!$G$5:$R$5&lt;=Master!$B$3)*($A11='2018'!$A$10:$A$66))</f>
        <v>595227243.5</v>
      </c>
      <c r="H11" s="341">
        <f>+SUMPRODUCT(('2018'!$G106:$R106)*('2018'!$G$5:$R$5&lt;=Master!$B$3))</f>
        <v>589609497.51283014</v>
      </c>
      <c r="I11" s="183">
        <f t="shared" ref="I11:I67" si="0">+G11-H11</f>
        <v>5617745.9871698618</v>
      </c>
      <c r="J11" s="184">
        <f t="shared" ref="J11:J66" si="1">+IF(ISNUMBER(G11/H11-1),G11/H11-1,"…")</f>
        <v>9.5279095924800661E-3</v>
      </c>
      <c r="K11" s="182">
        <f>+SUMPRODUCT(('2017'!$G11:$R11)*('2017'!$G$5:$R$5&lt;=Master!$B$3))</f>
        <v>528660707.26999998</v>
      </c>
      <c r="L11" s="183">
        <f>+G11-K11</f>
        <v>66566536.230000019</v>
      </c>
      <c r="M11" s="185">
        <f t="shared" ref="M11:M67" si="2">+IF(ISNUMBER(G11/K11-1),G11/K11-1,"…")</f>
        <v>0.12591542233912012</v>
      </c>
      <c r="N11" s="341">
        <f>'2018'!M11</f>
        <v>105015545.47</v>
      </c>
      <c r="O11" s="341">
        <f>+INDEX('2018'!$1:$1048576,MATCH(CONCATENATE('Analitika - 2018'!$A11,"p"),'2018'!$A:$A,0),MATCH('Analitika - 2018'!$O$6,'2018'!$101:$101,0))</f>
        <v>99397799.482830197</v>
      </c>
      <c r="P11" s="183">
        <f t="shared" ref="P11:P60" si="3">+N11-O11</f>
        <v>5617745.9871698022</v>
      </c>
      <c r="Q11" s="184">
        <f t="shared" ref="Q11:Q60" si="4">+IF(ISNUMBER(N11/O11-1),N11/O11-1,"…")</f>
        <v>5.651781041833015E-2</v>
      </c>
      <c r="R11" s="341">
        <f>'2017'!M11</f>
        <v>89248400.649999991</v>
      </c>
      <c r="S11" s="183">
        <f t="shared" ref="S11:S59" si="5">+N11-R11</f>
        <v>15767144.820000008</v>
      </c>
      <c r="T11" s="185">
        <f t="shared" ref="T11:T59" si="6">+IF(ISNUMBER(N11/R11-1),N11/R11-1,"…")</f>
        <v>0.17666585289111292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f>+SUMPRODUCT(('2018'!$G12:$R12)*('2018'!$G$5:$R$5&lt;=Master!$B$3)*($A12='2018'!$A$10:$A$66))</f>
        <v>64419785.760000005</v>
      </c>
      <c r="H12" s="188">
        <f>+SUMPRODUCT(('2018'!$G107:$R107)*('2018'!$G$5:$R$5&lt;=Master!$B$3))</f>
        <v>64560586.162866838</v>
      </c>
      <c r="I12" s="189">
        <f t="shared" si="0"/>
        <v>-140800.40286683291</v>
      </c>
      <c r="J12" s="190">
        <f t="shared" si="1"/>
        <v>-2.1809034154621765E-3</v>
      </c>
      <c r="K12" s="188">
        <f>+SUMPRODUCT(('2017'!$G12:$R12)*('2017'!$G$5:$R$5&lt;=Master!$B$3))</f>
        <v>59552677.520000003</v>
      </c>
      <c r="L12" s="189">
        <f>+G12-K12</f>
        <v>4867108.2400000021</v>
      </c>
      <c r="M12" s="191">
        <f t="shared" si="2"/>
        <v>8.1727781901417274E-2</v>
      </c>
      <c r="N12" s="188">
        <f>'2018'!M12</f>
        <v>11318576.82</v>
      </c>
      <c r="O12" s="188">
        <f>+INDEX('2018'!$1:$1048576,MATCH(CONCATENATE('Analitika - 2018'!$A12,"p"),'2018'!$A:$A,0),MATCH('Analitika - 2018'!$O$6,'2018'!$101:$101,0))</f>
        <v>11459377.222866835</v>
      </c>
      <c r="P12" s="189">
        <f t="shared" si="3"/>
        <v>-140800.40286683477</v>
      </c>
      <c r="Q12" s="190">
        <f t="shared" si="4"/>
        <v>-1.2286915783335184E-2</v>
      </c>
      <c r="R12" s="188">
        <f>'2017'!M12</f>
        <v>10577855.74</v>
      </c>
      <c r="S12" s="189">
        <f t="shared" si="5"/>
        <v>740721.08000000007</v>
      </c>
      <c r="T12" s="191">
        <f t="shared" si="6"/>
        <v>7.0025636405587788E-2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f>+SUMPRODUCT(('2018'!$G13:$R13)*('2018'!$G$5:$R$5&lt;=Master!$B$3)*($A13='2018'!$A$10:$A$66))</f>
        <v>53840951.069999993</v>
      </c>
      <c r="H13" s="188">
        <f>+SUMPRODUCT(('2018'!$G108:$R108)*('2018'!$G$5:$R$5&lt;=Master!$B$3))</f>
        <v>52515572.785521299</v>
      </c>
      <c r="I13" s="189">
        <f t="shared" si="0"/>
        <v>1325378.2844786942</v>
      </c>
      <c r="J13" s="190">
        <f t="shared" si="1"/>
        <v>2.5237814502979239E-2</v>
      </c>
      <c r="K13" s="188">
        <f>+SUMPRODUCT(('2017'!$G13:$R13)*('2017'!$G$5:$R$5&lt;=Master!$B$3))</f>
        <v>41592968.759999998</v>
      </c>
      <c r="L13" s="189">
        <f t="shared" ref="L13:L67" si="7">+G13-K13</f>
        <v>12247982.309999995</v>
      </c>
      <c r="M13" s="191">
        <f t="shared" si="2"/>
        <v>0.29447242346833624</v>
      </c>
      <c r="N13" s="188">
        <f>'2018'!M13</f>
        <v>4232537.58</v>
      </c>
      <c r="O13" s="188">
        <f>+INDEX('2018'!$1:$1048576,MATCH(CONCATENATE('Analitika - 2018'!$A13,"p"),'2018'!$A:$A,0),MATCH('Analitika - 2018'!$O$6,'2018'!$101:$101,0))</f>
        <v>2907159.2955213021</v>
      </c>
      <c r="P13" s="189">
        <f t="shared" si="3"/>
        <v>1325378.2844786979</v>
      </c>
      <c r="Q13" s="190">
        <f t="shared" si="4"/>
        <v>0.45590150031356824</v>
      </c>
      <c r="R13" s="188">
        <f>'2017'!M13</f>
        <v>2422592.44</v>
      </c>
      <c r="S13" s="189">
        <f t="shared" si="5"/>
        <v>1809945.1400000001</v>
      </c>
      <c r="T13" s="191">
        <f t="shared" si="6"/>
        <v>0.74711086772812685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f>+SUMPRODUCT(('2018'!$G14:$R14)*('2018'!$G$5:$R$5&lt;=Master!$B$3)*($A14='2018'!$A$10:$A$66))</f>
        <v>911002</v>
      </c>
      <c r="H14" s="188">
        <f>+SUMPRODUCT(('2018'!$G109:$R109)*('2018'!$G$5:$R$5&lt;=Master!$B$3))</f>
        <v>962004.9909427329</v>
      </c>
      <c r="I14" s="189">
        <f t="shared" si="0"/>
        <v>-51002.990942732897</v>
      </c>
      <c r="J14" s="190">
        <f t="shared" si="1"/>
        <v>-5.3017387043649E-2</v>
      </c>
      <c r="K14" s="188">
        <f>+SUMPRODUCT(('2017'!$G14:$R14)*('2017'!$G$5:$R$5&lt;=Master!$B$3))</f>
        <v>764715.5</v>
      </c>
      <c r="L14" s="189">
        <f t="shared" si="7"/>
        <v>146286.5</v>
      </c>
      <c r="M14" s="191">
        <f t="shared" si="2"/>
        <v>0.191295324862645</v>
      </c>
      <c r="N14" s="188">
        <f>'2018'!M14</f>
        <v>114234.91</v>
      </c>
      <c r="O14" s="188">
        <f>+INDEX('2018'!$1:$1048576,MATCH(CONCATENATE('Analitika - 2018'!$A14,"p"),'2018'!$A:$A,0),MATCH('Analitika - 2018'!$O$6,'2018'!$101:$101,0))</f>
        <v>165237.90094273287</v>
      </c>
      <c r="P14" s="189">
        <f t="shared" si="3"/>
        <v>-51002.990942732868</v>
      </c>
      <c r="Q14" s="190">
        <f t="shared" si="4"/>
        <v>-0.30866399689021207</v>
      </c>
      <c r="R14" s="188">
        <f>'2017'!M14</f>
        <v>140635.43</v>
      </c>
      <c r="S14" s="189">
        <f t="shared" si="5"/>
        <v>-26400.51999999999</v>
      </c>
      <c r="T14" s="191">
        <f t="shared" si="6"/>
        <v>-0.1877231078967796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f>+SUMPRODUCT(('2018'!$G15:$R15)*('2018'!$G$5:$R$5&lt;=Master!$B$3)*($A15='2018'!$A$10:$A$66))</f>
        <v>339914116.93000001</v>
      </c>
      <c r="H15" s="188">
        <f>+SUMPRODUCT(('2018'!$G110:$R110)*('2018'!$G$5:$R$5&lt;=Master!$B$3))</f>
        <v>334746063.48173213</v>
      </c>
      <c r="I15" s="189">
        <f t="shared" si="0"/>
        <v>5168053.4482678771</v>
      </c>
      <c r="J15" s="190">
        <f t="shared" si="1"/>
        <v>1.5438728074990138E-2</v>
      </c>
      <c r="K15" s="188">
        <f>+SUMPRODUCT(('2017'!$G15:$R15)*('2017'!$G$5:$R$5&lt;=Master!$B$3))</f>
        <v>293228029.38</v>
      </c>
      <c r="L15" s="189">
        <f t="shared" si="7"/>
        <v>46686087.550000012</v>
      </c>
      <c r="M15" s="191">
        <f t="shared" si="2"/>
        <v>0.1592142730990378</v>
      </c>
      <c r="N15" s="188">
        <f>'2018'!M15</f>
        <v>63886169.009999998</v>
      </c>
      <c r="O15" s="188">
        <f>+INDEX('2018'!$1:$1048576,MATCH(CONCATENATE('Analitika - 2018'!$A15,"p"),'2018'!$A:$A,0),MATCH('Analitika - 2018'!$O$6,'2018'!$101:$101,0))</f>
        <v>58718115.561732136</v>
      </c>
      <c r="P15" s="189">
        <f t="shared" si="3"/>
        <v>5168053.4482678622</v>
      </c>
      <c r="Q15" s="190">
        <f t="shared" si="4"/>
        <v>8.8014633964786038E-2</v>
      </c>
      <c r="R15" s="188">
        <f>'2017'!M15</f>
        <v>51792411.350000001</v>
      </c>
      <c r="S15" s="189">
        <f t="shared" si="5"/>
        <v>12093757.659999996</v>
      </c>
      <c r="T15" s="191">
        <f t="shared" si="6"/>
        <v>0.23350443327060888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f>+SUMPRODUCT(('2018'!$G16:$R16)*('2018'!$G$5:$R$5&lt;=Master!$B$3)*($A16='2018'!$A$10:$A$66))</f>
        <v>115841771.42999999</v>
      </c>
      <c r="H16" s="188">
        <f>+SUMPRODUCT(('2018'!$G111:$R111)*('2018'!$G$5:$R$5&lt;=Master!$B$3))</f>
        <v>116606457.48272173</v>
      </c>
      <c r="I16" s="189">
        <f t="shared" si="0"/>
        <v>-764686.05272173882</v>
      </c>
      <c r="J16" s="190">
        <f t="shared" si="1"/>
        <v>-6.5578362402017865E-3</v>
      </c>
      <c r="K16" s="188">
        <f>+SUMPRODUCT(('2017'!$G16:$R16)*('2017'!$G$5:$R$5&lt;=Master!$B$3))</f>
        <v>114154570.5</v>
      </c>
      <c r="L16" s="189">
        <f t="shared" si="7"/>
        <v>1687200.9299999923</v>
      </c>
      <c r="M16" s="191">
        <f t="shared" si="2"/>
        <v>1.4779968271178445E-2</v>
      </c>
      <c r="N16" s="188">
        <f>'2018'!M16</f>
        <v>21799989.129999999</v>
      </c>
      <c r="O16" s="188">
        <f>+INDEX('2018'!$1:$1048576,MATCH(CONCATENATE('Analitika - 2018'!$A16,"p"),'2018'!$A:$A,0),MATCH('Analitika - 2018'!$O$6,'2018'!$101:$101,0))</f>
        <v>22564675.182721738</v>
      </c>
      <c r="P16" s="189">
        <f t="shared" si="3"/>
        <v>-764686.05272173882</v>
      </c>
      <c r="Q16" s="190">
        <f t="shared" si="4"/>
        <v>-3.388863551234611E-2</v>
      </c>
      <c r="R16" s="188">
        <f>'2017'!M16</f>
        <v>20939541.420000002</v>
      </c>
      <c r="S16" s="189">
        <f t="shared" si="5"/>
        <v>860447.70999999717</v>
      </c>
      <c r="T16" s="191">
        <f t="shared" si="6"/>
        <v>4.1092003532520405E-2</v>
      </c>
    </row>
    <row r="17" spans="1:20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f>+SUMPRODUCT(('2018'!$G17:$R17)*('2018'!$G$5:$R$5&lt;=Master!$B$3)*($A17='2018'!$A$10:$A$66))</f>
        <v>15048442.43</v>
      </c>
      <c r="H17" s="188">
        <f>+SUMPRODUCT(('2018'!$G112:$R112)*('2018'!$G$5:$R$5&lt;=Master!$B$3))</f>
        <v>14902009.46714977</v>
      </c>
      <c r="I17" s="189">
        <f t="shared" si="0"/>
        <v>146432.96285022981</v>
      </c>
      <c r="J17" s="190">
        <f t="shared" si="1"/>
        <v>9.8263904054705087E-3</v>
      </c>
      <c r="K17" s="188">
        <f>+SUMPRODUCT(('2017'!$G17:$R17)*('2017'!$G$5:$R$5&lt;=Master!$B$3))</f>
        <v>14068927.82</v>
      </c>
      <c r="L17" s="189">
        <f t="shared" si="7"/>
        <v>979514.6099999994</v>
      </c>
      <c r="M17" s="191">
        <f t="shared" si="2"/>
        <v>6.9622548536182549E-2</v>
      </c>
      <c r="N17" s="188">
        <f>'2018'!M17</f>
        <v>2801895.93</v>
      </c>
      <c r="O17" s="188">
        <f>+INDEX('2018'!$1:$1048576,MATCH(CONCATENATE('Analitika - 2018'!$A17,"p"),'2018'!$A:$A,0),MATCH('Analitika - 2018'!$O$6,'2018'!$101:$101,0))</f>
        <v>2655462.9671497694</v>
      </c>
      <c r="P17" s="189">
        <f t="shared" si="3"/>
        <v>146432.96285023075</v>
      </c>
      <c r="Q17" s="190">
        <f t="shared" si="4"/>
        <v>5.5144042549915229E-2</v>
      </c>
      <c r="R17" s="188">
        <f>'2017'!M17</f>
        <v>2521752.11</v>
      </c>
      <c r="S17" s="189">
        <f t="shared" si="5"/>
        <v>280143.8200000003</v>
      </c>
      <c r="T17" s="191">
        <f t="shared" si="6"/>
        <v>0.11109094303484102</v>
      </c>
    </row>
    <row r="18" spans="1:20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f>+SUMPRODUCT(('2018'!$G18:$R18)*('2018'!$G$5:$R$5&lt;=Master!$B$3)*($A18='2018'!$A$10:$A$66))</f>
        <v>5251173.88</v>
      </c>
      <c r="H18" s="188">
        <f>+SUMPRODUCT(('2018'!$G113:$R113)*('2018'!$G$5:$R$5&lt;=Master!$B$3))</f>
        <v>5316803.1418956891</v>
      </c>
      <c r="I18" s="189">
        <f t="shared" si="0"/>
        <v>-65629.261895689182</v>
      </c>
      <c r="J18" s="190">
        <f t="shared" si="1"/>
        <v>-1.2343744942997725E-2</v>
      </c>
      <c r="K18" s="188">
        <f>+SUMPRODUCT(('2017'!$G18:$R18)*('2017'!$G$5:$R$5&lt;=Master!$B$3))</f>
        <v>5298817.79</v>
      </c>
      <c r="L18" s="189">
        <f t="shared" si="7"/>
        <v>-47643.910000000149</v>
      </c>
      <c r="M18" s="191">
        <f t="shared" si="2"/>
        <v>-8.9914225942839821E-3</v>
      </c>
      <c r="N18" s="188">
        <f>'2018'!M18</f>
        <v>862142.09</v>
      </c>
      <c r="O18" s="188">
        <f>+INDEX('2018'!$1:$1048576,MATCH(CONCATENATE('Analitika - 2018'!$A18,"p"),'2018'!$A:$A,0),MATCH('Analitika - 2018'!$O$6,'2018'!$101:$101,0))</f>
        <v>927771.35189568857</v>
      </c>
      <c r="P18" s="189">
        <f t="shared" si="3"/>
        <v>-65629.2618956886</v>
      </c>
      <c r="Q18" s="190">
        <f t="shared" si="4"/>
        <v>-7.0738616536919596E-2</v>
      </c>
      <c r="R18" s="188">
        <f>'2017'!M18</f>
        <v>853612.16</v>
      </c>
      <c r="S18" s="189">
        <f t="shared" si="5"/>
        <v>8529.9299999999348</v>
      </c>
      <c r="T18" s="191">
        <f t="shared" si="6"/>
        <v>9.992746588802115E-3</v>
      </c>
    </row>
    <row r="19" spans="1:20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+SUMPRODUCT(('2018'!$G19:$R19)*('2018'!$G$5:$R$5&lt;=Master!$B$3)*($A19='2018'!$A$10:$A$66))</f>
        <v>263733114.03999999</v>
      </c>
      <c r="H19" s="194">
        <f>+SUMPRODUCT(('2018'!$G114:$R114)*('2018'!$G$5:$R$5&lt;=Master!$B$3))</f>
        <v>264421701.74680173</v>
      </c>
      <c r="I19" s="195">
        <f t="shared" si="0"/>
        <v>-688587.70680174232</v>
      </c>
      <c r="J19" s="196">
        <f t="shared" si="1"/>
        <v>-2.6041270525559712E-3</v>
      </c>
      <c r="K19" s="194">
        <f>+SUMPRODUCT(('2017'!$G19:$R19)*('2017'!$G$5:$R$5&lt;=Master!$B$3))</f>
        <v>247028264.40999997</v>
      </c>
      <c r="L19" s="195">
        <f t="shared" si="7"/>
        <v>16704849.630000025</v>
      </c>
      <c r="M19" s="197">
        <f t="shared" si="2"/>
        <v>6.7623231980752152E-2</v>
      </c>
      <c r="N19" s="194">
        <f>'2018'!M19</f>
        <v>45673467.219999999</v>
      </c>
      <c r="O19" s="194">
        <f>+INDEX('2018'!$1:$1048576,MATCH(CONCATENATE('Analitika - 2018'!$A19,"p"),'2018'!$A:$A,0),MATCH('Analitika - 2018'!$O$6,'2018'!$101:$101,0))</f>
        <v>46362054.926801726</v>
      </c>
      <c r="P19" s="195">
        <f t="shared" si="3"/>
        <v>-688587.70680172741</v>
      </c>
      <c r="Q19" s="196">
        <f t="shared" si="4"/>
        <v>-1.4852398322052318E-2</v>
      </c>
      <c r="R19" s="194">
        <f>'2017'!M19</f>
        <v>44393326.049999997</v>
      </c>
      <c r="S19" s="195">
        <f t="shared" si="5"/>
        <v>1280141.1700000018</v>
      </c>
      <c r="T19" s="197">
        <f t="shared" si="6"/>
        <v>2.8836342844827278E-2</v>
      </c>
    </row>
    <row r="20" spans="1:20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f>+SUMPRODUCT(('2018'!$G20:$R20)*('2018'!$G$5:$R$5&lt;=Master!$B$3)*($A20='2018'!$A$10:$A$66))</f>
        <v>159119151.12</v>
      </c>
      <c r="H20" s="188">
        <f>+SUMPRODUCT(('2018'!$G115:$R115)*('2018'!$G$5:$R$5&lt;=Master!$B$3))</f>
        <v>159252561.31399003</v>
      </c>
      <c r="I20" s="189">
        <f t="shared" si="0"/>
        <v>-133410.19399002194</v>
      </c>
      <c r="J20" s="190">
        <f t="shared" si="1"/>
        <v>-8.3772714792940128E-4</v>
      </c>
      <c r="K20" s="188">
        <f>+SUMPRODUCT(('2017'!$G20:$R20)*('2017'!$G$5:$R$5&lt;=Master!$B$3))</f>
        <v>148892572.68000001</v>
      </c>
      <c r="L20" s="189">
        <f t="shared" si="7"/>
        <v>10226578.439999998</v>
      </c>
      <c r="M20" s="191">
        <f t="shared" si="2"/>
        <v>6.8684275218878543E-2</v>
      </c>
      <c r="N20" s="188">
        <f>'2018'!M20</f>
        <v>27081123.02</v>
      </c>
      <c r="O20" s="188">
        <f>+INDEX('2018'!$1:$1048576,MATCH(CONCATENATE('Analitika - 2018'!$A20,"p"),'2018'!$A:$A,0),MATCH('Analitika - 2018'!$O$6,'2018'!$101:$101,0))</f>
        <v>27214533.213990007</v>
      </c>
      <c r="P20" s="189">
        <f t="shared" si="3"/>
        <v>-133410.19399000704</v>
      </c>
      <c r="Q20" s="190">
        <f t="shared" si="4"/>
        <v>-4.9021672700021446E-3</v>
      </c>
      <c r="R20" s="188">
        <f>'2017'!M20</f>
        <v>27022741.59</v>
      </c>
      <c r="S20" s="189">
        <f t="shared" si="5"/>
        <v>58381.429999999702</v>
      </c>
      <c r="T20" s="191">
        <f t="shared" si="6"/>
        <v>2.1604554743477333E-3</v>
      </c>
    </row>
    <row r="21" spans="1:20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f>+SUMPRODUCT(('2018'!$G21:$R21)*('2018'!$G$5:$R$5&lt;=Master!$B$3)*($A21='2018'!$A$10:$A$66))</f>
        <v>91525341.310000002</v>
      </c>
      <c r="H21" s="188">
        <f>+SUMPRODUCT(('2018'!$G116:$R116)*('2018'!$G$5:$R$5&lt;=Master!$B$3))</f>
        <v>91622628.932440162</v>
      </c>
      <c r="I21" s="189">
        <f t="shared" si="0"/>
        <v>-97287.622440159321</v>
      </c>
      <c r="J21" s="190">
        <f t="shared" si="1"/>
        <v>-1.0618296328508414E-3</v>
      </c>
      <c r="K21" s="188">
        <f>+SUMPRODUCT(('2017'!$G21:$R21)*('2017'!$G$5:$R$5&lt;=Master!$B$3))</f>
        <v>85139619.019999996</v>
      </c>
      <c r="L21" s="189">
        <f t="shared" si="7"/>
        <v>6385722.2900000066</v>
      </c>
      <c r="M21" s="191">
        <f t="shared" si="2"/>
        <v>7.5002946495449363E-2</v>
      </c>
      <c r="N21" s="188">
        <f>'2018'!M21</f>
        <v>16253748.59</v>
      </c>
      <c r="O21" s="188">
        <f>+INDEX('2018'!$1:$1048576,MATCH(CONCATENATE('Analitika - 2018'!$A21,"p"),'2018'!$A:$A,0),MATCH('Analitika - 2018'!$O$6,'2018'!$101:$101,0))</f>
        <v>16351036.212440157</v>
      </c>
      <c r="P21" s="189">
        <f t="shared" si="3"/>
        <v>-97287.622440157458</v>
      </c>
      <c r="Q21" s="190">
        <f t="shared" si="4"/>
        <v>-5.9499362105344122E-3</v>
      </c>
      <c r="R21" s="188">
        <f>'2017'!M21</f>
        <v>15063870.800000001</v>
      </c>
      <c r="S21" s="189">
        <f t="shared" si="5"/>
        <v>1189877.7899999991</v>
      </c>
      <c r="T21" s="191">
        <f t="shared" si="6"/>
        <v>7.8988847275561991E-2</v>
      </c>
    </row>
    <row r="22" spans="1:20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f>+SUMPRODUCT(('2018'!$G22:$R22)*('2018'!$G$5:$R$5&lt;=Master!$B$3)*($A22='2018'!$A$10:$A$66))</f>
        <v>6788251.9100000001</v>
      </c>
      <c r="H22" s="188">
        <f>+SUMPRODUCT(('2018'!$G117:$R117)*('2018'!$G$5:$R$5&lt;=Master!$B$3))</f>
        <v>7175629.427607825</v>
      </c>
      <c r="I22" s="189">
        <f t="shared" si="0"/>
        <v>-387377.51760782488</v>
      </c>
      <c r="J22" s="190">
        <f t="shared" si="1"/>
        <v>-5.3985162070579018E-2</v>
      </c>
      <c r="K22" s="188">
        <f>+SUMPRODUCT(('2017'!$G22:$R22)*('2017'!$G$5:$R$5&lt;=Master!$B$3))</f>
        <v>6789143.5999999996</v>
      </c>
      <c r="L22" s="189">
        <f t="shared" si="7"/>
        <v>-891.68999999947846</v>
      </c>
      <c r="M22" s="191">
        <f t="shared" si="2"/>
        <v>-1.3134057143815436E-4</v>
      </c>
      <c r="N22" s="188">
        <f>'2018'!M22</f>
        <v>1188738.43</v>
      </c>
      <c r="O22" s="188">
        <f>+INDEX('2018'!$1:$1048576,MATCH(CONCATENATE('Analitika - 2018'!$A22,"p"),'2018'!$A:$A,0),MATCH('Analitika - 2018'!$O$6,'2018'!$101:$101,0))</f>
        <v>1576115.9476078246</v>
      </c>
      <c r="P22" s="189">
        <f t="shared" si="3"/>
        <v>-387377.51760782464</v>
      </c>
      <c r="Q22" s="190">
        <f t="shared" si="4"/>
        <v>-0.24577983504054579</v>
      </c>
      <c r="R22" s="188">
        <f>'2017'!M22</f>
        <v>1208802.52</v>
      </c>
      <c r="S22" s="189">
        <f t="shared" si="5"/>
        <v>-20064.090000000084</v>
      </c>
      <c r="T22" s="191">
        <f t="shared" si="6"/>
        <v>-1.659831913652865E-2</v>
      </c>
    </row>
    <row r="23" spans="1:20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f>+SUMPRODUCT(('2018'!$G23:$R23)*('2018'!$G$5:$R$5&lt;=Master!$B$3)*($A23='2018'!$A$10:$A$66))</f>
        <v>6300369.6999999993</v>
      </c>
      <c r="H23" s="188">
        <f>+SUMPRODUCT(('2018'!$G118:$R118)*('2018'!$G$5:$R$5&lt;=Master!$B$3))</f>
        <v>6370882.0727637336</v>
      </c>
      <c r="I23" s="189">
        <f t="shared" si="0"/>
        <v>-70512.372763734311</v>
      </c>
      <c r="J23" s="190">
        <f t="shared" si="1"/>
        <v>-1.1067913666960361E-2</v>
      </c>
      <c r="K23" s="188">
        <f>+SUMPRODUCT(('2017'!$G23:$R23)*('2017'!$G$5:$R$5&lt;=Master!$B$3))</f>
        <v>6206929.1099999994</v>
      </c>
      <c r="L23" s="189">
        <f t="shared" si="7"/>
        <v>93440.589999999851</v>
      </c>
      <c r="M23" s="191">
        <f t="shared" si="2"/>
        <v>1.5054238310770796E-2</v>
      </c>
      <c r="N23" s="188">
        <f>'2018'!M23</f>
        <v>1149857.18</v>
      </c>
      <c r="O23" s="188">
        <f>+INDEX('2018'!$1:$1048576,MATCH(CONCATENATE('Analitika - 2018'!$A23,"p"),'2018'!$A:$A,0),MATCH('Analitika - 2018'!$O$6,'2018'!$101:$101,0))</f>
        <v>1220369.5527637345</v>
      </c>
      <c r="P23" s="189">
        <f t="shared" si="3"/>
        <v>-70512.372763734544</v>
      </c>
      <c r="Q23" s="190">
        <f t="shared" si="4"/>
        <v>-5.7779524738262533E-2</v>
      </c>
      <c r="R23" s="188">
        <f>'2017'!M23</f>
        <v>1097911.1399999999</v>
      </c>
      <c r="S23" s="189">
        <f t="shared" si="5"/>
        <v>51946.040000000037</v>
      </c>
      <c r="T23" s="191">
        <f t="shared" si="6"/>
        <v>4.731351938008399E-2</v>
      </c>
    </row>
    <row r="24" spans="1:20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194">
        <f>+SUMPRODUCT(('2018'!$G24:$R24)*('2018'!$G$5:$R$5&lt;=Master!$B$3)*($A24='2018'!$A$10:$A$66))</f>
        <v>8946177.5799999982</v>
      </c>
      <c r="H24" s="200">
        <f>+SUMPRODUCT(('2018'!$G119:$R119)*('2018'!$G$5:$R$5&lt;=Master!$B$3))</f>
        <v>8982178.2450530101</v>
      </c>
      <c r="I24" s="201">
        <f t="shared" si="0"/>
        <v>-36000.66505301185</v>
      </c>
      <c r="J24" s="202">
        <f t="shared" si="1"/>
        <v>-4.0080105371811392E-3</v>
      </c>
      <c r="K24" s="200">
        <f>+SUMPRODUCT(('2017'!$G24:$R24)*('2017'!$G$5:$R$5&lt;=Master!$B$3))</f>
        <v>7188224.8399999999</v>
      </c>
      <c r="L24" s="201">
        <f t="shared" si="7"/>
        <v>1757952.7399999984</v>
      </c>
      <c r="M24" s="203">
        <f t="shared" si="2"/>
        <v>0.24456006582008905</v>
      </c>
      <c r="N24" s="200">
        <f>'2018'!M24</f>
        <v>1957332.54</v>
      </c>
      <c r="O24" s="200">
        <f>+INDEX('2018'!$1:$1048576,MATCH(CONCATENATE('Analitika - 2018'!$A24,"p"),'2018'!$A:$A,0),MATCH('Analitika - 2018'!$O$6,'2018'!$101:$101,0))</f>
        <v>1993333.2050530105</v>
      </c>
      <c r="P24" s="201">
        <f t="shared" si="3"/>
        <v>-36000.665053010453</v>
      </c>
      <c r="Q24" s="202">
        <f t="shared" si="4"/>
        <v>-1.8060535469810235E-2</v>
      </c>
      <c r="R24" s="200">
        <f>'2017'!M24</f>
        <v>1483988.38</v>
      </c>
      <c r="S24" s="201">
        <f t="shared" si="5"/>
        <v>473344.16000000015</v>
      </c>
      <c r="T24" s="203">
        <f t="shared" si="6"/>
        <v>0.31896756496166101</v>
      </c>
    </row>
    <row r="25" spans="1:20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194">
        <f>+SUMPRODUCT(('2018'!$G25:$R25)*('2018'!$G$5:$R$5&lt;=Master!$B$3)*($A25='2018'!$A$10:$A$66))</f>
        <v>15481485.649999999</v>
      </c>
      <c r="H25" s="200">
        <f>+SUMPRODUCT(('2018'!$G120:$R120)*('2018'!$G$5:$R$5&lt;=Master!$B$3))</f>
        <v>15211131.636093808</v>
      </c>
      <c r="I25" s="201">
        <f t="shared" si="0"/>
        <v>270354.01390619017</v>
      </c>
      <c r="J25" s="202">
        <f t="shared" si="1"/>
        <v>1.7773432008482581E-2</v>
      </c>
      <c r="K25" s="200">
        <f>+SUMPRODUCT(('2017'!$G25:$R25)*('2017'!$G$5:$R$5&lt;=Master!$B$3))</f>
        <v>10471547.67</v>
      </c>
      <c r="L25" s="201">
        <f t="shared" si="7"/>
        <v>5009937.9799999986</v>
      </c>
      <c r="M25" s="203">
        <f t="shared" si="2"/>
        <v>0.47843338328612117</v>
      </c>
      <c r="N25" s="200">
        <f>'2018'!M25</f>
        <v>3039336.91</v>
      </c>
      <c r="O25" s="200">
        <f>+INDEX('2018'!$1:$1048576,MATCH(CONCATENATE('Analitika - 2018'!$A25,"p"),'2018'!$A:$A,0),MATCH('Analitika - 2018'!$O$6,'2018'!$101:$101,0))</f>
        <v>2768982.89609381</v>
      </c>
      <c r="P25" s="201">
        <f t="shared" si="3"/>
        <v>270354.01390619017</v>
      </c>
      <c r="Q25" s="202">
        <f t="shared" si="4"/>
        <v>9.7636577780085609E-2</v>
      </c>
      <c r="R25" s="200">
        <f>'2017'!M25</f>
        <v>1705945.14</v>
      </c>
      <c r="S25" s="201">
        <f t="shared" si="5"/>
        <v>1333391.7700000003</v>
      </c>
      <c r="T25" s="203">
        <f t="shared" si="6"/>
        <v>0.78161468310757076</v>
      </c>
    </row>
    <row r="26" spans="1:20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194">
        <f>+SUMPRODUCT(('2018'!$G26:$R26)*('2018'!$G$5:$R$5&lt;=Master!$B$3)*($A26='2018'!$A$10:$A$66))</f>
        <v>20227171.150000002</v>
      </c>
      <c r="H26" s="200">
        <f>+SUMPRODUCT(('2018'!$G121:$R121)*('2018'!$G$5:$R$5&lt;=Master!$B$3))</f>
        <v>20066365.114946101</v>
      </c>
      <c r="I26" s="201">
        <f t="shared" si="0"/>
        <v>160806.03505390137</v>
      </c>
      <c r="J26" s="202">
        <f t="shared" si="1"/>
        <v>8.0137102127244564E-3</v>
      </c>
      <c r="K26" s="200">
        <f>+SUMPRODUCT(('2017'!$G26:$R26)*('2017'!$G$5:$R$5&lt;=Master!$B$3))</f>
        <v>21484671.09</v>
      </c>
      <c r="L26" s="201">
        <f t="shared" si="7"/>
        <v>-1257499.9399999976</v>
      </c>
      <c r="M26" s="203">
        <f t="shared" si="2"/>
        <v>-5.8530099657206236E-2</v>
      </c>
      <c r="N26" s="200">
        <f>'2018'!M26</f>
        <v>3770774.03</v>
      </c>
      <c r="O26" s="200">
        <f>+INDEX('2018'!$1:$1048576,MATCH(CONCATENATE('Analitika - 2018'!$A26,"p"),'2018'!$A:$A,0),MATCH('Analitika - 2018'!$O$6,'2018'!$101:$101,0))</f>
        <v>3610099.6149461018</v>
      </c>
      <c r="P26" s="201">
        <f t="shared" si="3"/>
        <v>160674.415053898</v>
      </c>
      <c r="Q26" s="202">
        <f t="shared" si="4"/>
        <v>4.4506920082950874E-2</v>
      </c>
      <c r="R26" s="200">
        <f>'2017'!M26</f>
        <v>5924157.2800000003</v>
      </c>
      <c r="S26" s="201">
        <f t="shared" si="5"/>
        <v>-2153383.2500000005</v>
      </c>
      <c r="T26" s="203">
        <f t="shared" si="6"/>
        <v>-0.36349191086972632</v>
      </c>
    </row>
    <row r="27" spans="1:20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194">
        <f>+SUMPRODUCT(('2018'!$G27:$R27)*('2018'!$G$5:$R$5&lt;=Master!$B$3)*($A27='2018'!$A$10:$A$66))</f>
        <v>4523869.22</v>
      </c>
      <c r="H27" s="200">
        <f>+SUMPRODUCT(('2018'!$G122:$R122)*('2018'!$G$5:$R$5&lt;=Master!$B$3))</f>
        <v>4824518.5120087164</v>
      </c>
      <c r="I27" s="201">
        <f t="shared" si="0"/>
        <v>-300649.29200871661</v>
      </c>
      <c r="J27" s="202">
        <f t="shared" si="1"/>
        <v>-6.2316952719814411E-2</v>
      </c>
      <c r="K27" s="200">
        <f>+SUMPRODUCT(('2017'!$G27:$R27)*('2017'!$G$5:$R$5&lt;=Master!$B$3))</f>
        <v>3204629.21</v>
      </c>
      <c r="L27" s="201">
        <f t="shared" si="7"/>
        <v>1319240.0099999998</v>
      </c>
      <c r="M27" s="203">
        <f t="shared" si="2"/>
        <v>0.41166697410213016</v>
      </c>
      <c r="N27" s="200">
        <f>'2018'!M27</f>
        <v>178131.97</v>
      </c>
      <c r="O27" s="200">
        <f>+INDEX('2018'!$1:$1048576,MATCH(CONCATENATE('Analitika - 2018'!$A27,"p"),'2018'!$A:$A,0),MATCH('Analitika - 2018'!$O$6,'2018'!$101:$101,0))</f>
        <v>478781.26200871647</v>
      </c>
      <c r="P27" s="201">
        <f t="shared" si="3"/>
        <v>-300649.2920087165</v>
      </c>
      <c r="Q27" s="202">
        <f t="shared" si="4"/>
        <v>-0.62794707283937723</v>
      </c>
      <c r="R27" s="200">
        <f>'2017'!M27</f>
        <v>588856.99</v>
      </c>
      <c r="S27" s="201">
        <f t="shared" si="5"/>
        <v>-410725.02</v>
      </c>
      <c r="T27" s="203">
        <f t="shared" si="6"/>
        <v>-0.69749536300825776</v>
      </c>
    </row>
    <row r="28" spans="1:20" ht="15.7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194">
        <f>+SUMPRODUCT(('2018'!$G28:$R28)*('2018'!$G$5:$R$5&lt;=Master!$B$3)*($A28='2018'!$A$10:$A$66))</f>
        <v>16192208.74</v>
      </c>
      <c r="H28" s="200">
        <f>+SUMPRODUCT(('2018'!$G123:$R123)*('2018'!$G$5:$R$5&lt;=Master!$B$3))</f>
        <v>17713393.380613878</v>
      </c>
      <c r="I28" s="201">
        <f t="shared" si="0"/>
        <v>-1521184.6406138781</v>
      </c>
      <c r="J28" s="202">
        <f t="shared" si="1"/>
        <v>-8.5877652459224074E-2</v>
      </c>
      <c r="K28" s="200">
        <f>+SUMPRODUCT(('2017'!$G28:$R28)*('2017'!$G$5:$R$5&lt;=Master!$B$3))</f>
        <v>9877854.2700000014</v>
      </c>
      <c r="L28" s="201">
        <f t="shared" si="7"/>
        <v>6314354.4699999988</v>
      </c>
      <c r="M28" s="203">
        <f t="shared" si="2"/>
        <v>0.63924353380848142</v>
      </c>
      <c r="N28" s="200">
        <f>'2018'!M28</f>
        <v>912596.37</v>
      </c>
      <c r="O28" s="200">
        <f>+INDEX('2018'!$1:$1048576,MATCH(CONCATENATE('Analitika - 2018'!$A28,"p"),'2018'!$A:$A,0),MATCH('Analitika - 2018'!$O$6,'2018'!$101:$101,0))</f>
        <v>2435550.5406138748</v>
      </c>
      <c r="P28" s="201">
        <f t="shared" si="3"/>
        <v>-1522954.1706138747</v>
      </c>
      <c r="Q28" s="202">
        <f t="shared" si="4"/>
        <v>-0.62530181378622418</v>
      </c>
      <c r="R28" s="200">
        <f>'2017'!M28</f>
        <v>2617220.7200000002</v>
      </c>
      <c r="S28" s="201">
        <f t="shared" si="5"/>
        <v>-1704624.35</v>
      </c>
      <c r="T28" s="203">
        <f t="shared" si="6"/>
        <v>-0.65131088752804933</v>
      </c>
    </row>
    <row r="29" spans="1:20" ht="15.7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>+SUMPRODUCT(('2018'!$G29:$R29)*('2018'!$G$5:$R$5&lt;=Master!$B$3)*($A29='2018'!$A$10:$A$66))</f>
        <v>992557611.05000007</v>
      </c>
      <c r="H29" s="176">
        <f>+SUMPRODUCT(('2018'!$G124:$R124)*('2018'!$G$5:$R$5&lt;=Master!$B$3))</f>
        <v>1042852732.3847778</v>
      </c>
      <c r="I29" s="177">
        <f t="shared" si="0"/>
        <v>-50295121.334777713</v>
      </c>
      <c r="J29" s="178">
        <f t="shared" si="1"/>
        <v>-4.8228402508725954E-2</v>
      </c>
      <c r="K29" s="176">
        <f>+SUMPRODUCT(('2017'!$G29:$R29)*('2017'!$G$5:$R$5&lt;=Master!$B$3))</f>
        <v>932814333.50999987</v>
      </c>
      <c r="L29" s="177">
        <f t="shared" si="7"/>
        <v>59743277.5400002</v>
      </c>
      <c r="M29" s="179">
        <f t="shared" si="2"/>
        <v>6.4046268795203698E-2</v>
      </c>
      <c r="N29" s="176">
        <f>'2018'!M29</f>
        <v>143585258.87</v>
      </c>
      <c r="O29" s="176">
        <f>+INDEX('2018'!$1:$1048576,MATCH(CONCATENATE('Analitika - 2018'!$A29,"p"),'2018'!$A:$A,0),MATCH('Analitika - 2018'!$O$6,'2018'!$101:$101,0))</f>
        <v>158107547.35211113</v>
      </c>
      <c r="P29" s="177">
        <f t="shared" si="3"/>
        <v>-14522288.482111126</v>
      </c>
      <c r="Q29" s="178">
        <f t="shared" si="4"/>
        <v>-9.1850697359623701E-2</v>
      </c>
      <c r="R29" s="176">
        <f>'2017'!M29</f>
        <v>145770379.65000001</v>
      </c>
      <c r="S29" s="177">
        <f t="shared" si="5"/>
        <v>-2185120.7800000012</v>
      </c>
      <c r="T29" s="179">
        <f t="shared" si="6"/>
        <v>-1.4990156335234595E-2</v>
      </c>
    </row>
    <row r="30" spans="1:20" ht="15.7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342">
        <f>+SUMPRODUCT(('2018'!$G30:$R30)*('2018'!$G$5:$R$5&lt;=Master!$B$3)*($A30='2018'!$A$10:$A$66))</f>
        <v>905681444.50000012</v>
      </c>
      <c r="H30" s="342">
        <f>+SUMPRODUCT(('2018'!$G125:$R125)*('2018'!$G$5:$R$5&lt;=Master!$B$3))</f>
        <v>887029815.71811116</v>
      </c>
      <c r="I30" s="207">
        <f t="shared" si="0"/>
        <v>18651628.781888962</v>
      </c>
      <c r="J30" s="208">
        <f t="shared" si="1"/>
        <v>2.1027059577235496E-2</v>
      </c>
      <c r="K30" s="389">
        <f>+SUMPRODUCT(('2017'!$G30:$R30)*('2017'!$G$5:$R$5&lt;=Master!$B$3))</f>
        <v>880981954.19999981</v>
      </c>
      <c r="L30" s="207">
        <f t="shared" si="7"/>
        <v>24699490.30000031</v>
      </c>
      <c r="M30" s="209">
        <f t="shared" si="2"/>
        <v>2.8036318090566725E-2</v>
      </c>
      <c r="N30" s="342">
        <f>'2018'!M30</f>
        <v>133618705.36</v>
      </c>
      <c r="O30" s="342">
        <f>+INDEX('2018'!$1:$1048576,MATCH(CONCATENATE('Analitika - 2018'!$A30,"p"),'2018'!$A:$A,0),MATCH('Analitika - 2018'!$O$6,'2018'!$101:$101,0))</f>
        <v>131117130.68544447</v>
      </c>
      <c r="P30" s="207">
        <f t="shared" si="3"/>
        <v>2501574.6745555252</v>
      </c>
      <c r="Q30" s="208">
        <f t="shared" si="4"/>
        <v>1.9078930887809875E-2</v>
      </c>
      <c r="R30" s="342">
        <f>'2017'!M30</f>
        <v>135015939.43000001</v>
      </c>
      <c r="S30" s="207">
        <f t="shared" si="5"/>
        <v>-1397234.0700000077</v>
      </c>
      <c r="T30" s="209">
        <f t="shared" si="6"/>
        <v>-1.0348660135231058E-2</v>
      </c>
    </row>
    <row r="31" spans="1:20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391">
        <f>+SUMPRODUCT(('2018'!$G31:$R31)*('2018'!$G$5:$R$5&lt;=Master!$B$3)*($A31='2018'!$A$10:$A$66))</f>
        <v>460409740.40000004</v>
      </c>
      <c r="H31" s="391">
        <f>+SUMPRODUCT(('2018'!$G126:$R126)*('2018'!$G$5:$R$5&lt;=Master!$B$3))</f>
        <v>441204835.47561115</v>
      </c>
      <c r="I31" s="213">
        <f t="shared" si="0"/>
        <v>19204904.924388885</v>
      </c>
      <c r="J31" s="214">
        <f t="shared" si="1"/>
        <v>4.3528319229970247E-2</v>
      </c>
      <c r="K31" s="390">
        <f>+SUMPRODUCT(('2017'!$G31:$R31)*('2017'!$G$5:$R$5&lt;=Master!$B$3))</f>
        <v>445101289.64999998</v>
      </c>
      <c r="L31" s="213">
        <f t="shared" si="7"/>
        <v>15308450.75000006</v>
      </c>
      <c r="M31" s="215">
        <f t="shared" si="2"/>
        <v>3.4393184441315894E-2</v>
      </c>
      <c r="N31" s="391">
        <f>'2018'!M31</f>
        <v>62875549.480000004</v>
      </c>
      <c r="O31" s="391">
        <f>+INDEX('2018'!$1:$1048576,MATCH(CONCATENATE('Analitika - 2018'!$A31,"p"),'2018'!$A:$A,0),MATCH('Analitika - 2018'!$O$6,'2018'!$101:$101,0))</f>
        <v>68385342.175944448</v>
      </c>
      <c r="P31" s="213">
        <f t="shared" si="3"/>
        <v>-5509792.6959444433</v>
      </c>
      <c r="Q31" s="214">
        <f t="shared" si="4"/>
        <v>-8.0569790552025511E-2</v>
      </c>
      <c r="R31" s="391">
        <f>'2017'!M31</f>
        <v>59163591.209999993</v>
      </c>
      <c r="S31" s="213">
        <f t="shared" si="5"/>
        <v>3711958.2700000107</v>
      </c>
      <c r="T31" s="215">
        <f t="shared" si="6"/>
        <v>6.2740584100523744E-2</v>
      </c>
    </row>
    <row r="32" spans="1:20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f>+SUMPRODUCT(('2018'!$G32:$R32)*('2018'!$G$5:$R$5&lt;=Master!$B$3)*($A32='2018'!$A$10:$A$66))</f>
        <v>265184451.5</v>
      </c>
      <c r="H32" s="188">
        <f>+SUMPRODUCT(('2018'!$G127:$R127)*('2018'!$G$5:$R$5&lt;=Master!$B$3))</f>
        <v>256070360.06416664</v>
      </c>
      <c r="I32" s="189">
        <f t="shared" si="0"/>
        <v>9114091.4358333647</v>
      </c>
      <c r="J32" s="190">
        <f t="shared" si="1"/>
        <v>3.5592137385793254E-2</v>
      </c>
      <c r="K32" s="188">
        <f>+SUMPRODUCT(('2017'!$G32:$R32)*('2017'!$G$5:$R$5&lt;=Master!$B$3))</f>
        <v>257017565.26999998</v>
      </c>
      <c r="L32" s="189">
        <f t="shared" si="7"/>
        <v>8166886.2300000191</v>
      </c>
      <c r="M32" s="191">
        <f t="shared" si="2"/>
        <v>3.1775595654019329E-2</v>
      </c>
      <c r="N32" s="188">
        <f>'2018'!M32</f>
        <v>37411972.93</v>
      </c>
      <c r="O32" s="188">
        <f>+INDEX('2018'!$1:$1048576,MATCH(CONCATENATE('Analitika - 2018'!$A32,"p"),'2018'!$A:$A,0),MATCH('Analitika - 2018'!$O$6,'2018'!$101:$101,0))</f>
        <v>36581480.009166665</v>
      </c>
      <c r="P32" s="189">
        <f t="shared" si="3"/>
        <v>830492.92083333433</v>
      </c>
      <c r="Q32" s="190">
        <f t="shared" si="4"/>
        <v>2.2702551144055061E-2</v>
      </c>
      <c r="R32" s="188">
        <f>'2017'!M32</f>
        <v>36224128.640000001</v>
      </c>
      <c r="S32" s="189">
        <f t="shared" si="5"/>
        <v>1187844.2899999991</v>
      </c>
      <c r="T32" s="191">
        <f t="shared" si="6"/>
        <v>3.279152141394337E-2</v>
      </c>
    </row>
    <row r="33" spans="1:20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f>+SUMPRODUCT(('2018'!$G33:$R33)*('2018'!$G$5:$R$5&lt;=Master!$B$3)*($A33='2018'!$A$10:$A$66))</f>
        <v>5982844.1900000004</v>
      </c>
      <c r="H33" s="188">
        <f>+SUMPRODUCT(('2018'!$G128:$R128)*('2018'!$G$5:$R$5&lt;=Master!$B$3))</f>
        <v>7395916.4938888904</v>
      </c>
      <c r="I33" s="189">
        <f t="shared" si="0"/>
        <v>-1413072.30388889</v>
      </c>
      <c r="J33" s="190">
        <f t="shared" si="1"/>
        <v>-0.19106114908902572</v>
      </c>
      <c r="K33" s="188">
        <f>+SUMPRODUCT(('2017'!$G33:$R33)*('2017'!$G$5:$R$5&lt;=Master!$B$3))</f>
        <v>5110178.71</v>
      </c>
      <c r="L33" s="189">
        <f t="shared" si="7"/>
        <v>872665.48000000045</v>
      </c>
      <c r="M33" s="191">
        <f t="shared" si="2"/>
        <v>0.17077005121020528</v>
      </c>
      <c r="N33" s="188">
        <f>'2018'!M33</f>
        <v>853949.13</v>
      </c>
      <c r="O33" s="188">
        <f>+INDEX('2018'!$1:$1048576,MATCH(CONCATENATE('Analitika - 2018'!$A33,"p"),'2018'!$A:$A,0),MATCH('Analitika - 2018'!$O$6,'2018'!$101:$101,0))</f>
        <v>1064654.7372222226</v>
      </c>
      <c r="P33" s="189">
        <f t="shared" si="3"/>
        <v>-210705.60722222261</v>
      </c>
      <c r="Q33" s="190">
        <f t="shared" si="4"/>
        <v>-0.19790980104214062</v>
      </c>
      <c r="R33" s="188">
        <f>'2017'!M33</f>
        <v>845413.4</v>
      </c>
      <c r="S33" s="189">
        <f t="shared" si="5"/>
        <v>8535.7299999999814</v>
      </c>
      <c r="T33" s="191">
        <f t="shared" si="6"/>
        <v>1.0096516094965979E-2</v>
      </c>
    </row>
    <row r="34" spans="1:20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f>+SUMPRODUCT(('2018'!$G34:$R34)*('2018'!$G$5:$R$5&lt;=Master!$B$3)*($A34='2018'!$A$10:$A$66))</f>
        <v>17528659.140000001</v>
      </c>
      <c r="H34" s="188">
        <f>+SUMPRODUCT(('2018'!$G129:$R129)*('2018'!$G$5:$R$5&lt;=Master!$B$3))</f>
        <v>18220299.91</v>
      </c>
      <c r="I34" s="189">
        <f t="shared" si="0"/>
        <v>-691640.76999999955</v>
      </c>
      <c r="J34" s="190">
        <f t="shared" si="1"/>
        <v>-3.7959900408686464E-2</v>
      </c>
      <c r="K34" s="188">
        <f>+SUMPRODUCT(('2017'!$G34:$R34)*('2017'!$G$5:$R$5&lt;=Master!$B$3))</f>
        <v>13692446.879999999</v>
      </c>
      <c r="L34" s="189">
        <f t="shared" si="7"/>
        <v>3836212.2600000016</v>
      </c>
      <c r="M34" s="191">
        <f t="shared" si="2"/>
        <v>0.28016995746782136</v>
      </c>
      <c r="N34" s="188">
        <f>'2018'!M34</f>
        <v>2862691.11</v>
      </c>
      <c r="O34" s="188">
        <f>+INDEX('2018'!$1:$1048576,MATCH(CONCATENATE('Analitika - 2018'!$A34,"p"),'2018'!$A:$A,0),MATCH('Analitika - 2018'!$O$6,'2018'!$101:$101,0))</f>
        <v>3644059.9819999994</v>
      </c>
      <c r="P34" s="189">
        <f t="shared" si="3"/>
        <v>-781368.87199999951</v>
      </c>
      <c r="Q34" s="190">
        <f t="shared" si="4"/>
        <v>-0.21442261539590646</v>
      </c>
      <c r="R34" s="188">
        <f>'2017'!M34</f>
        <v>1900343.87</v>
      </c>
      <c r="S34" s="189">
        <f t="shared" si="5"/>
        <v>962347.23999999976</v>
      </c>
      <c r="T34" s="191">
        <f t="shared" si="6"/>
        <v>0.50640689571619468</v>
      </c>
    </row>
    <row r="35" spans="1:20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f>+SUMPRODUCT(('2018'!$G35:$R35)*('2018'!$G$5:$R$5&lt;=Master!$B$3)*($A35='2018'!$A$10:$A$66))</f>
        <v>37781742.93</v>
      </c>
      <c r="H35" s="188">
        <f>+SUMPRODUCT(('2018'!$G130:$R130)*('2018'!$G$5:$R$5&lt;=Master!$B$3))</f>
        <v>30342598.864444435</v>
      </c>
      <c r="I35" s="189">
        <f t="shared" si="0"/>
        <v>7439144.0655555651</v>
      </c>
      <c r="J35" s="190">
        <f t="shared" si="1"/>
        <v>0.24517161825161859</v>
      </c>
      <c r="K35" s="188">
        <f>+SUMPRODUCT(('2017'!$G35:$R35)*('2017'!$G$5:$R$5&lt;=Master!$B$3))</f>
        <v>30364842.859999996</v>
      </c>
      <c r="L35" s="189">
        <f t="shared" si="7"/>
        <v>7416900.070000004</v>
      </c>
      <c r="M35" s="191">
        <f t="shared" si="2"/>
        <v>0.24425945835439777</v>
      </c>
      <c r="N35" s="188">
        <f>'2018'!M35</f>
        <v>4957958.04</v>
      </c>
      <c r="O35" s="188">
        <f>+INDEX('2018'!$1:$1048576,MATCH(CONCATENATE('Analitika - 2018'!$A35,"p"),'2018'!$A:$A,0),MATCH('Analitika - 2018'!$O$6,'2018'!$101:$101,0))</f>
        <v>6090741.9951111097</v>
      </c>
      <c r="P35" s="189">
        <f t="shared" si="3"/>
        <v>-1132783.9551111097</v>
      </c>
      <c r="Q35" s="190">
        <f t="shared" si="4"/>
        <v>-0.18598455754986298</v>
      </c>
      <c r="R35" s="188">
        <f>'2017'!M35</f>
        <v>5219310.84</v>
      </c>
      <c r="S35" s="189">
        <f t="shared" si="5"/>
        <v>-261352.79999999981</v>
      </c>
      <c r="T35" s="191">
        <f t="shared" si="6"/>
        <v>-5.0074197152051525E-2</v>
      </c>
    </row>
    <row r="36" spans="1:20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f>+SUMPRODUCT(('2018'!$G36:$R36)*('2018'!$G$5:$R$5&lt;=Master!$B$3)*($A36='2018'!$A$10:$A$66))</f>
        <v>10025562.079999998</v>
      </c>
      <c r="H36" s="188">
        <f>+SUMPRODUCT(('2018'!$G131:$R131)*('2018'!$G$5:$R$5&lt;=Master!$B$3))</f>
        <v>13022235.788333334</v>
      </c>
      <c r="I36" s="189">
        <f t="shared" si="0"/>
        <v>-2996673.7083333358</v>
      </c>
      <c r="J36" s="190">
        <f t="shared" si="1"/>
        <v>-0.23011975493625036</v>
      </c>
      <c r="K36" s="188">
        <f>+SUMPRODUCT(('2017'!$G36:$R36)*('2017'!$G$5:$R$5&lt;=Master!$B$3))</f>
        <v>9060431.9499999993</v>
      </c>
      <c r="L36" s="189">
        <f t="shared" si="7"/>
        <v>965130.12999999896</v>
      </c>
      <c r="M36" s="191">
        <f t="shared" si="2"/>
        <v>0.10652142583555291</v>
      </c>
      <c r="N36" s="188">
        <f>'2018'!M36</f>
        <v>1765570.63</v>
      </c>
      <c r="O36" s="188">
        <f>+INDEX('2018'!$1:$1048576,MATCH(CONCATENATE('Analitika - 2018'!$A36,"p"),'2018'!$A:$A,0),MATCH('Analitika - 2018'!$O$6,'2018'!$101:$101,0))</f>
        <v>1860319.3983333334</v>
      </c>
      <c r="P36" s="189">
        <f t="shared" si="3"/>
        <v>-94748.768333333544</v>
      </c>
      <c r="Q36" s="190">
        <f t="shared" si="4"/>
        <v>-5.0931452103450292E-2</v>
      </c>
      <c r="R36" s="188">
        <f>'2017'!M36</f>
        <v>1865668.51</v>
      </c>
      <c r="S36" s="189">
        <f t="shared" si="5"/>
        <v>-100097.88000000012</v>
      </c>
      <c r="T36" s="191">
        <f t="shared" si="6"/>
        <v>-5.3652553743322895E-2</v>
      </c>
    </row>
    <row r="37" spans="1:20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f>+SUMPRODUCT(('2018'!$G37:$R37)*('2018'!$G$5:$R$5&lt;=Master!$B$3)*($A37='2018'!$A$10:$A$66))</f>
        <v>65911898.500000007</v>
      </c>
      <c r="H37" s="188">
        <f>+SUMPRODUCT(('2018'!$G132:$R132)*('2018'!$G$5:$R$5&lt;=Master!$B$3))</f>
        <v>49859075</v>
      </c>
      <c r="I37" s="189">
        <f t="shared" si="0"/>
        <v>16052823.500000007</v>
      </c>
      <c r="J37" s="190">
        <f t="shared" si="1"/>
        <v>0.32196392532352447</v>
      </c>
      <c r="K37" s="188">
        <f>+SUMPRODUCT(('2017'!$G37:$R37)*('2017'!$G$5:$R$5&lt;=Master!$B$3))</f>
        <v>87483315.24000001</v>
      </c>
      <c r="L37" s="189">
        <f t="shared" si="7"/>
        <v>-21571416.740000002</v>
      </c>
      <c r="M37" s="191">
        <f t="shared" si="2"/>
        <v>-0.24657749515803562</v>
      </c>
      <c r="N37" s="188">
        <f>'2018'!M37</f>
        <v>7490624.3200000003</v>
      </c>
      <c r="O37" s="188">
        <f>+INDEX('2018'!$1:$1048576,MATCH(CONCATENATE('Analitika - 2018'!$A37,"p"),'2018'!$A:$A,0),MATCH('Analitika - 2018'!$O$6,'2018'!$101:$101,0))</f>
        <v>7122725</v>
      </c>
      <c r="P37" s="189">
        <f t="shared" si="3"/>
        <v>367899.3200000003</v>
      </c>
      <c r="Q37" s="190">
        <f t="shared" si="4"/>
        <v>5.1651484509088963E-2</v>
      </c>
      <c r="R37" s="188">
        <f>'2017'!M37</f>
        <v>6570219.0800000001</v>
      </c>
      <c r="S37" s="189">
        <f t="shared" si="5"/>
        <v>920405.24000000022</v>
      </c>
      <c r="T37" s="191">
        <f t="shared" si="6"/>
        <v>0.14008745047813531</v>
      </c>
    </row>
    <row r="38" spans="1:20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f>+SUMPRODUCT(('2018'!$G38:$R38)*('2018'!$G$5:$R$5&lt;=Master!$B$3)*($A38='2018'!$A$10:$A$66))</f>
        <v>5065163.2300000004</v>
      </c>
      <c r="H38" s="188">
        <f>+SUMPRODUCT(('2018'!$G133:$R133)*('2018'!$G$5:$R$5&lt;=Master!$B$3))</f>
        <v>5600076.5333333341</v>
      </c>
      <c r="I38" s="189">
        <f t="shared" si="0"/>
        <v>-534913.30333333369</v>
      </c>
      <c r="J38" s="190">
        <f t="shared" si="1"/>
        <v>-9.5518927312755353E-2</v>
      </c>
      <c r="K38" s="188">
        <f>+SUMPRODUCT(('2017'!$G38:$R38)*('2017'!$G$5:$R$5&lt;=Master!$B$3))</f>
        <v>4688440.21</v>
      </c>
      <c r="L38" s="189">
        <f t="shared" si="7"/>
        <v>376723.02000000048</v>
      </c>
      <c r="M38" s="191">
        <f t="shared" si="2"/>
        <v>8.035146085397149E-2</v>
      </c>
      <c r="N38" s="188">
        <f>'2018'!M38</f>
        <v>824335.7</v>
      </c>
      <c r="O38" s="188">
        <f>+INDEX('2018'!$1:$1048576,MATCH(CONCATENATE('Analitika - 2018'!$A38,"p"),'2018'!$A:$A,0),MATCH('Analitika - 2018'!$O$6,'2018'!$101:$101,0))</f>
        <v>800010.93333333347</v>
      </c>
      <c r="P38" s="189">
        <f t="shared" si="3"/>
        <v>24324.766666666488</v>
      </c>
      <c r="Q38" s="190">
        <f t="shared" si="4"/>
        <v>3.0405542790914897E-2</v>
      </c>
      <c r="R38" s="188">
        <f>'2017'!M38</f>
        <v>744151.17</v>
      </c>
      <c r="S38" s="189">
        <f t="shared" si="5"/>
        <v>80184.529999999912</v>
      </c>
      <c r="T38" s="191">
        <f t="shared" si="6"/>
        <v>0.10775301206608323</v>
      </c>
    </row>
    <row r="39" spans="1:20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f>+SUMPRODUCT(('2018'!$G39:$R39)*('2018'!$G$5:$R$5&lt;=Master!$B$3)*($A39='2018'!$A$10:$A$66))</f>
        <v>12261572.899999999</v>
      </c>
      <c r="H39" s="188">
        <f>+SUMPRODUCT(('2018'!$G134:$R134)*('2018'!$G$5:$R$5&lt;=Master!$B$3))</f>
        <v>15756883.333333336</v>
      </c>
      <c r="I39" s="189">
        <f t="shared" si="0"/>
        <v>-3495310.4333333373</v>
      </c>
      <c r="J39" s="190">
        <f t="shared" si="1"/>
        <v>-0.22182752511336334</v>
      </c>
      <c r="K39" s="188">
        <f>+SUMPRODUCT(('2017'!$G39:$R39)*('2017'!$G$5:$R$5&lt;=Master!$B$3))</f>
        <v>7387573.9200000009</v>
      </c>
      <c r="L39" s="189">
        <f t="shared" si="7"/>
        <v>4873998.9799999977</v>
      </c>
      <c r="M39" s="191">
        <f t="shared" si="2"/>
        <v>0.65975637371355011</v>
      </c>
      <c r="N39" s="188">
        <f>'2018'!M39</f>
        <v>1172428.94</v>
      </c>
      <c r="O39" s="188">
        <f>+INDEX('2018'!$1:$1048576,MATCH(CONCATENATE('Analitika - 2018'!$A39,"p"),'2018'!$A:$A,0),MATCH('Analitika - 2018'!$O$6,'2018'!$101:$101,0))</f>
        <v>2250983.3333333335</v>
      </c>
      <c r="P39" s="189">
        <f t="shared" si="3"/>
        <v>-1078554.3933333335</v>
      </c>
      <c r="Q39" s="190">
        <f t="shared" si="4"/>
        <v>-0.47914810268105057</v>
      </c>
      <c r="R39" s="188">
        <f>'2017'!M39</f>
        <v>1493000.87</v>
      </c>
      <c r="S39" s="189">
        <f t="shared" si="5"/>
        <v>-320571.93000000017</v>
      </c>
      <c r="T39" s="191">
        <f t="shared" si="6"/>
        <v>-0.21471650582494317</v>
      </c>
    </row>
    <row r="40" spans="1:20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f>+SUMPRODUCT(('2018'!$G40:$R40)*('2018'!$G$5:$R$5&lt;=Master!$B$3)*($A40='2018'!$A$10:$A$66))</f>
        <v>18187529.879999999</v>
      </c>
      <c r="H40" s="188">
        <f>+SUMPRODUCT(('2018'!$G135:$R135)*('2018'!$G$5:$R$5&lt;=Master!$B$3))</f>
        <v>19821457.282777779</v>
      </c>
      <c r="I40" s="189">
        <f t="shared" si="0"/>
        <v>-1633927.4027777798</v>
      </c>
      <c r="J40" s="190">
        <f t="shared" si="1"/>
        <v>-8.2432254070312294E-2</v>
      </c>
      <c r="K40" s="188">
        <f>+SUMPRODUCT(('2017'!$G40:$R40)*('2017'!$G$5:$R$5&lt;=Master!$B$3))</f>
        <v>16646359.27</v>
      </c>
      <c r="L40" s="189">
        <f t="shared" si="7"/>
        <v>1541170.6099999994</v>
      </c>
      <c r="M40" s="191">
        <f t="shared" si="2"/>
        <v>9.258304383574667E-2</v>
      </c>
      <c r="N40" s="188">
        <f>'2018'!M40</f>
        <v>2920320.15</v>
      </c>
      <c r="O40" s="188">
        <f>+INDEX('2018'!$1:$1048576,MATCH(CONCATENATE('Analitika - 2018'!$A40,"p"),'2018'!$A:$A,0),MATCH('Analitika - 2018'!$O$6,'2018'!$101:$101,0))</f>
        <v>3987180.345444445</v>
      </c>
      <c r="P40" s="189">
        <f t="shared" si="3"/>
        <v>-1066860.1954444451</v>
      </c>
      <c r="Q40" s="190">
        <f t="shared" si="4"/>
        <v>-0.26757259592317839</v>
      </c>
      <c r="R40" s="188">
        <f>'2017'!M40</f>
        <v>2526292.0099999998</v>
      </c>
      <c r="S40" s="189">
        <f t="shared" si="5"/>
        <v>394028.14000000013</v>
      </c>
      <c r="T40" s="191">
        <f t="shared" si="6"/>
        <v>0.15597094019230195</v>
      </c>
    </row>
    <row r="41" spans="1:20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f>+SUMPRODUCT(('2018'!$G41:$R41)*('2018'!$G$5:$R$5&lt;=Master!$B$3)*($A41='2018'!$A$10:$A$66))</f>
        <v>22480316.050000004</v>
      </c>
      <c r="H41" s="188">
        <f>+SUMPRODUCT(('2018'!$G136:$R136)*('2018'!$G$5:$R$5&lt;=Master!$B$3))</f>
        <v>25115932.205333341</v>
      </c>
      <c r="I41" s="189">
        <f t="shared" si="0"/>
        <v>-2635616.1553333364</v>
      </c>
      <c r="J41" s="190">
        <f t="shared" si="1"/>
        <v>-0.10493801837758054</v>
      </c>
      <c r="K41" s="188">
        <f>+SUMPRODUCT(('2017'!$G41:$R41)*('2017'!$G$5:$R$5&lt;=Master!$B$3))</f>
        <v>13650135.34</v>
      </c>
      <c r="L41" s="189">
        <f t="shared" si="7"/>
        <v>8830180.7100000046</v>
      </c>
      <c r="M41" s="191">
        <f t="shared" si="2"/>
        <v>0.64689327175564881</v>
      </c>
      <c r="N41" s="188">
        <f>'2018'!M41</f>
        <v>2615698.5299999998</v>
      </c>
      <c r="O41" s="188">
        <f>+INDEX('2018'!$1:$1048576,MATCH(CONCATENATE('Analitika - 2018'!$A41,"p"),'2018'!$A:$A,0),MATCH('Analitika - 2018'!$O$6,'2018'!$101:$101,0))</f>
        <v>4983186.4420000007</v>
      </c>
      <c r="P41" s="189">
        <f t="shared" si="3"/>
        <v>-2367487.9120000009</v>
      </c>
      <c r="Q41" s="190">
        <f t="shared" si="4"/>
        <v>-0.47509519050822635</v>
      </c>
      <c r="R41" s="188">
        <f>'2017'!M41</f>
        <v>1775062.82</v>
      </c>
      <c r="S41" s="189">
        <f t="shared" si="5"/>
        <v>840635.70999999973</v>
      </c>
      <c r="T41" s="191">
        <f t="shared" si="6"/>
        <v>0.47358082233957211</v>
      </c>
    </row>
    <row r="42" spans="1:20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00">
        <f>+SUMPRODUCT(('2018'!$G42:$R42)*('2018'!$G$5:$R$5&lt;=Master!$B$3)*($A42='2018'!$A$10:$A$66))</f>
        <v>309175345.86000001</v>
      </c>
      <c r="H42" s="200">
        <f>+SUMPRODUCT(('2018'!$G137:$R137)*('2018'!$G$5:$R$5&lt;=Master!$B$3))</f>
        <v>321655069.13750011</v>
      </c>
      <c r="I42" s="219">
        <f t="shared" si="0"/>
        <v>-12479723.277500093</v>
      </c>
      <c r="J42" s="220">
        <f t="shared" si="1"/>
        <v>-3.8798466043031055E-2</v>
      </c>
      <c r="K42" s="200">
        <f>+SUMPRODUCT(('2017'!$G42:$R42)*('2017'!$G$5:$R$5&lt;=Master!$B$3))</f>
        <v>318202171.83999997</v>
      </c>
      <c r="L42" s="219">
        <f t="shared" si="7"/>
        <v>-9026825.9799999595</v>
      </c>
      <c r="M42" s="221">
        <f t="shared" si="2"/>
        <v>-2.8368209832769109E-2</v>
      </c>
      <c r="N42" s="200">
        <f>'2018'!M42</f>
        <v>43960900.179999992</v>
      </c>
      <c r="O42" s="200">
        <f>+INDEX('2018'!$1:$1048576,MATCH(CONCATENATE('Analitika - 2018'!$A42,"p"),'2018'!$A:$A,0),MATCH('Analitika - 2018'!$O$6,'2018'!$101:$101,0))</f>
        <v>45950724.162500009</v>
      </c>
      <c r="P42" s="219">
        <f t="shared" si="3"/>
        <v>-1989823.9825000167</v>
      </c>
      <c r="Q42" s="220">
        <f t="shared" si="4"/>
        <v>-4.3303430332527704E-2</v>
      </c>
      <c r="R42" s="200">
        <f>'2017'!M42</f>
        <v>45267241.289999999</v>
      </c>
      <c r="S42" s="219">
        <f t="shared" si="5"/>
        <v>-1306341.1100000069</v>
      </c>
      <c r="T42" s="221">
        <f t="shared" si="6"/>
        <v>-2.8858421073885698E-2</v>
      </c>
    </row>
    <row r="43" spans="1:20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+SUMPRODUCT(('2018'!$G43:$R43)*('2018'!$G$5:$R$5&lt;=Master!$B$3)*($A43='2018'!$A$10:$A$66))</f>
        <v>44584562.019999996</v>
      </c>
      <c r="H43" s="188">
        <f>+SUMPRODUCT(('2018'!$G138:$R138)*('2018'!$G$5:$R$5&lt;=Master!$B$3))</f>
        <v>46557000</v>
      </c>
      <c r="I43" s="189">
        <f t="shared" si="0"/>
        <v>-1972437.9800000042</v>
      </c>
      <c r="J43" s="190">
        <f t="shared" si="1"/>
        <v>-4.2366088450716433E-2</v>
      </c>
      <c r="K43" s="188">
        <f>+SUMPRODUCT(('2017'!$G43:$R43)*('2017'!$G$5:$R$5&lt;=Master!$B$3))</f>
        <v>66493036.559999995</v>
      </c>
      <c r="L43" s="189">
        <f t="shared" si="7"/>
        <v>-21908474.539999999</v>
      </c>
      <c r="M43" s="191">
        <f t="shared" si="2"/>
        <v>-0.32948524647736432</v>
      </c>
      <c r="N43" s="188">
        <f>'2018'!M43</f>
        <v>6430553.0499999998</v>
      </c>
      <c r="O43" s="188">
        <f>+INDEX('2018'!$1:$1048576,MATCH(CONCATENATE('Analitika - 2018'!$A43,"p"),'2018'!$A:$A,0),MATCH('Analitika - 2018'!$O$6,'2018'!$101:$101,0))</f>
        <v>6651000</v>
      </c>
      <c r="P43" s="189">
        <f t="shared" si="3"/>
        <v>-220446.95000000019</v>
      </c>
      <c r="Q43" s="190">
        <f t="shared" si="4"/>
        <v>-3.3144933092768003E-2</v>
      </c>
      <c r="R43" s="188">
        <f>'2017'!M43</f>
        <v>9055138.0800000001</v>
      </c>
      <c r="S43" s="189">
        <f t="shared" si="5"/>
        <v>-2624585.0300000003</v>
      </c>
      <c r="T43" s="191">
        <f t="shared" si="6"/>
        <v>-0.28984483801488314</v>
      </c>
    </row>
    <row r="44" spans="1:20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+SUMPRODUCT(('2018'!$G44:$R44)*('2018'!$G$5:$R$5&lt;=Master!$B$3)*($A44='2018'!$A$10:$A$66))</f>
        <v>6994885.3599999994</v>
      </c>
      <c r="H44" s="188">
        <f>+SUMPRODUCT(('2018'!$G139:$R139)*('2018'!$G$5:$R$5&lt;=Master!$B$3))</f>
        <v>11899299.720000003</v>
      </c>
      <c r="I44" s="189">
        <f t="shared" si="0"/>
        <v>-4904414.3600000031</v>
      </c>
      <c r="J44" s="190">
        <f t="shared" si="1"/>
        <v>-0.41215991490295889</v>
      </c>
      <c r="K44" s="188">
        <f>+SUMPRODUCT(('2017'!$G44:$R44)*('2017'!$G$5:$R$5&lt;=Master!$B$3))</f>
        <v>6605137.1300000008</v>
      </c>
      <c r="L44" s="189">
        <f t="shared" si="7"/>
        <v>389748.22999999858</v>
      </c>
      <c r="M44" s="191">
        <f t="shared" si="2"/>
        <v>5.9006833973180184E-2</v>
      </c>
      <c r="N44" s="188">
        <f>'2018'!M44</f>
        <v>980063.88</v>
      </c>
      <c r="O44" s="188">
        <f>+INDEX('2018'!$1:$1048576,MATCH(CONCATENATE('Analitika - 2018'!$A44,"p"),'2018'!$A:$A,0),MATCH('Analitika - 2018'!$O$6,'2018'!$101:$101,0))</f>
        <v>1699899.96</v>
      </c>
      <c r="P44" s="189">
        <f t="shared" si="3"/>
        <v>-719836.08</v>
      </c>
      <c r="Q44" s="190">
        <f t="shared" si="4"/>
        <v>-0.4234579074876853</v>
      </c>
      <c r="R44" s="188">
        <f>'2017'!M44</f>
        <v>1069131.58</v>
      </c>
      <c r="S44" s="189">
        <f t="shared" si="5"/>
        <v>-89067.70000000007</v>
      </c>
      <c r="T44" s="191">
        <f t="shared" si="6"/>
        <v>-8.3308454886348082E-2</v>
      </c>
    </row>
    <row r="45" spans="1:20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+SUMPRODUCT(('2018'!$G45:$R45)*('2018'!$G$5:$R$5&lt;=Master!$B$3)*($A45='2018'!$A$10:$A$66))</f>
        <v>241892593.98999998</v>
      </c>
      <c r="H45" s="188">
        <f>+SUMPRODUCT(('2018'!$G140:$R140)*('2018'!$G$5:$R$5&lt;=Master!$B$3))</f>
        <v>248309127.75083333</v>
      </c>
      <c r="I45" s="189">
        <f t="shared" si="0"/>
        <v>-6416533.7608333528</v>
      </c>
      <c r="J45" s="190">
        <f t="shared" si="1"/>
        <v>-2.5840909752105623E-2</v>
      </c>
      <c r="K45" s="188">
        <f>+SUMPRODUCT(('2017'!$G45:$R45)*('2017'!$G$5:$R$5&lt;=Master!$B$3))</f>
        <v>231496050.22000003</v>
      </c>
      <c r="L45" s="189">
        <f t="shared" si="7"/>
        <v>10396543.769999951</v>
      </c>
      <c r="M45" s="191">
        <f t="shared" si="2"/>
        <v>4.4910242572690606E-2</v>
      </c>
      <c r="N45" s="188">
        <f>'2018'!M45</f>
        <v>34541467.619999997</v>
      </c>
      <c r="O45" s="188">
        <f>+INDEX('2018'!$1:$1048576,MATCH(CONCATENATE('Analitika - 2018'!$A45,"p"),'2018'!$A:$A,0),MATCH('Analitika - 2018'!$O$6,'2018'!$101:$101,0))</f>
        <v>35472732.535833336</v>
      </c>
      <c r="P45" s="189">
        <f t="shared" si="3"/>
        <v>-931264.9158333391</v>
      </c>
      <c r="Q45" s="190">
        <f t="shared" si="4"/>
        <v>-2.6252979380503194E-2</v>
      </c>
      <c r="R45" s="188">
        <f>'2017'!M45</f>
        <v>32909306.579999998</v>
      </c>
      <c r="S45" s="189">
        <f t="shared" si="5"/>
        <v>1632161.0399999991</v>
      </c>
      <c r="T45" s="191">
        <f t="shared" si="6"/>
        <v>4.9595728674268535E-2</v>
      </c>
    </row>
    <row r="46" spans="1:20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+SUMPRODUCT(('2018'!$G46:$R46)*('2018'!$G$5:$R$5&lt;=Master!$B$3)*($A46='2018'!$A$10:$A$66))</f>
        <v>10487938.51</v>
      </c>
      <c r="H46" s="188">
        <f>+SUMPRODUCT(('2018'!$G141:$R141)*('2018'!$G$5:$R$5&lt;=Master!$B$3))</f>
        <v>9625058.3333333321</v>
      </c>
      <c r="I46" s="189">
        <f t="shared" si="0"/>
        <v>862880.17666666768</v>
      </c>
      <c r="J46" s="190">
        <f t="shared" si="1"/>
        <v>8.9649345155484061E-2</v>
      </c>
      <c r="K46" s="188">
        <f>+SUMPRODUCT(('2017'!$G46:$R46)*('2017'!$G$5:$R$5&lt;=Master!$B$3))</f>
        <v>8846514.75</v>
      </c>
      <c r="L46" s="189">
        <f t="shared" si="7"/>
        <v>1641423.7599999998</v>
      </c>
      <c r="M46" s="191">
        <f t="shared" si="2"/>
        <v>0.18554468131079527</v>
      </c>
      <c r="N46" s="188">
        <f>'2018'!M46</f>
        <v>1103217.6599999999</v>
      </c>
      <c r="O46" s="188">
        <f>+INDEX('2018'!$1:$1048576,MATCH(CONCATENATE('Analitika - 2018'!$A46,"p"),'2018'!$A:$A,0),MATCH('Analitika - 2018'!$O$6,'2018'!$101:$101,0))</f>
        <v>1375008.3333333333</v>
      </c>
      <c r="P46" s="189">
        <f t="shared" si="3"/>
        <v>-271790.67333333334</v>
      </c>
      <c r="Q46" s="190">
        <f t="shared" si="4"/>
        <v>-0.197664746274265</v>
      </c>
      <c r="R46" s="188">
        <f>'2017'!M46</f>
        <v>1666149.56</v>
      </c>
      <c r="S46" s="189">
        <f t="shared" si="5"/>
        <v>-562931.90000000014</v>
      </c>
      <c r="T46" s="191">
        <f t="shared" si="6"/>
        <v>-0.33786396702586541</v>
      </c>
    </row>
    <row r="47" spans="1:20">
      <c r="A47" s="175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8">
        <f>+SUMPRODUCT(('2018'!$G47:$R47)*('2018'!$G$5:$R$5&lt;=Master!$B$3)*($A47='2018'!$A$10:$A$66))</f>
        <v>5215365.9799999995</v>
      </c>
      <c r="H47" s="188">
        <f>+SUMPRODUCT(('2018'!$G142:$R142)*('2018'!$G$5:$R$5&lt;=Master!$B$3))</f>
        <v>5264583.333333333</v>
      </c>
      <c r="I47" s="189">
        <f t="shared" si="0"/>
        <v>-49217.353333333507</v>
      </c>
      <c r="J47" s="190">
        <f t="shared" si="1"/>
        <v>-9.3487651760981727E-3</v>
      </c>
      <c r="K47" s="188">
        <f>+SUMPRODUCT(('2017'!$G47:$R47)*('2017'!$G$5:$R$5&lt;=Master!$B$3))</f>
        <v>4761433.18</v>
      </c>
      <c r="L47" s="189">
        <f t="shared" si="7"/>
        <v>453932.79999999981</v>
      </c>
      <c r="M47" s="191">
        <f t="shared" si="2"/>
        <v>9.5335329267395075E-2</v>
      </c>
      <c r="N47" s="188">
        <f>'2018'!M47</f>
        <v>905597.97</v>
      </c>
      <c r="O47" s="188">
        <f>+INDEX('2018'!$1:$1048576,MATCH(CONCATENATE('Analitika - 2018'!$A47,"p"),'2018'!$A:$A,0),MATCH('Analitika - 2018'!$O$6,'2018'!$101:$101,0))</f>
        <v>752083.33333333337</v>
      </c>
      <c r="P47" s="189">
        <f t="shared" si="3"/>
        <v>153514.6366666666</v>
      </c>
      <c r="Q47" s="190">
        <f t="shared" si="4"/>
        <v>0.20411918448753452</v>
      </c>
      <c r="R47" s="188">
        <f>'2017'!M47</f>
        <v>567515.49</v>
      </c>
      <c r="S47" s="189">
        <f t="shared" si="5"/>
        <v>338082.48</v>
      </c>
      <c r="T47" s="191">
        <f t="shared" si="6"/>
        <v>0.59572379249066842</v>
      </c>
    </row>
    <row r="48" spans="1:20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f>+SUMPRODUCT(('2018'!$G48:$R48)*('2018'!$G$5:$R$5&lt;=Master!$B$3)*($A48='2018'!$A$10:$A$66))</f>
        <v>107572540.67</v>
      </c>
      <c r="H48" s="200">
        <f>+SUMPRODUCT(('2018'!$G143:$R143)*('2018'!$G$5:$R$5&lt;=Master!$B$3))</f>
        <v>115666480.90833332</v>
      </c>
      <c r="I48" s="201">
        <f t="shared" si="0"/>
        <v>-8093940.2383333147</v>
      </c>
      <c r="J48" s="202">
        <f t="shared" si="1"/>
        <v>-6.9976540954399979E-2</v>
      </c>
      <c r="K48" s="200">
        <f>+SUMPRODUCT(('2017'!$G48:$R48)*('2017'!$G$5:$R$5&lt;=Master!$B$3))</f>
        <v>83053841.230000004</v>
      </c>
      <c r="L48" s="201">
        <f t="shared" si="7"/>
        <v>24518699.439999998</v>
      </c>
      <c r="M48" s="203">
        <f t="shared" si="2"/>
        <v>0.29521451478807181</v>
      </c>
      <c r="N48" s="200">
        <f>'2018'!M48</f>
        <v>20218156.109999999</v>
      </c>
      <c r="O48" s="200">
        <f>+INDEX('2018'!$1:$1048576,MATCH(CONCATENATE('Analitika - 2018'!$A48,"p"),'2018'!$A:$A,0),MATCH('Analitika - 2018'!$O$6,'2018'!$101:$101,0))</f>
        <v>15295211.558333334</v>
      </c>
      <c r="P48" s="201">
        <f t="shared" si="3"/>
        <v>4922944.5516666658</v>
      </c>
      <c r="Q48" s="202">
        <f t="shared" si="4"/>
        <v>0.32186181491451715</v>
      </c>
      <c r="R48" s="200">
        <f>'2017'!M48</f>
        <v>17165199.760000002</v>
      </c>
      <c r="S48" s="201">
        <f t="shared" si="5"/>
        <v>3052956.3499999978</v>
      </c>
      <c r="T48" s="203">
        <f t="shared" si="6"/>
        <v>0.17785731553875017</v>
      </c>
    </row>
    <row r="49" spans="1:20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f>+SUMPRODUCT(('2018'!$G49:$R49)*('2018'!$G$5:$R$5&lt;=Master!$B$3)*($A49='2018'!$A$10:$A$66))</f>
        <v>86876166.549999997</v>
      </c>
      <c r="H49" s="200">
        <f>+SUMPRODUCT(('2018'!$G144:$R144)*('2018'!$G$5:$R$5&lt;=Master!$B$3))</f>
        <v>155822916.66666666</v>
      </c>
      <c r="I49" s="201">
        <f t="shared" si="0"/>
        <v>-68946750.11666666</v>
      </c>
      <c r="J49" s="202">
        <f t="shared" si="1"/>
        <v>-0.44246861496089307</v>
      </c>
      <c r="K49" s="401">
        <f>+SUMPRODUCT(('2017'!$G49:$R49)*('2017'!$G$5:$R$5&lt;=Master!$B$3))</f>
        <v>51832379.310000002</v>
      </c>
      <c r="L49" s="201">
        <f t="shared" si="7"/>
        <v>35043787.239999995</v>
      </c>
      <c r="M49" s="203">
        <f t="shared" si="2"/>
        <v>0.67609837145251417</v>
      </c>
      <c r="N49" s="200">
        <f>'2018'!M49</f>
        <v>9966553.5099999998</v>
      </c>
      <c r="O49" s="200">
        <f>+INDEX('2018'!$1:$1048576,MATCH(CONCATENATE('Analitika - 2018'!$A49,"p"),'2018'!$A:$A,0),MATCH('Analitika - 2018'!$O$6,'2018'!$101:$101,0))</f>
        <v>26990416.666666664</v>
      </c>
      <c r="P49" s="201">
        <f t="shared" si="3"/>
        <v>-17023863.156666666</v>
      </c>
      <c r="Q49" s="202">
        <f t="shared" si="4"/>
        <v>-0.63073732306219799</v>
      </c>
      <c r="R49" s="200">
        <f>'2017'!M49</f>
        <v>10754440.220000001</v>
      </c>
      <c r="S49" s="201">
        <f t="shared" si="5"/>
        <v>-787886.71000000089</v>
      </c>
      <c r="T49" s="203">
        <f t="shared" si="6"/>
        <v>-7.3261526763129026E-2</v>
      </c>
    </row>
    <row r="50" spans="1:20">
      <c r="A50" s="175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8">
        <f>+SUMPRODUCT(('2018'!$G50:$R50)*('2018'!$G$5:$R$5&lt;=Master!$B$3)*($A50='2018'!$A$10:$A$66))</f>
        <v>1470691</v>
      </c>
      <c r="H50" s="188">
        <f>+SUMPRODUCT(('2018'!$G145:$R145)*('2018'!$G$5:$R$5&lt;=Master!$B$3))</f>
        <v>1677083.9166666667</v>
      </c>
      <c r="I50" s="189">
        <f>G50-H50</f>
        <v>-206392.91666666674</v>
      </c>
      <c r="J50" s="343">
        <f t="shared" si="1"/>
        <v>-0.12306654104517833</v>
      </c>
      <c r="K50" s="188">
        <f>+SUMPRODUCT(('2017'!$G50:$R50)*('2017'!$G$5:$R$5&lt;=Master!$B$3))</f>
        <v>1089216.67</v>
      </c>
      <c r="L50" s="349">
        <f t="shared" si="7"/>
        <v>381474.33000000007</v>
      </c>
      <c r="M50" s="352">
        <f t="shared" si="2"/>
        <v>0.35022814147712245</v>
      </c>
      <c r="N50" s="188">
        <f>'2018'!M50</f>
        <v>236298.33</v>
      </c>
      <c r="O50" s="188">
        <f>+INDEX('2018'!$1:$1048576,MATCH(CONCATENATE('Analitika - 2018'!$A50,"p"),'2018'!$A:$A,0),MATCH('Analitika - 2018'!$O$6,'2018'!$101:$101,0))</f>
        <v>239583.41666666666</v>
      </c>
      <c r="P50" s="189">
        <f t="shared" si="3"/>
        <v>-3285.0866666666698</v>
      </c>
      <c r="Q50" s="343">
        <f t="shared" si="4"/>
        <v>-1.3711661317683088E-2</v>
      </c>
      <c r="R50" s="188">
        <f>'2017'!M50</f>
        <v>0</v>
      </c>
      <c r="S50" s="349">
        <f t="shared" si="5"/>
        <v>236298.33</v>
      </c>
      <c r="T50" s="352" t="str">
        <f t="shared" si="6"/>
        <v>…</v>
      </c>
    </row>
    <row r="51" spans="1:20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f>+SUMPRODUCT(('2018'!$G51:$R51)*('2018'!$G$5:$R$5&lt;=Master!$B$3)*($A51='2018'!$A$10:$A$66))</f>
        <v>10918566.66</v>
      </c>
      <c r="H51" s="188">
        <f>+SUMPRODUCT(('2018'!$G146:$R146)*('2018'!$G$5:$R$5&lt;=Master!$B$3))</f>
        <v>6826346.2800000003</v>
      </c>
      <c r="I51" s="189">
        <f t="shared" ref="I51:I52" si="8">G51-H51</f>
        <v>4092220.38</v>
      </c>
      <c r="J51" s="344">
        <f t="shared" si="1"/>
        <v>0.59947447904737694</v>
      </c>
      <c r="K51" s="188">
        <f>+SUMPRODUCT(('2017'!$G51:$R51)*('2017'!$G$5:$R$5&lt;=Master!$B$3))</f>
        <v>7249566.9199999999</v>
      </c>
      <c r="L51" s="350">
        <f t="shared" si="7"/>
        <v>3668999.74</v>
      </c>
      <c r="M51" s="353">
        <f t="shared" si="2"/>
        <v>0.50609916157584767</v>
      </c>
      <c r="N51" s="188">
        <f>'2018'!M51</f>
        <v>1800352.01</v>
      </c>
      <c r="O51" s="188">
        <f>+INDEX('2018'!$1:$1048576,MATCH(CONCATENATE('Analitika - 2018'!$A51,"p"),'2018'!$A:$A,0),MATCH('Analitika - 2018'!$O$6,'2018'!$101:$101,0))</f>
        <v>1246269.3720000002</v>
      </c>
      <c r="P51" s="189">
        <f t="shared" si="3"/>
        <v>554082.6379999998</v>
      </c>
      <c r="Q51" s="344">
        <f t="shared" si="4"/>
        <v>0.44459299927335438</v>
      </c>
      <c r="R51" s="188">
        <f>'2017'!M51</f>
        <v>826758.17</v>
      </c>
      <c r="S51" s="350">
        <f t="shared" si="5"/>
        <v>973593.84</v>
      </c>
      <c r="T51" s="353">
        <f t="shared" si="6"/>
        <v>1.1776041354390245</v>
      </c>
    </row>
    <row r="52" spans="1:20" ht="15.7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188">
        <f>+SUMPRODUCT(('2018'!$G52:$R52)*('2018'!$G$5:$R$5&lt;=Master!$B$3)*($A52='2018'!$A$10:$A$66))</f>
        <v>0</v>
      </c>
      <c r="H52" s="188">
        <f>+SUMPRODUCT(('2018'!$G147:$R147)*('2018'!$G$5:$R$5&lt;=Master!$B$3))</f>
        <v>0</v>
      </c>
      <c r="I52" s="189">
        <f t="shared" si="8"/>
        <v>0</v>
      </c>
      <c r="J52" s="345" t="str">
        <f t="shared" si="1"/>
        <v>…</v>
      </c>
      <c r="K52" s="188">
        <f>+SUMPRODUCT(('2017'!$G52:$R52)*('2017'!$G$5:$R$5&lt;=Master!$B$3))</f>
        <v>0</v>
      </c>
      <c r="L52" s="350">
        <f t="shared" si="7"/>
        <v>0</v>
      </c>
      <c r="M52" s="354" t="str">
        <f t="shared" si="2"/>
        <v>…</v>
      </c>
      <c r="N52" s="188">
        <f>'2018'!M52</f>
        <v>0</v>
      </c>
      <c r="O52" s="188">
        <f>+INDEX('2018'!$1:$1048576,MATCH(CONCATENATE('Analitika - 2018'!$A52,"p"),'2018'!$A:$A,0),MATCH('Analitika - 2018'!$O$6,'2018'!$101:$101,0))</f>
        <v>0</v>
      </c>
      <c r="P52" s="189">
        <f t="shared" si="3"/>
        <v>0</v>
      </c>
      <c r="Q52" s="345" t="str">
        <f t="shared" si="4"/>
        <v>…</v>
      </c>
      <c r="R52" s="188">
        <f>'2017'!M52</f>
        <v>0</v>
      </c>
      <c r="S52" s="350">
        <f t="shared" si="5"/>
        <v>0</v>
      </c>
      <c r="T52" s="354" t="str">
        <f t="shared" si="6"/>
        <v>…</v>
      </c>
    </row>
    <row r="53" spans="1:20" ht="15.75" thickBot="1">
      <c r="A53" s="169">
        <v>4630</v>
      </c>
      <c r="B53" s="470" t="str">
        <f>+VLOOKUP($A53,Master!$D$25:$G$223,4,FALSE)</f>
        <v>Otplata obaveza iz prethodnih godina</v>
      </c>
      <c r="C53" s="471"/>
      <c r="D53" s="471"/>
      <c r="E53" s="471"/>
      <c r="F53" s="471"/>
      <c r="G53" s="392">
        <f>+SUMPRODUCT(('2018'!$G53:$R53)*('2018'!$G$5:$R$5&lt;=Master!$B$3)*($A53='2018'!$A$10:$A$66))</f>
        <v>16134559.91</v>
      </c>
      <c r="H53" s="392">
        <f>+SUMPRODUCT(('2018'!$G148:$R148)*('2018'!$G$5:$R$5&lt;=Master!$B$3))</f>
        <v>0</v>
      </c>
      <c r="I53" s="351">
        <f>G53-H53</f>
        <v>16134559.91</v>
      </c>
      <c r="J53" s="346" t="str">
        <f t="shared" si="1"/>
        <v>…</v>
      </c>
      <c r="K53" s="392">
        <f>+SUMPRODUCT(('2017'!$G53:$R53)*('2017'!$G$5:$R$5&lt;=Master!$B$3))</f>
        <v>26285867.890000001</v>
      </c>
      <c r="L53" s="357">
        <f t="shared" si="7"/>
        <v>-10151307.98</v>
      </c>
      <c r="M53" s="355">
        <f t="shared" si="2"/>
        <v>-0.38618880770765374</v>
      </c>
      <c r="N53" s="392">
        <f>'2018'!M53</f>
        <v>4527449.25</v>
      </c>
      <c r="O53" s="392">
        <v>0</v>
      </c>
      <c r="P53" s="351">
        <f>N53-O53</f>
        <v>4527449.25</v>
      </c>
      <c r="Q53" s="346" t="str">
        <f t="shared" si="4"/>
        <v>…</v>
      </c>
      <c r="R53" s="392">
        <f>'2017'!M53</f>
        <v>12593149</v>
      </c>
      <c r="S53" s="357">
        <f>+N53-R53</f>
        <v>-8065699.75</v>
      </c>
      <c r="T53" s="355">
        <f>+IF(ISNUMBER(N53/R53-1),N53/R53-1,"…")</f>
        <v>-0.64048315079889862</v>
      </c>
    </row>
    <row r="54" spans="1:20" ht="15.75" thickBot="1">
      <c r="A54" s="169">
        <v>1005</v>
      </c>
      <c r="B54" s="470" t="str">
        <f>+VLOOKUP($A54,Master!$D$25:$G$225,4,FALSE)</f>
        <v>Neto povećanje obaveza</v>
      </c>
      <c r="C54" s="471"/>
      <c r="D54" s="471"/>
      <c r="E54" s="471"/>
      <c r="F54" s="471"/>
      <c r="G54" s="188">
        <f>+SUMPRODUCT(('2018'!$G54:$R54)*('2018'!$G$5:$R$5&lt;=Master!$B$3)*($A54='2018'!$A$10:$A$66))</f>
        <v>0</v>
      </c>
      <c r="H54" s="188">
        <v>0</v>
      </c>
      <c r="I54" s="351">
        <f>G54-H54</f>
        <v>0</v>
      </c>
      <c r="J54" s="346" t="str">
        <f t="shared" si="1"/>
        <v>…</v>
      </c>
      <c r="K54" s="188">
        <f>+SUMPRODUCT(('2017'!$G54:$R54)*('2017'!$G$5:$R$5&lt;=Master!$B$3))</f>
        <v>0</v>
      </c>
      <c r="L54" s="357">
        <f t="shared" si="7"/>
        <v>0</v>
      </c>
      <c r="M54" s="355" t="str">
        <f t="shared" si="2"/>
        <v>…</v>
      </c>
      <c r="N54" s="188">
        <f>'2018'!M54</f>
        <v>0</v>
      </c>
      <c r="O54" s="188">
        <v>0</v>
      </c>
      <c r="P54" s="351">
        <f>N54-O54</f>
        <v>0</v>
      </c>
      <c r="Q54" s="346" t="str">
        <f t="shared" si="4"/>
        <v>…</v>
      </c>
      <c r="R54" s="188">
        <f>'2017'!M54</f>
        <v>0</v>
      </c>
      <c r="S54" s="357">
        <f>+N54-R54</f>
        <v>0</v>
      </c>
      <c r="T54" s="355" t="str">
        <f>+IF(ISNUMBER(N54/R54-1),N54/R54-1,"…")</f>
        <v>…</v>
      </c>
    </row>
    <row r="55" spans="1:20" ht="15.75" thickBot="1">
      <c r="A55" s="169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6">
        <f>+SUMPRODUCT(('2018'!$G55:$R55)*('2018'!$G$5:$R$5&lt;=Master!$B$3)*($A55='2018'!$A$10:$A$66))</f>
        <v>-68226341.170000061</v>
      </c>
      <c r="H55" s="176">
        <f>+SUMPRODUCT(('2018'!$G149:$R149)*('2018'!$G$5:$R$5&lt;=Master!$B$3))</f>
        <v>-122023946.23643042</v>
      </c>
      <c r="I55" s="404">
        <f>+G55-H55</f>
        <v>53797605.06643036</v>
      </c>
      <c r="J55" s="348">
        <f t="shared" si="1"/>
        <v>-0.44087744025417375</v>
      </c>
      <c r="K55" s="176">
        <f>+SUMPRODUCT(('2017'!$G55:$R55)*('2017'!$G$5:$R$5&lt;=Master!$B$3))</f>
        <v>-104898434.75000001</v>
      </c>
      <c r="L55" s="358">
        <f t="shared" si="7"/>
        <v>36672093.579999954</v>
      </c>
      <c r="M55" s="356">
        <f t="shared" si="2"/>
        <v>-0.34959619433215561</v>
      </c>
      <c r="N55" s="176">
        <f>'2018'!M55</f>
        <v>16961925.639999986</v>
      </c>
      <c r="O55" s="176">
        <f>+INDEX('2018'!$1:$1048576,MATCH(CONCATENATE('Analitika - 2018'!$A55,"p"),'2018'!$A:$A,0),MATCH('Analitika - 2018'!$O$6,'2018'!$101:$101,0))</f>
        <v>-1060945.4237637222</v>
      </c>
      <c r="P55" s="404">
        <f>N55-O55</f>
        <v>18022871.063763708</v>
      </c>
      <c r="Q55" s="348">
        <f t="shared" si="4"/>
        <v>-16.987557191987559</v>
      </c>
      <c r="R55" s="176">
        <f>'2017'!M55</f>
        <v>191515.55999997258</v>
      </c>
      <c r="S55" s="358">
        <f t="shared" si="5"/>
        <v>16770410.080000013</v>
      </c>
      <c r="T55" s="356">
        <f t="shared" si="6"/>
        <v>87.566827885955661</v>
      </c>
    </row>
    <row r="56" spans="1:20" ht="15.7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176">
        <f>+SUMPRODUCT(('2018'!$G56:$R56)*('2018'!$G$5:$R$5&lt;=Master!$B$3)*($A56='2018'!$A$10:$A$66))</f>
        <v>-2314442.6700000614</v>
      </c>
      <c r="H56" s="176">
        <f>+SUMPRODUCT(('2018'!$G150:$R150)*('2018'!$G$5:$R$5&lt;=Master!$B$3))</f>
        <v>-72164871.236430421</v>
      </c>
      <c r="I56" s="231">
        <f t="shared" si="0"/>
        <v>69850428.56643036</v>
      </c>
      <c r="J56" s="232">
        <f t="shared" si="1"/>
        <v>-0.96792840297022964</v>
      </c>
      <c r="K56" s="176">
        <f>+SUMPRODUCT(('2017'!$G56:$R56)*('2017'!$G$5:$R$5&lt;=Master!$B$3))</f>
        <v>-17415119.51000002</v>
      </c>
      <c r="L56" s="231">
        <f t="shared" si="7"/>
        <v>15100676.839999959</v>
      </c>
      <c r="M56" s="233">
        <f t="shared" si="2"/>
        <v>-0.86710153389007327</v>
      </c>
      <c r="N56" s="176">
        <f>'2018'!M56</f>
        <v>24452549.959999986</v>
      </c>
      <c r="O56" s="176">
        <f>+INDEX('2018'!$1:$1048576,MATCH(CONCATENATE('Analitika - 2018'!$A56,"p"),'2018'!$A:$A,0),MATCH('Analitika - 2018'!$O$6,'2018'!$101:$101,0))</f>
        <v>6061779.5762362778</v>
      </c>
      <c r="P56" s="231">
        <f t="shared" si="3"/>
        <v>18390770.383763708</v>
      </c>
      <c r="Q56" s="232">
        <f t="shared" si="4"/>
        <v>3.0338896610263131</v>
      </c>
      <c r="R56" s="176">
        <f>'2017'!M56</f>
        <v>6761734.6399999727</v>
      </c>
      <c r="S56" s="231">
        <f t="shared" si="5"/>
        <v>17690815.320000015</v>
      </c>
      <c r="T56" s="233">
        <f t="shared" si="6"/>
        <v>2.6163131595474862</v>
      </c>
    </row>
    <row r="57" spans="1:20">
      <c r="A57" s="169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182">
        <f>+SUMPRODUCT(('2018'!$G57:$R57)*('2018'!$G$5:$R$5&lt;=Master!$B$3)*($A57='2018'!$A$10:$A$66))</f>
        <v>191392645.81</v>
      </c>
      <c r="H57" s="182">
        <f>+SUMPRODUCT(('2018'!$G151:$R151)*('2018'!$G$5:$R$5&lt;=Master!$B$3))</f>
        <v>99516363.203010127</v>
      </c>
      <c r="I57" s="219">
        <f t="shared" si="0"/>
        <v>91876282.606989875</v>
      </c>
      <c r="J57" s="220">
        <f t="shared" si="1"/>
        <v>0.92322789589451992</v>
      </c>
      <c r="K57" s="182">
        <f>+SUMPRODUCT(('2017'!$G57:$R57)*('2017'!$G$5:$R$5&lt;=Master!$B$3))</f>
        <v>234121619.02999997</v>
      </c>
      <c r="L57" s="219">
        <f t="shared" si="7"/>
        <v>-42728973.219999969</v>
      </c>
      <c r="M57" s="221">
        <f t="shared" si="2"/>
        <v>-0.18250759326299015</v>
      </c>
      <c r="N57" s="182">
        <f>'2018'!M57</f>
        <v>43965766.020000003</v>
      </c>
      <c r="O57" s="182">
        <f>+INDEX('2018'!$1:$1048576,MATCH(CONCATENATE('Analitika - 2018'!$A57,"p"),'2018'!$A:$A,0),MATCH('Analitika - 2018'!$O$6,'2018'!$101:$101,0))</f>
        <v>6006605.7712436877</v>
      </c>
      <c r="P57" s="219">
        <f t="shared" si="3"/>
        <v>37959160.248756319</v>
      </c>
      <c r="Q57" s="220">
        <f t="shared" si="4"/>
        <v>6.3195691034833379</v>
      </c>
      <c r="R57" s="182">
        <f>'2017'!M57</f>
        <v>35563936.18</v>
      </c>
      <c r="S57" s="219">
        <f t="shared" si="5"/>
        <v>8401829.8400000036</v>
      </c>
      <c r="T57" s="221">
        <f t="shared" si="6"/>
        <v>0.2362457799236779</v>
      </c>
    </row>
    <row r="58" spans="1:20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188">
        <f>+SUMPRODUCT(('2018'!$G58:$R58)*('2018'!$G$5:$R$5&lt;=Master!$B$3)*($A58='2018'!$A$10:$A$66))</f>
        <v>132386056.02000001</v>
      </c>
      <c r="H58" s="188">
        <f>+SUMPRODUCT(('2018'!$G152:$R152)*('2018'!$G$5:$R$5&lt;=Master!$B$3))</f>
        <v>23350814.780000005</v>
      </c>
      <c r="I58" s="237">
        <f t="shared" si="0"/>
        <v>109035241.24000001</v>
      </c>
      <c r="J58" s="238">
        <f t="shared" si="1"/>
        <v>4.6694405427509444</v>
      </c>
      <c r="K58" s="188">
        <f>+SUMPRODUCT(('2017'!$G58:$R58)*('2017'!$G$5:$R$5&lt;=Master!$B$3))</f>
        <v>131098911.45999999</v>
      </c>
      <c r="L58" s="237">
        <f t="shared" si="7"/>
        <v>1287144.5600000173</v>
      </c>
      <c r="M58" s="239">
        <f t="shared" si="2"/>
        <v>9.8181178292449101E-3</v>
      </c>
      <c r="N58" s="188">
        <f>'2018'!M58</f>
        <v>42332347.200000003</v>
      </c>
      <c r="O58" s="188">
        <f>+INDEX('2018'!$1:$1048576,MATCH(CONCATENATE('Analitika - 2018'!$A58,"p"),'2018'!$A:$A,0),MATCH('Analitika - 2018'!$O$6,'2018'!$101:$101,0))</f>
        <v>82322.3</v>
      </c>
      <c r="P58" s="237">
        <f t="shared" si="3"/>
        <v>42250024.900000006</v>
      </c>
      <c r="Q58" s="238">
        <f t="shared" si="4"/>
        <v>513.22697373615654</v>
      </c>
      <c r="R58" s="188">
        <f>'2017'!M58</f>
        <v>25930516.890000001</v>
      </c>
      <c r="S58" s="237">
        <f t="shared" si="5"/>
        <v>16401830.310000002</v>
      </c>
      <c r="T58" s="239">
        <f t="shared" si="6"/>
        <v>0.63253001780019669</v>
      </c>
    </row>
    <row r="59" spans="1:20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188">
        <f>+SUMPRODUCT(('2018'!$G59:$R59)*('2018'!$G$5:$R$5&lt;=Master!$B$3)*($A59='2018'!$A$10:$A$66))</f>
        <v>59006589.789999999</v>
      </c>
      <c r="H59" s="188">
        <f>+SUMPRODUCT(('2018'!$G153:$R153)*('2018'!$G$5:$R$5&lt;=Master!$B$3))</f>
        <v>60898343.006343462</v>
      </c>
      <c r="I59" s="237">
        <f t="shared" si="0"/>
        <v>-1891753.2163434625</v>
      </c>
      <c r="J59" s="238">
        <f t="shared" si="1"/>
        <v>-3.1064116410300491E-2</v>
      </c>
      <c r="K59" s="188">
        <f>+SUMPRODUCT(('2017'!$G59:$R59)*('2017'!$G$5:$R$5&lt;=Master!$B$3))</f>
        <v>103022707.57000002</v>
      </c>
      <c r="L59" s="237">
        <f t="shared" si="7"/>
        <v>-44016117.780000024</v>
      </c>
      <c r="M59" s="239">
        <f t="shared" si="2"/>
        <v>-0.42724675771205822</v>
      </c>
      <c r="N59" s="188">
        <f>'2018'!M59</f>
        <v>1633418.82</v>
      </c>
      <c r="O59" s="188">
        <f>+INDEX('2018'!$1:$1048576,MATCH(CONCATENATE('Analitika - 2018'!$A59,"p"),'2018'!$A:$A,0),MATCH('Analitika - 2018'!$O$6,'2018'!$101:$101,0))</f>
        <v>2071825.5545770216</v>
      </c>
      <c r="P59" s="237">
        <f t="shared" si="3"/>
        <v>-438406.73457702156</v>
      </c>
      <c r="Q59" s="238">
        <f t="shared" si="4"/>
        <v>-0.21160407719100927</v>
      </c>
      <c r="R59" s="188">
        <f>'2017'!M59</f>
        <v>9633419.2899999991</v>
      </c>
      <c r="S59" s="237">
        <f t="shared" si="5"/>
        <v>-8000000.4699999988</v>
      </c>
      <c r="T59" s="239">
        <f t="shared" si="6"/>
        <v>-0.83044246587547832</v>
      </c>
    </row>
    <row r="60" spans="1:20">
      <c r="A60" s="169"/>
      <c r="B60" s="399" t="s">
        <v>369</v>
      </c>
      <c r="C60" s="400"/>
      <c r="D60" s="400"/>
      <c r="E60" s="400"/>
      <c r="F60" s="400"/>
      <c r="G60" s="188">
        <v>0</v>
      </c>
      <c r="H60" s="188">
        <f>+SUMPRODUCT(('2018'!$G154:$R154)*('2018'!$G$5:$R$5&lt;=Master!$B$3))</f>
        <v>15267205.416666666</v>
      </c>
      <c r="I60" s="237">
        <f t="shared" si="0"/>
        <v>-15267205.416666666</v>
      </c>
      <c r="J60" s="238">
        <f t="shared" si="1"/>
        <v>-1</v>
      </c>
      <c r="K60" s="188">
        <v>0</v>
      </c>
      <c r="L60" s="237">
        <f t="shared" si="7"/>
        <v>0</v>
      </c>
      <c r="M60" s="239" t="str">
        <f t="shared" si="2"/>
        <v>…</v>
      </c>
      <c r="N60" s="188">
        <f>'2018'!M60</f>
        <v>0</v>
      </c>
      <c r="O60" s="188">
        <f>'2018'!G154</f>
        <v>1807457.9166666667</v>
      </c>
      <c r="P60" s="237">
        <f t="shared" si="3"/>
        <v>-1807457.9166666667</v>
      </c>
      <c r="Q60" s="238">
        <f t="shared" si="4"/>
        <v>-1</v>
      </c>
      <c r="R60" s="188">
        <f>'2017'!M60</f>
        <v>-35372420.620000027</v>
      </c>
      <c r="S60" s="237">
        <f t="shared" ref="S60:S67" si="9">+N60-R60</f>
        <v>35372420.620000027</v>
      </c>
      <c r="T60" s="239">
        <f t="shared" ref="T60:T67" si="10">+IF(ISNUMBER(N60/R60-1),N60/R60-1,"…")</f>
        <v>-1</v>
      </c>
    </row>
    <row r="61" spans="1:20" ht="15.75" thickBot="1">
      <c r="A61" s="169">
        <v>4418</v>
      </c>
      <c r="B61" s="456" t="s">
        <v>340</v>
      </c>
      <c r="C61" s="457"/>
      <c r="D61" s="457"/>
      <c r="E61" s="457"/>
      <c r="F61" s="457"/>
      <c r="G61" s="436">
        <f>'2018'!S60</f>
        <v>68939595.359999999</v>
      </c>
      <c r="H61" s="436">
        <f>+SUMPRODUCT(('2018'!$G155:$R155)*('2018'!$G$5:$R$5&lt;=Master!$B$3))</f>
        <v>70000000</v>
      </c>
      <c r="I61" s="437">
        <f t="shared" si="0"/>
        <v>-1060404.6400000006</v>
      </c>
      <c r="J61" s="438">
        <f t="shared" si="1"/>
        <v>-1.5148637714285762E-2</v>
      </c>
      <c r="K61" s="436">
        <v>0</v>
      </c>
      <c r="L61" s="437">
        <f t="shared" si="7"/>
        <v>68939595.359999999</v>
      </c>
      <c r="M61" s="439" t="str">
        <f t="shared" si="2"/>
        <v>…</v>
      </c>
      <c r="N61" s="436">
        <f>+DataEx!EZ168</f>
        <v>0</v>
      </c>
      <c r="O61" s="436">
        <f>+'2018'!K155</f>
        <v>70000000</v>
      </c>
      <c r="P61" s="437">
        <f t="shared" ref="P61:P67" si="11">+N61-O61</f>
        <v>-70000000</v>
      </c>
      <c r="Q61" s="438">
        <f t="shared" ref="Q61:Q67" si="12">+IF(ISNUMBER(N61/O61-1),N61/O61-1,"…")</f>
        <v>-1</v>
      </c>
      <c r="R61" s="436">
        <f>+DataEx!EN168</f>
        <v>0</v>
      </c>
      <c r="S61" s="437">
        <f t="shared" si="9"/>
        <v>0</v>
      </c>
      <c r="T61" s="439" t="str">
        <f t="shared" si="10"/>
        <v>…</v>
      </c>
    </row>
    <row r="62" spans="1:20" ht="15.75" thickBot="1">
      <c r="A62" s="169">
        <v>1002</v>
      </c>
      <c r="B62" s="494" t="str">
        <f>+VLOOKUP($A62,Master!$D$25:$G$223,4,FALSE)</f>
        <v>Nedostajuća sredstva</v>
      </c>
      <c r="C62" s="495"/>
      <c r="D62" s="495"/>
      <c r="E62" s="495"/>
      <c r="F62" s="495"/>
      <c r="G62" s="393">
        <f>+SUMPRODUCT(('2018'!$G61:$R61)*('2018'!$G$5:$R$5&lt;=Master!$B$3)*($A62='2018'!$A$10:$A$66))</f>
        <v>-328558582.34000003</v>
      </c>
      <c r="H62" s="403">
        <f>+SUMPRODUCT(('2018'!$G156:$R156)*('2018'!$G$5:$R$5&lt;=Master!$B$3))</f>
        <v>-291540309.43944055</v>
      </c>
      <c r="I62" s="405">
        <f t="shared" si="0"/>
        <v>-37018272.900559485</v>
      </c>
      <c r="J62" s="406">
        <f t="shared" si="1"/>
        <v>0.12697480143221496</v>
      </c>
      <c r="K62" s="393">
        <f>+SUMPRODUCT(('2017'!$G60:$R60)*('2017'!$G$5:$R$5&lt;=Master!$B$3))</f>
        <v>-339020053.77999997</v>
      </c>
      <c r="L62" s="405">
        <f t="shared" si="7"/>
        <v>10461471.439999938</v>
      </c>
      <c r="M62" s="408">
        <f t="shared" si="2"/>
        <v>-3.085797233336729E-2</v>
      </c>
      <c r="N62" s="403">
        <f>'2018'!M61</f>
        <v>-27003840.380000018</v>
      </c>
      <c r="O62" s="403">
        <f>+INDEX('2018'!$1:$1048576,MATCH(CONCATENATE('Analitika - 2018'!$A62,"p"),'2018'!$A:$A,0),MATCH('Analitika - 2018'!$O$6,'2018'!$101:$101,0))</f>
        <v>-7067551.1950074099</v>
      </c>
      <c r="P62" s="405">
        <f t="shared" si="11"/>
        <v>-19936289.184992608</v>
      </c>
      <c r="Q62" s="406">
        <f t="shared" si="12"/>
        <v>2.8208199183722651</v>
      </c>
      <c r="R62" s="403">
        <f>'2017'!M60</f>
        <v>-35372420.620000027</v>
      </c>
      <c r="S62" s="405">
        <f t="shared" si="9"/>
        <v>8368580.2400000095</v>
      </c>
      <c r="T62" s="408">
        <f t="shared" si="10"/>
        <v>-0.23658488995995675</v>
      </c>
    </row>
    <row r="63" spans="1:20" ht="15.75" thickBot="1">
      <c r="A63" s="169">
        <v>1003</v>
      </c>
      <c r="B63" s="458" t="str">
        <f>+VLOOKUP($A63,Master!$D$25:$G$223,4,FALSE)</f>
        <v>Finansiranje</v>
      </c>
      <c r="C63" s="459"/>
      <c r="D63" s="459"/>
      <c r="E63" s="459"/>
      <c r="F63" s="459"/>
      <c r="G63" s="176">
        <f>+SUMPRODUCT(('2018'!$G62:$R62)*('2018'!$G$5:$R$5&lt;=Master!$B$3)*($A63='2018'!$A$10:$A$66))</f>
        <v>328558582.34000003</v>
      </c>
      <c r="H63" s="176">
        <f>+SUMPRODUCT(('2018'!$G157:$R157)*('2018'!$G$5:$R$5&lt;=Master!$B$3))</f>
        <v>291540309.43944055</v>
      </c>
      <c r="I63" s="404">
        <f t="shared" si="0"/>
        <v>37018272.900559485</v>
      </c>
      <c r="J63" s="407">
        <f t="shared" si="1"/>
        <v>0.12697480143221496</v>
      </c>
      <c r="K63" s="176">
        <f>+SUMPRODUCT(('2017'!$G61:$R61)*('2017'!$G$5:$R$5&lt;=Master!$B$3))</f>
        <v>339020053.77999997</v>
      </c>
      <c r="L63" s="404">
        <f t="shared" si="7"/>
        <v>-10461471.439999938</v>
      </c>
      <c r="M63" s="409">
        <f t="shared" si="2"/>
        <v>-3.085797233336729E-2</v>
      </c>
      <c r="N63" s="176">
        <f>'2018'!M62</f>
        <v>27003840.380000018</v>
      </c>
      <c r="O63" s="176">
        <f>+INDEX('2018'!$1:$1048576,MATCH(CONCATENATE('Analitika - 2018'!$A63,"p"),'2018'!$A:$A,0),MATCH('Analitika - 2018'!$O$6,'2018'!$101:$101,0))</f>
        <v>7067551.1950074099</v>
      </c>
      <c r="P63" s="404">
        <f t="shared" si="11"/>
        <v>19936289.184992608</v>
      </c>
      <c r="Q63" s="407">
        <f t="shared" si="12"/>
        <v>2.8208199183722651</v>
      </c>
      <c r="R63" s="176">
        <f>'2017'!M61</f>
        <v>35372420.620000027</v>
      </c>
      <c r="S63" s="404">
        <f t="shared" si="9"/>
        <v>-8368580.2400000095</v>
      </c>
      <c r="T63" s="409">
        <f t="shared" si="10"/>
        <v>-0.23658488995995675</v>
      </c>
    </row>
    <row r="64" spans="1:20">
      <c r="A64" s="169">
        <v>7511</v>
      </c>
      <c r="B64" s="492" t="str">
        <f>+VLOOKUP($A64,Master!$D$25:$G$223,4,FALSE)</f>
        <v>Pozajmice i krediti od domaćih izvora</v>
      </c>
      <c r="C64" s="493"/>
      <c r="D64" s="493"/>
      <c r="E64" s="493"/>
      <c r="F64" s="493"/>
      <c r="G64" s="188">
        <f>+SUMPRODUCT(('2018'!$G63:$R63)*('2018'!$G$5:$R$5&lt;=Master!$B$3)*($A64='2018'!$A$10:$A$66))</f>
        <v>138600000</v>
      </c>
      <c r="H64" s="188">
        <f>+SUMPRODUCT(('2018'!$G158:$R158)*('2018'!$G$5:$R$5&lt;=Master!$B$3))</f>
        <v>0</v>
      </c>
      <c r="I64" s="237">
        <f t="shared" si="0"/>
        <v>138600000</v>
      </c>
      <c r="J64" s="238" t="str">
        <f t="shared" si="1"/>
        <v>…</v>
      </c>
      <c r="K64" s="188">
        <f>+SUMPRODUCT(('2017'!$G62:$R62)*('2017'!$G$5:$R$5&lt;=Master!$B$3))</f>
        <v>206985000</v>
      </c>
      <c r="L64" s="237">
        <f t="shared" si="7"/>
        <v>-68385000</v>
      </c>
      <c r="M64" s="239">
        <f t="shared" si="2"/>
        <v>-0.33038625987390391</v>
      </c>
      <c r="N64" s="188">
        <f>'2018'!M63</f>
        <v>18000000</v>
      </c>
      <c r="O64" s="188">
        <f>+INDEX('2018'!$1:$1048576,MATCH(CONCATENATE('Analitika - 2018'!$A64,"p"),'2018'!$A:$A,0),MATCH('Analitika - 2018'!$O$6,'2018'!$101:$101,0))</f>
        <v>0</v>
      </c>
      <c r="P64" s="237">
        <f t="shared" si="11"/>
        <v>18000000</v>
      </c>
      <c r="Q64" s="238" t="str">
        <f t="shared" si="12"/>
        <v>…</v>
      </c>
      <c r="R64" s="188">
        <f>'2017'!M62</f>
        <v>24450000</v>
      </c>
      <c r="S64" s="237">
        <f t="shared" si="9"/>
        <v>-6450000</v>
      </c>
      <c r="T64" s="239">
        <f t="shared" si="10"/>
        <v>-0.26380368098159512</v>
      </c>
    </row>
    <row r="65" spans="1:20">
      <c r="A65" s="169">
        <v>7512</v>
      </c>
      <c r="B65" s="468" t="str">
        <f>+VLOOKUP($A65,Master!$D$25:$G$223,4,FALSE)</f>
        <v>Pozajmice i krediti od inostranih izvora</v>
      </c>
      <c r="C65" s="469"/>
      <c r="D65" s="469"/>
      <c r="E65" s="469"/>
      <c r="F65" s="469"/>
      <c r="G65" s="188">
        <f>+SUMPRODUCT(('2018'!$G64:$R64)*('2018'!$G$5:$R$5&lt;=Master!$B$3)*($A65='2018'!$A$10:$A$66))</f>
        <v>407950741.17999995</v>
      </c>
      <c r="H65" s="188">
        <f>+SUMPRODUCT(('2018'!$G159:$R159)*('2018'!$G$5:$R$5&lt;=Master!$B$3))</f>
        <v>172608333.31</v>
      </c>
      <c r="I65" s="237">
        <f t="shared" si="0"/>
        <v>235342407.86999995</v>
      </c>
      <c r="J65" s="238">
        <f t="shared" si="1"/>
        <v>1.363447542520043</v>
      </c>
      <c r="K65" s="188">
        <f>+SUMPRODUCT(('2017'!$G63:$R63)*('2017'!$G$5:$R$5&lt;=Master!$B$3))</f>
        <v>107278653.20999999</v>
      </c>
      <c r="L65" s="237">
        <f t="shared" si="7"/>
        <v>300672087.96999997</v>
      </c>
      <c r="M65" s="239">
        <f t="shared" si="2"/>
        <v>2.8027205690346304</v>
      </c>
      <c r="N65" s="188">
        <f>'2018'!M64</f>
        <v>3115189.9</v>
      </c>
      <c r="O65" s="188">
        <f>+INDEX('2018'!$1:$1048576,MATCH(CONCATENATE('Analitika - 2018'!$A65,"p"),'2018'!$A:$A,0),MATCH('Analitika - 2018'!$O$6,'2018'!$101:$101,0))</f>
        <v>24658333.329999998</v>
      </c>
      <c r="P65" s="237">
        <f t="shared" si="11"/>
        <v>-21543143.43</v>
      </c>
      <c r="Q65" s="238">
        <f t="shared" si="12"/>
        <v>-0.87366583709005285</v>
      </c>
      <c r="R65" s="188">
        <f>'2017'!M63</f>
        <v>733759.27</v>
      </c>
      <c r="S65" s="237">
        <f t="shared" si="9"/>
        <v>2381430.63</v>
      </c>
      <c r="T65" s="239">
        <f t="shared" si="10"/>
        <v>3.2455203325744693</v>
      </c>
    </row>
    <row r="66" spans="1:20">
      <c r="A66" s="169">
        <v>72</v>
      </c>
      <c r="B66" s="468" t="str">
        <f>+VLOOKUP($A66,Master!$D$25:$G$223,4,FALSE)</f>
        <v>Primici od prodaje imovine</v>
      </c>
      <c r="C66" s="469"/>
      <c r="D66" s="469"/>
      <c r="E66" s="469"/>
      <c r="F66" s="469"/>
      <c r="G66" s="188">
        <f>+SUMPRODUCT(('2018'!$G65:$R65)*('2018'!$G$5:$R$5&lt;=Master!$B$3)*($A66='2018'!$A$10:$A$66))</f>
        <v>13795538.260000002</v>
      </c>
      <c r="H66" s="188">
        <f>+SUMPRODUCT(('2018'!$G160:$R160)*('2018'!$G$5:$R$5&lt;=Master!$B$3))</f>
        <v>0</v>
      </c>
      <c r="I66" s="237">
        <f t="shared" si="0"/>
        <v>13795538.260000002</v>
      </c>
      <c r="J66" s="238" t="str">
        <f t="shared" si="1"/>
        <v>…</v>
      </c>
      <c r="K66" s="188">
        <f>+SUMPRODUCT(('2017'!$G64:$R64)*('2017'!$G$5:$R$5&lt;=Master!$B$3))</f>
        <v>4392299.47</v>
      </c>
      <c r="L66" s="237">
        <f t="shared" si="7"/>
        <v>9403238.7900000028</v>
      </c>
      <c r="M66" s="239">
        <f t="shared" si="2"/>
        <v>2.1408464641870157</v>
      </c>
      <c r="N66" s="188">
        <f>'2018'!M65</f>
        <v>406327.81</v>
      </c>
      <c r="O66" s="188">
        <f>+INDEX('2018'!$1:$1048576,MATCH(CONCATENATE('Analitika - 2018'!$A66,"p"),'2018'!$A:$A,0),MATCH('Analitika - 2018'!$O$6,'2018'!$101:$101,0))</f>
        <v>0</v>
      </c>
      <c r="P66" s="237">
        <f t="shared" si="11"/>
        <v>406327.81</v>
      </c>
      <c r="Q66" s="238" t="str">
        <f t="shared" si="12"/>
        <v>…</v>
      </c>
      <c r="R66" s="188">
        <f>'2017'!M64</f>
        <v>1009041.84</v>
      </c>
      <c r="S66" s="237">
        <f t="shared" si="9"/>
        <v>-602714.03</v>
      </c>
      <c r="T66" s="239">
        <f t="shared" si="10"/>
        <v>-0.59731321943993909</v>
      </c>
    </row>
    <row r="67" spans="1:20" ht="15.75" thickBot="1">
      <c r="A67" s="169">
        <v>1004</v>
      </c>
      <c r="B67" s="248" t="str">
        <f>+VLOOKUP($A67,Master!$D$25:$G$223,4,FALSE)</f>
        <v>Povećanje / smanjenje depozita</v>
      </c>
      <c r="C67" s="249"/>
      <c r="D67" s="249"/>
      <c r="E67" s="249"/>
      <c r="F67" s="249"/>
      <c r="G67" s="394">
        <f>+SUMPRODUCT(('2018'!$G66:$R66)*('2018'!$G$5:$R$5&lt;=Master!$B$3)*($A67='2018'!$A$10:$A$66))</f>
        <v>-231787697.09999996</v>
      </c>
      <c r="H67" s="398">
        <f>+SUMPRODUCT(('2018'!$G161:$R161)*('2018'!$G$5:$R$5&lt;=Master!$B$3))</f>
        <v>118931976.12944056</v>
      </c>
      <c r="I67" s="251">
        <f t="shared" si="0"/>
        <v>-350719673.22944051</v>
      </c>
      <c r="J67" s="252" t="str">
        <f>+IF(ISNUMBER(G66/H66-1),G66/H66-1,"…")</f>
        <v>…</v>
      </c>
      <c r="K67" s="394">
        <f>+SUMPRODUCT(('2017'!$G65:$R65)*('2017'!$G$5:$R$5&lt;=Master!$B$3))</f>
        <v>20364101.100000031</v>
      </c>
      <c r="L67" s="251">
        <f t="shared" si="7"/>
        <v>-252151798.19999999</v>
      </c>
      <c r="M67" s="253">
        <f t="shared" si="2"/>
        <v>-12.382171791515983</v>
      </c>
      <c r="N67" s="398">
        <f>'2018'!M66</f>
        <v>5482322.6700000204</v>
      </c>
      <c r="O67" s="398">
        <f>+INDEX('2018'!$1:$1048576,MATCH(CONCATENATE('Analitika - 2018'!$A67,"p"),'2018'!$A:$A,0),MATCH('Analitika - 2018'!$O$6,'2018'!$101:$101,0))</f>
        <v>-17590782.134992588</v>
      </c>
      <c r="P67" s="251">
        <f t="shared" si="11"/>
        <v>23073104.804992609</v>
      </c>
      <c r="Q67" s="252">
        <f t="shared" si="12"/>
        <v>-1.31165883517449</v>
      </c>
      <c r="R67" s="398">
        <f>'2017'!M65</f>
        <v>9179619.5100000277</v>
      </c>
      <c r="S67" s="251">
        <f t="shared" si="9"/>
        <v>-3697296.8400000073</v>
      </c>
      <c r="T67" s="253">
        <f t="shared" si="10"/>
        <v>-0.40277234105098503</v>
      </c>
    </row>
    <row r="69" spans="1:20">
      <c r="H69" s="395"/>
    </row>
    <row r="70" spans="1:20">
      <c r="H70" s="364"/>
    </row>
  </sheetData>
  <mergeCells count="63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61"/>
  <sheetViews>
    <sheetView zoomScaleNormal="100" workbookViewId="0">
      <pane ySplit="1" topLeftCell="A2" activePane="bottomLeft" state="frozen"/>
      <selection pane="bottomLeft" activeCell="L122" sqref="L12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760</v>
      </c>
      <c r="H6" s="259" t="s">
        <v>761</v>
      </c>
      <c r="I6" s="259" t="s">
        <v>762</v>
      </c>
      <c r="J6" s="259" t="s">
        <v>763</v>
      </c>
      <c r="K6" s="259" t="s">
        <v>764</v>
      </c>
      <c r="L6" s="259" t="s">
        <v>765</v>
      </c>
      <c r="M6" s="259" t="s">
        <v>766</v>
      </c>
      <c r="N6" s="259" t="s">
        <v>767</v>
      </c>
      <c r="O6" s="259" t="s">
        <v>768</v>
      </c>
      <c r="P6" s="259" t="s">
        <v>769</v>
      </c>
      <c r="Q6" s="259" t="s">
        <v>770</v>
      </c>
      <c r="R6" s="259" t="s">
        <v>771</v>
      </c>
      <c r="S6" s="258"/>
      <c r="T6" s="258"/>
    </row>
    <row r="7" spans="1:20" ht="15" customHeight="1" thickBot="1">
      <c r="A7" s="169"/>
      <c r="B7" s="498" t="str">
        <f>+Master!G249</f>
        <v>Ostvarenje budžeta</v>
      </c>
      <c r="C7" s="479"/>
      <c r="D7" s="479"/>
      <c r="E7" s="479"/>
      <c r="F7" s="479"/>
      <c r="G7" s="487">
        <v>2018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+Master!G246</f>
        <v>BDP</v>
      </c>
      <c r="T7" s="261">
        <v>4430900000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+Master!G229</f>
        <v>Januar</v>
      </c>
      <c r="H8" s="170" t="str">
        <f>+Master!G230</f>
        <v>Februar</v>
      </c>
      <c r="I8" s="170" t="str">
        <f>+Master!G231</f>
        <v>Mart</v>
      </c>
      <c r="J8" s="170" t="str">
        <f>+Master!G232</f>
        <v>April</v>
      </c>
      <c r="K8" s="170" t="str">
        <f>+Master!G233</f>
        <v>Maj</v>
      </c>
      <c r="L8" s="170" t="str">
        <f>+Master!G234</f>
        <v>Jun</v>
      </c>
      <c r="M8" s="170" t="str">
        <f>+Master!G235</f>
        <v>Jul</v>
      </c>
      <c r="N8" s="170" t="str">
        <f>+Master!G236</f>
        <v>Avgust</v>
      </c>
      <c r="O8" s="170" t="str">
        <f>+Master!G237</f>
        <v>Septembar</v>
      </c>
      <c r="P8" s="170" t="str">
        <f>+Master!G238</f>
        <v>Oktobar</v>
      </c>
      <c r="Q8" s="170" t="str">
        <f>+Master!G239</f>
        <v>Novembar</v>
      </c>
      <c r="R8" s="170" t="str">
        <f>+Master!G240</f>
        <v>Decembar</v>
      </c>
      <c r="S8" s="487" t="str">
        <f>+Master!G243</f>
        <v>Jan - Jul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BDP</v>
      </c>
    </row>
    <row r="10" spans="1:20" ht="13.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 t="shared" ref="G10:R10" si="1">+G11+G19+SUM(G24:G28)</f>
        <v>81544844.829999998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156827966.73000002</v>
      </c>
      <c r="K10" s="176">
        <f t="shared" si="1"/>
        <v>138841162.98999998</v>
      </c>
      <c r="L10" s="176">
        <f t="shared" si="1"/>
        <v>140631647.13000003</v>
      </c>
      <c r="M10" s="176">
        <f t="shared" si="1"/>
        <v>160547184.50999999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924331269.88</v>
      </c>
      <c r="T10" s="265">
        <f>+S10/$T$7</f>
        <v>0.20861027553770115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595227243.5</v>
      </c>
      <c r="T11" s="268">
        <f t="shared" ref="T11:T66" si="4">+S11/$T$7</f>
        <v>0.13433551727639984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0</v>
      </c>
      <c r="O12" s="188">
        <f>+INDEX(DataEx!$1:$1048576,MATCH('2018'!$A12,DataEx!$D:$D,0),MATCH('2018'!O$6,DataEx!$7:$7,0))</f>
        <v>0</v>
      </c>
      <c r="P12" s="188">
        <f>+INDEX(DataEx!$1:$1048576,MATCH('2018'!$A12,DataEx!$D:$D,0),MATCH('2018'!P$6,DataEx!$7:$7,0))</f>
        <v>0</v>
      </c>
      <c r="Q12" s="188">
        <f>+INDEX(DataEx!$1:$1048576,MATCH('2018'!$A12,DataEx!$D:$D,0),MATCH('2018'!Q$6,DataEx!$7:$7,0))</f>
        <v>0</v>
      </c>
      <c r="R12" s="188">
        <f>+INDEX(DataEx!$1:$1048576,MATCH('2018'!$A12,DataEx!$D:$D,0),MATCH('2018'!R$6,DataEx!$7:$7,0))</f>
        <v>0</v>
      </c>
      <c r="S12" s="269">
        <f t="shared" si="3"/>
        <v>64419785.760000005</v>
      </c>
      <c r="T12" s="270">
        <f t="shared" si="4"/>
        <v>1.4538758663025571E-2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0</v>
      </c>
      <c r="O13" s="188">
        <f>+INDEX(DataEx!$1:$1048576,MATCH('2018'!$A13,DataEx!$D:$D,0),MATCH('2018'!O$6,DataEx!$7:$7,0))</f>
        <v>0</v>
      </c>
      <c r="P13" s="188">
        <f>+INDEX(DataEx!$1:$1048576,MATCH('2018'!$A13,DataEx!$D:$D,0),MATCH('2018'!P$6,DataEx!$7:$7,0))</f>
        <v>0</v>
      </c>
      <c r="Q13" s="188">
        <f>+INDEX(DataEx!$1:$1048576,MATCH('2018'!$A13,DataEx!$D:$D,0),MATCH('2018'!Q$6,DataEx!$7:$7,0))</f>
        <v>0</v>
      </c>
      <c r="R13" s="188">
        <f>+INDEX(DataEx!$1:$1048576,MATCH('2018'!$A13,DataEx!$D:$D,0),MATCH('2018'!R$6,DataEx!$7:$7,0))</f>
        <v>0</v>
      </c>
      <c r="S13" s="269">
        <f t="shared" si="3"/>
        <v>53840951.069999993</v>
      </c>
      <c r="T13" s="270">
        <f t="shared" si="4"/>
        <v>1.215124490961204E-2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0</v>
      </c>
      <c r="O14" s="188">
        <f>+INDEX(DataEx!$1:$1048576,MATCH('2018'!$A14,DataEx!$D:$D,0),MATCH('2018'!O$6,DataEx!$7:$7,0))</f>
        <v>0</v>
      </c>
      <c r="P14" s="188">
        <f>+INDEX(DataEx!$1:$1048576,MATCH('2018'!$A14,DataEx!$D:$D,0),MATCH('2018'!P$6,DataEx!$7:$7,0))</f>
        <v>0</v>
      </c>
      <c r="Q14" s="188">
        <f>+INDEX(DataEx!$1:$1048576,MATCH('2018'!$A14,DataEx!$D:$D,0),MATCH('2018'!Q$6,DataEx!$7:$7,0))</f>
        <v>0</v>
      </c>
      <c r="R14" s="188">
        <f>+INDEX(DataEx!$1:$1048576,MATCH('2018'!$A14,DataEx!$D:$D,0),MATCH('2018'!R$6,DataEx!$7:$7,0))</f>
        <v>0</v>
      </c>
      <c r="S14" s="269">
        <f t="shared" si="3"/>
        <v>911002</v>
      </c>
      <c r="T14" s="270">
        <f t="shared" si="4"/>
        <v>2.0560202216254035E-4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0</v>
      </c>
      <c r="O15" s="188">
        <f>+INDEX(DataEx!$1:$1048576,MATCH('2018'!$A15,DataEx!$D:$D,0),MATCH('2018'!O$6,DataEx!$7:$7,0))</f>
        <v>0</v>
      </c>
      <c r="P15" s="188">
        <f>+INDEX(DataEx!$1:$1048576,MATCH('2018'!$A15,DataEx!$D:$D,0),MATCH('2018'!P$6,DataEx!$7:$7,0))</f>
        <v>0</v>
      </c>
      <c r="Q15" s="188">
        <f>+INDEX(DataEx!$1:$1048576,MATCH('2018'!$A15,DataEx!$D:$D,0),MATCH('2018'!Q$6,DataEx!$7:$7,0))</f>
        <v>0</v>
      </c>
      <c r="R15" s="188">
        <f>+INDEX(DataEx!$1:$1048576,MATCH('2018'!$A15,DataEx!$D:$D,0),MATCH('2018'!R$6,DataEx!$7:$7,0))</f>
        <v>0</v>
      </c>
      <c r="S15" s="269">
        <f t="shared" si="3"/>
        <v>339914116.93000001</v>
      </c>
      <c r="T15" s="270">
        <f t="shared" si="4"/>
        <v>7.6714463637184316E-2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0</v>
      </c>
      <c r="O16" s="188">
        <f>+INDEX(DataEx!$1:$1048576,MATCH('2018'!$A16,DataEx!$D:$D,0),MATCH('2018'!O$6,DataEx!$7:$7,0))</f>
        <v>0</v>
      </c>
      <c r="P16" s="188">
        <f>+INDEX(DataEx!$1:$1048576,MATCH('2018'!$A16,DataEx!$D:$D,0),MATCH('2018'!P$6,DataEx!$7:$7,0))</f>
        <v>0</v>
      </c>
      <c r="Q16" s="188">
        <f>+INDEX(DataEx!$1:$1048576,MATCH('2018'!$A16,DataEx!$D:$D,0),MATCH('2018'!Q$6,DataEx!$7:$7,0))</f>
        <v>0</v>
      </c>
      <c r="R16" s="188">
        <f>+INDEX(DataEx!$1:$1048576,MATCH('2018'!$A16,DataEx!$D:$D,0),MATCH('2018'!R$6,DataEx!$7:$7,0))</f>
        <v>0</v>
      </c>
      <c r="S16" s="269">
        <f t="shared" si="3"/>
        <v>115841771.42999999</v>
      </c>
      <c r="T16" s="270">
        <f t="shared" si="4"/>
        <v>2.6144072633099369E-2</v>
      </c>
    </row>
    <row r="17" spans="1:25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0</v>
      </c>
      <c r="O17" s="188">
        <f>+INDEX(DataEx!$1:$1048576,MATCH('2018'!$A17,DataEx!$D:$D,0),MATCH('2018'!O$6,DataEx!$7:$7,0))</f>
        <v>0</v>
      </c>
      <c r="P17" s="188">
        <f>+INDEX(DataEx!$1:$1048576,MATCH('2018'!$A17,DataEx!$D:$D,0),MATCH('2018'!P$6,DataEx!$7:$7,0))</f>
        <v>0</v>
      </c>
      <c r="Q17" s="188">
        <f>+INDEX(DataEx!$1:$1048576,MATCH('2018'!$A17,DataEx!$D:$D,0),MATCH('2018'!Q$6,DataEx!$7:$7,0))</f>
        <v>0</v>
      </c>
      <c r="R17" s="188">
        <f>+INDEX(DataEx!$1:$1048576,MATCH('2018'!$A17,DataEx!$D:$D,0),MATCH('2018'!R$6,DataEx!$7:$7,0))</f>
        <v>0</v>
      </c>
      <c r="S17" s="269">
        <f t="shared" si="3"/>
        <v>15048442.43</v>
      </c>
      <c r="T17" s="270">
        <f t="shared" si="4"/>
        <v>3.3962496174592067E-3</v>
      </c>
    </row>
    <row r="18" spans="1:25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0</v>
      </c>
      <c r="O18" s="188">
        <f>+INDEX(DataEx!$1:$1048576,MATCH('2018'!$A18,DataEx!$D:$D,0),MATCH('2018'!O$6,DataEx!$7:$7,0))</f>
        <v>0</v>
      </c>
      <c r="P18" s="188">
        <f>+INDEX(DataEx!$1:$1048576,MATCH('2018'!$A18,DataEx!$D:$D,0),MATCH('2018'!P$6,DataEx!$7:$7,0))</f>
        <v>0</v>
      </c>
      <c r="Q18" s="188">
        <f>+INDEX(DataEx!$1:$1048576,MATCH('2018'!$A18,DataEx!$D:$D,0),MATCH('2018'!Q$6,DataEx!$7:$7,0))</f>
        <v>0</v>
      </c>
      <c r="R18" s="188">
        <f>+INDEX(DataEx!$1:$1048576,MATCH('2018'!$A18,DataEx!$D:$D,0),MATCH('2018'!R$6,DataEx!$7:$7,0))</f>
        <v>0</v>
      </c>
      <c r="S18" s="269">
        <f t="shared" si="3"/>
        <v>5251173.88</v>
      </c>
      <c r="T18" s="270">
        <f t="shared" si="4"/>
        <v>1.1851257938567785E-3</v>
      </c>
    </row>
    <row r="19" spans="1:25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0</v>
      </c>
      <c r="O19" s="194">
        <f>+INDEX(DataEx!$1:$1048576,MATCH('2018'!$A19,DataEx!$D:$D,0),MATCH('2018'!O$6,DataEx!$7:$7,0))</f>
        <v>0</v>
      </c>
      <c r="P19" s="194">
        <f>+INDEX(DataEx!$1:$1048576,MATCH('2018'!$A19,DataEx!$D:$D,0),MATCH('2018'!P$6,DataEx!$7:$7,0))</f>
        <v>0</v>
      </c>
      <c r="Q19" s="194">
        <f>+INDEX(DataEx!$1:$1048576,MATCH('2018'!$A19,DataEx!$D:$D,0),MATCH('2018'!Q$6,DataEx!$7:$7,0))</f>
        <v>0</v>
      </c>
      <c r="R19" s="194">
        <f>+INDEX(DataEx!$1:$1048576,MATCH('2018'!$A19,DataEx!$D:$D,0),MATCH('2018'!R$6,DataEx!$7:$7,0))</f>
        <v>0</v>
      </c>
      <c r="S19" s="272">
        <f t="shared" si="3"/>
        <v>263733114.03999999</v>
      </c>
      <c r="T19" s="273">
        <f t="shared" si="4"/>
        <v>5.9521341948588324E-2</v>
      </c>
    </row>
    <row r="20" spans="1:25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0</v>
      </c>
      <c r="O20" s="188">
        <f>+INDEX(DataEx!$1:$1048576,MATCH('2018'!$A20,DataEx!$D:$D,0),MATCH('2018'!O$6,DataEx!$7:$7,0))</f>
        <v>0</v>
      </c>
      <c r="P20" s="188">
        <f>+INDEX(DataEx!$1:$1048576,MATCH('2018'!$A20,DataEx!$D:$D,0),MATCH('2018'!P$6,DataEx!$7:$7,0))</f>
        <v>0</v>
      </c>
      <c r="Q20" s="188">
        <f>+INDEX(DataEx!$1:$1048576,MATCH('2018'!$A20,DataEx!$D:$D,0),MATCH('2018'!Q$6,DataEx!$7:$7,0))</f>
        <v>0</v>
      </c>
      <c r="R20" s="188">
        <f>+INDEX(DataEx!$1:$1048576,MATCH('2018'!$A20,DataEx!$D:$D,0),MATCH('2018'!R$6,DataEx!$7:$7,0))</f>
        <v>0</v>
      </c>
      <c r="S20" s="269">
        <f t="shared" si="3"/>
        <v>159119151.12</v>
      </c>
      <c r="T20" s="270">
        <f t="shared" si="4"/>
        <v>3.5911248531900967E-2</v>
      </c>
    </row>
    <row r="21" spans="1:25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0</v>
      </c>
      <c r="O21" s="188">
        <f>+INDEX(DataEx!$1:$1048576,MATCH('2018'!$A21,DataEx!$D:$D,0),MATCH('2018'!O$6,DataEx!$7:$7,0))</f>
        <v>0</v>
      </c>
      <c r="P21" s="188">
        <f>+INDEX(DataEx!$1:$1048576,MATCH('2018'!$A21,DataEx!$D:$D,0),MATCH('2018'!P$6,DataEx!$7:$7,0))</f>
        <v>0</v>
      </c>
      <c r="Q21" s="188">
        <f>+INDEX(DataEx!$1:$1048576,MATCH('2018'!$A21,DataEx!$D:$D,0),MATCH('2018'!Q$6,DataEx!$7:$7,0))</f>
        <v>0</v>
      </c>
      <c r="R21" s="188">
        <f>+INDEX(DataEx!$1:$1048576,MATCH('2018'!$A21,DataEx!$D:$D,0),MATCH('2018'!R$6,DataEx!$7:$7,0))</f>
        <v>0</v>
      </c>
      <c r="S21" s="269">
        <f t="shared" si="3"/>
        <v>91525341.310000002</v>
      </c>
      <c r="T21" s="270">
        <f t="shared" si="4"/>
        <v>2.0656151416190843E-2</v>
      </c>
    </row>
    <row r="22" spans="1:25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0</v>
      </c>
      <c r="O22" s="188">
        <f>+INDEX(DataEx!$1:$1048576,MATCH('2018'!$A22,DataEx!$D:$D,0),MATCH('2018'!O$6,DataEx!$7:$7,0))</f>
        <v>0</v>
      </c>
      <c r="P22" s="188">
        <f>+INDEX(DataEx!$1:$1048576,MATCH('2018'!$A22,DataEx!$D:$D,0),MATCH('2018'!P$6,DataEx!$7:$7,0))</f>
        <v>0</v>
      </c>
      <c r="Q22" s="188">
        <f>+INDEX(DataEx!$1:$1048576,MATCH('2018'!$A22,DataEx!$D:$D,0),MATCH('2018'!Q$6,DataEx!$7:$7,0))</f>
        <v>0</v>
      </c>
      <c r="R22" s="188">
        <f>+INDEX(DataEx!$1:$1048576,MATCH('2018'!$A22,DataEx!$D:$D,0),MATCH('2018'!R$6,DataEx!$7:$7,0))</f>
        <v>0</v>
      </c>
      <c r="S22" s="269">
        <f t="shared" si="3"/>
        <v>6788251.9100000001</v>
      </c>
      <c r="T22" s="270">
        <f t="shared" si="4"/>
        <v>1.532025527545194E-3</v>
      </c>
    </row>
    <row r="23" spans="1:25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0</v>
      </c>
      <c r="O23" s="188">
        <f>+INDEX(DataEx!$1:$1048576,MATCH('2018'!$A23,DataEx!$D:$D,0),MATCH('2018'!O$6,DataEx!$7:$7,0))</f>
        <v>0</v>
      </c>
      <c r="P23" s="188">
        <f>+INDEX(DataEx!$1:$1048576,MATCH('2018'!$A23,DataEx!$D:$D,0),MATCH('2018'!P$6,DataEx!$7:$7,0))</f>
        <v>0</v>
      </c>
      <c r="Q23" s="188">
        <f>+INDEX(DataEx!$1:$1048576,MATCH('2018'!$A23,DataEx!$D:$D,0),MATCH('2018'!Q$6,DataEx!$7:$7,0))</f>
        <v>0</v>
      </c>
      <c r="R23" s="188">
        <f>+INDEX(DataEx!$1:$1048576,MATCH('2018'!$A23,DataEx!$D:$D,0),MATCH('2018'!R$6,DataEx!$7:$7,0))</f>
        <v>0</v>
      </c>
      <c r="S23" s="269">
        <f t="shared" si="3"/>
        <v>6300369.6999999993</v>
      </c>
      <c r="T23" s="270">
        <f t="shared" si="4"/>
        <v>1.421916472951319E-3</v>
      </c>
      <c r="Y23" s="379"/>
    </row>
    <row r="24" spans="1:25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1539773.02</v>
      </c>
      <c r="M24" s="200">
        <f>+INDEX(DataEx!$1:$1048576,MATCH('2018'!$A24,DataEx!$D:$D,0),MATCH('2018'!M$6,DataEx!$7:$7,0))</f>
        <v>1957332.54</v>
      </c>
      <c r="N24" s="200">
        <f>+INDEX(DataEx!$1:$1048576,MATCH('2018'!$A24,DataEx!$D:$D,0),MATCH('2018'!N$6,DataEx!$7:$7,0))</f>
        <v>0</v>
      </c>
      <c r="O24" s="200">
        <f>+INDEX(DataEx!$1:$1048576,MATCH('2018'!$A24,DataEx!$D:$D,0),MATCH('2018'!O$6,DataEx!$7:$7,0))</f>
        <v>0</v>
      </c>
      <c r="P24" s="200">
        <f>+INDEX(DataEx!$1:$1048576,MATCH('2018'!$A24,DataEx!$D:$D,0),MATCH('2018'!P$6,DataEx!$7:$7,0))</f>
        <v>0</v>
      </c>
      <c r="Q24" s="200">
        <f>+INDEX(DataEx!$1:$1048576,MATCH('2018'!$A24,DataEx!$D:$D,0),MATCH('2018'!Q$6,DataEx!$7:$7,0))</f>
        <v>0</v>
      </c>
      <c r="R24" s="274">
        <f>+INDEX(DataEx!$1:$1048576,MATCH('2018'!$A24,DataEx!$D:$D,0),MATCH('2018'!R$6,DataEx!$7:$7,0))</f>
        <v>0</v>
      </c>
      <c r="S24" s="272">
        <f t="shared" si="3"/>
        <v>8946177.5799999982</v>
      </c>
      <c r="T24" s="273">
        <f t="shared" si="4"/>
        <v>2.0190429890090044E-3</v>
      </c>
      <c r="Y24" s="379"/>
    </row>
    <row r="25" spans="1:25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0</v>
      </c>
      <c r="O25" s="200">
        <f>+INDEX(DataEx!$1:$1048576,MATCH('2018'!$A25,DataEx!$D:$D,0),MATCH('2018'!O$6,DataEx!$7:$7,0))</f>
        <v>0</v>
      </c>
      <c r="P25" s="200">
        <f>+INDEX(DataEx!$1:$1048576,MATCH('2018'!$A25,DataEx!$D:$D,0),MATCH('2018'!P$6,DataEx!$7:$7,0))</f>
        <v>0</v>
      </c>
      <c r="Q25" s="200">
        <f>+INDEX(DataEx!$1:$1048576,MATCH('2018'!$A25,DataEx!$D:$D,0),MATCH('2018'!Q$6,DataEx!$7:$7,0))</f>
        <v>0</v>
      </c>
      <c r="R25" s="274">
        <f>+INDEX(DataEx!$1:$1048576,MATCH('2018'!$A25,DataEx!$D:$D,0),MATCH('2018'!R$6,DataEx!$7:$7,0))</f>
        <v>0</v>
      </c>
      <c r="S25" s="272">
        <f t="shared" si="3"/>
        <v>15481485.649999999</v>
      </c>
      <c r="T25" s="273">
        <f t="shared" si="4"/>
        <v>3.4939821819494907E-3</v>
      </c>
      <c r="W25" s="366"/>
    </row>
    <row r="26" spans="1:25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2742350.96</v>
      </c>
      <c r="M26" s="200">
        <f>+INDEX(DataEx!$1:$1048576,MATCH('2018'!$A26,DataEx!$D:$D,0),MATCH('2018'!M$6,DataEx!$7:$7,0))</f>
        <v>3770774.03</v>
      </c>
      <c r="N26" s="200">
        <f>+INDEX(DataEx!$1:$1048576,MATCH('2018'!$A26,DataEx!$D:$D,0),MATCH('2018'!N$6,DataEx!$7:$7,0))</f>
        <v>0</v>
      </c>
      <c r="O26" s="200">
        <f>+INDEX(DataEx!$1:$1048576,MATCH('2018'!$A26,DataEx!$D:$D,0),MATCH('2018'!O$6,DataEx!$7:$7,0))</f>
        <v>0</v>
      </c>
      <c r="P26" s="200">
        <f>+INDEX(DataEx!$1:$1048576,MATCH('2018'!$A26,DataEx!$D:$D,0),MATCH('2018'!P$6,DataEx!$7:$7,0))</f>
        <v>0</v>
      </c>
      <c r="Q26" s="200">
        <f>+INDEX(DataEx!$1:$1048576,MATCH('2018'!$A26,DataEx!$D:$D,0),MATCH('2018'!Q$6,DataEx!$7:$7,0))</f>
        <v>0</v>
      </c>
      <c r="R26" s="274">
        <f>+INDEX(DataEx!$1:$1048576,MATCH('2018'!$A26,DataEx!$D:$D,0),MATCH('2018'!R$6,DataEx!$7:$7,0))</f>
        <v>0</v>
      </c>
      <c r="S26" s="272">
        <f t="shared" si="3"/>
        <v>20227171.150000002</v>
      </c>
      <c r="T26" s="273">
        <f t="shared" si="4"/>
        <v>4.5650254237288137E-3</v>
      </c>
    </row>
    <row r="27" spans="1:25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433978.03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0</v>
      </c>
      <c r="O27" s="200">
        <f>+INDEX(DataEx!$1:$1048576,MATCH('2018'!$A27,DataEx!$D:$D,0),MATCH('2018'!O$6,DataEx!$7:$7,0))</f>
        <v>0</v>
      </c>
      <c r="P27" s="200">
        <f>+INDEX(DataEx!$1:$1048576,MATCH('2018'!$A27,DataEx!$D:$D,0),MATCH('2018'!P$6,DataEx!$7:$7,0))</f>
        <v>0</v>
      </c>
      <c r="Q27" s="200">
        <f>+INDEX(DataEx!$1:$1048576,MATCH('2018'!$A27,DataEx!$D:$D,0),MATCH('2018'!Q$6,DataEx!$7:$7,0))</f>
        <v>0</v>
      </c>
      <c r="R27" s="274">
        <f>+INDEX(DataEx!$1:$1048576,MATCH('2018'!$A27,DataEx!$D:$D,0),MATCH('2018'!R$6,DataEx!$7:$7,0))</f>
        <v>0</v>
      </c>
      <c r="S27" s="272">
        <f t="shared" si="3"/>
        <v>4523869.22</v>
      </c>
      <c r="T27" s="273">
        <f t="shared" si="4"/>
        <v>1.020982017197409E-3</v>
      </c>
    </row>
    <row r="28" spans="1:25" ht="13.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0">
        <f>+INDEX(DataEx!$1:$1048576,MATCH('2018'!$A28,DataEx!$D:$D,0),MATCH('2018'!G$6,DataEx!$7:$7,0))</f>
        <v>1518621.66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912596.37</v>
      </c>
      <c r="N28" s="200">
        <f>+INDEX(DataEx!$1:$1048576,MATCH('2018'!$A28,DataEx!$D:$D,0),MATCH('2018'!N$6,DataEx!$7:$7,0))</f>
        <v>0</v>
      </c>
      <c r="O28" s="200">
        <f>+INDEX(DataEx!$1:$1048576,MATCH('2018'!$A28,DataEx!$D:$D,0),MATCH('2018'!O$6,DataEx!$7:$7,0))</f>
        <v>0</v>
      </c>
      <c r="P28" s="200">
        <f>+INDEX(DataEx!$1:$1048576,MATCH('2018'!$A28,DataEx!$D:$D,0),MATCH('2018'!P$6,DataEx!$7:$7,0))</f>
        <v>0</v>
      </c>
      <c r="Q28" s="200">
        <f>+INDEX(DataEx!$1:$1048576,MATCH('2018'!$A28,DataEx!$D:$D,0),MATCH('2018'!Q$6,DataEx!$7:$7,0))</f>
        <v>0</v>
      </c>
      <c r="R28" s="274">
        <f>+INDEX(DataEx!$1:$1048576,MATCH('2018'!$A28,DataEx!$D:$D,0),MATCH('2018'!R$6,DataEx!$7:$7,0))</f>
        <v>0</v>
      </c>
      <c r="S28" s="272">
        <f t="shared" si="3"/>
        <v>16192208.74</v>
      </c>
      <c r="T28" s="276">
        <f t="shared" si="4"/>
        <v>3.6543837008282741E-3</v>
      </c>
    </row>
    <row r="29" spans="1:25" ht="13.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>+G31+G42+G48+SUM(G49:G53)</f>
        <v>106100663.53</v>
      </c>
      <c r="H29" s="176">
        <f t="shared" ref="H29:R29" si="5">+H31+H42+H48+SUM(H49:H53)</f>
        <v>119016381.51999998</v>
      </c>
      <c r="I29" s="176">
        <f t="shared" si="5"/>
        <v>172407993.90000004</v>
      </c>
      <c r="J29" s="176">
        <f t="shared" si="5"/>
        <v>147656867.89000002</v>
      </c>
      <c r="K29" s="176">
        <f t="shared" si="5"/>
        <v>141761088.21000004</v>
      </c>
      <c r="L29" s="176">
        <f t="shared" si="5"/>
        <v>162029357.13</v>
      </c>
      <c r="M29" s="176">
        <f t="shared" si="5"/>
        <v>143585258.87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992557611.05000007</v>
      </c>
      <c r="T29" s="278">
        <f t="shared" si="4"/>
        <v>0.22400812725405675</v>
      </c>
    </row>
    <row r="30" spans="1:25" ht="13.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6">
        <f>+G29-G49</f>
        <v>104040089.26000001</v>
      </c>
      <c r="H30" s="206">
        <f t="shared" ref="H30:R30" si="6">+H29-H49</f>
        <v>116057986.02999999</v>
      </c>
      <c r="I30" s="206">
        <f t="shared" si="6"/>
        <v>161601488.23000005</v>
      </c>
      <c r="J30" s="206">
        <f t="shared" si="6"/>
        <v>118881376.41000001</v>
      </c>
      <c r="K30" s="206">
        <f t="shared" si="6"/>
        <v>129446729.29000004</v>
      </c>
      <c r="L30" s="206">
        <f t="shared" si="6"/>
        <v>142035069.91999999</v>
      </c>
      <c r="M30" s="206">
        <f t="shared" si="6"/>
        <v>133618705.36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43">
        <f t="shared" si="3"/>
        <v>905681444.50000012</v>
      </c>
      <c r="T30" s="280">
        <f t="shared" si="4"/>
        <v>0.20440123778464875</v>
      </c>
    </row>
    <row r="31" spans="1:25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2">
        <f>+SUM(G32:G41)</f>
        <v>48891921.900000006</v>
      </c>
      <c r="H31" s="212">
        <f t="shared" ref="H31:R31" si="7">+SUM(H32:H41)</f>
        <v>54746975.089999989</v>
      </c>
      <c r="I31" s="212">
        <f t="shared" si="7"/>
        <v>95672779.320000023</v>
      </c>
      <c r="J31" s="212">
        <f t="shared" si="7"/>
        <v>56975242.320000008</v>
      </c>
      <c r="K31" s="212">
        <f t="shared" si="7"/>
        <v>66900183.370000012</v>
      </c>
      <c r="L31" s="212">
        <f t="shared" si="7"/>
        <v>74347088.920000002</v>
      </c>
      <c r="M31" s="212">
        <f t="shared" si="7"/>
        <v>62875549.480000004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44">
        <f t="shared" si="3"/>
        <v>460409740.40000004</v>
      </c>
      <c r="T31" s="268">
        <f t="shared" si="4"/>
        <v>0.10390885382202263</v>
      </c>
    </row>
    <row r="32" spans="1:25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38350938.119999997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38983346.57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0</v>
      </c>
      <c r="O32" s="188">
        <f>+INDEX(DataEx!$1:$1048576,MATCH('2018'!$A32,DataEx!$D:$D,0),MATCH('2018'!O$6,DataEx!$7:$7,0))</f>
        <v>0</v>
      </c>
      <c r="P32" s="188">
        <f>+INDEX(DataEx!$1:$1048576,MATCH('2018'!$A32,DataEx!$D:$D,0),MATCH('2018'!P$6,DataEx!$7:$7,0))</f>
        <v>0</v>
      </c>
      <c r="Q32" s="188">
        <f>+INDEX(DataEx!$1:$1048576,MATCH('2018'!$A32,DataEx!$D:$D,0),MATCH('2018'!Q$6,DataEx!$7:$7,0))</f>
        <v>0</v>
      </c>
      <c r="R32" s="188">
        <f>+INDEX(DataEx!$1:$1048576,MATCH('2018'!$A32,DataEx!$D:$D,0),MATCH('2018'!R$6,DataEx!$7:$7,0))</f>
        <v>0</v>
      </c>
      <c r="S32" s="269">
        <f t="shared" si="3"/>
        <v>265184451.5</v>
      </c>
      <c r="T32" s="270">
        <f t="shared" si="4"/>
        <v>5.9848891083075673E-2</v>
      </c>
    </row>
    <row r="33" spans="1:22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0</v>
      </c>
      <c r="O33" s="188">
        <f>+INDEX(DataEx!$1:$1048576,MATCH('2018'!$A33,DataEx!$D:$D,0),MATCH('2018'!O$6,DataEx!$7:$7,0))</f>
        <v>0</v>
      </c>
      <c r="P33" s="188">
        <f>+INDEX(DataEx!$1:$1048576,MATCH('2018'!$A33,DataEx!$D:$D,0),MATCH('2018'!P$6,DataEx!$7:$7,0))</f>
        <v>0</v>
      </c>
      <c r="Q33" s="188">
        <f>+INDEX(DataEx!$1:$1048576,MATCH('2018'!$A33,DataEx!$D:$D,0),MATCH('2018'!Q$6,DataEx!$7:$7,0))</f>
        <v>0</v>
      </c>
      <c r="R33" s="188">
        <f>+INDEX(DataEx!$1:$1048576,MATCH('2018'!$A33,DataEx!$D:$D,0),MATCH('2018'!R$6,DataEx!$7:$7,0))</f>
        <v>0</v>
      </c>
      <c r="S33" s="269">
        <f t="shared" si="3"/>
        <v>5982844.1900000004</v>
      </c>
      <c r="T33" s="270">
        <f t="shared" si="4"/>
        <v>1.3502548443882734E-3</v>
      </c>
      <c r="U33" s="367"/>
    </row>
    <row r="34" spans="1:22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2451725.77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2862691.11</v>
      </c>
      <c r="N34" s="188">
        <f>+INDEX(DataEx!$1:$1048576,MATCH('2018'!$A34,DataEx!$D:$D,0),MATCH('2018'!N$6,DataEx!$7:$7,0))</f>
        <v>0</v>
      </c>
      <c r="O34" s="188">
        <f>+INDEX(DataEx!$1:$1048576,MATCH('2018'!$A34,DataEx!$D:$D,0),MATCH('2018'!O$6,DataEx!$7:$7,0))</f>
        <v>0</v>
      </c>
      <c r="P34" s="188">
        <f>+INDEX(DataEx!$1:$1048576,MATCH('2018'!$A34,DataEx!$D:$D,0),MATCH('2018'!P$6,DataEx!$7:$7,0))</f>
        <v>0</v>
      </c>
      <c r="Q34" s="188">
        <f>+INDEX(DataEx!$1:$1048576,MATCH('2018'!$A34,DataEx!$D:$D,0),MATCH('2018'!Q$6,DataEx!$7:$7,0))</f>
        <v>0</v>
      </c>
      <c r="R34" s="188">
        <f>+INDEX(DataEx!$1:$1048576,MATCH('2018'!$A34,DataEx!$D:$D,0),MATCH('2018'!R$6,DataEx!$7:$7,0))</f>
        <v>0</v>
      </c>
      <c r="S34" s="269">
        <f t="shared" si="3"/>
        <v>17528659.140000001</v>
      </c>
      <c r="T34" s="270">
        <f t="shared" si="4"/>
        <v>3.9560042293890632E-3</v>
      </c>
      <c r="U34" s="385"/>
      <c r="V34" s="365"/>
    </row>
    <row r="35" spans="1:22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f>+INDEX(DataEx!$1:$1048576,MATCH('2018'!$A35,DataEx!$D:$D,0),MATCH('2018'!G$6,DataEx!$7:$7,0))</f>
        <v>1697528.93</v>
      </c>
      <c r="H35" s="188">
        <f>+INDEX(DataEx!$1:$1048576,MATCH('2018'!$A35,DataEx!$D:$D,0),MATCH('2018'!H$6,DataEx!$7:$7,0))</f>
        <v>3151750.86</v>
      </c>
      <c r="I35" s="188">
        <f>+INDEX(DataEx!$1:$1048576,MATCH('2018'!$A35,DataEx!$D:$D,0),MATCH('2018'!I$6,DataEx!$7:$7,0))</f>
        <v>4190810.86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14304209.140000001</v>
      </c>
      <c r="M35" s="188">
        <f>+INDEX(DataEx!$1:$1048576,MATCH('2018'!$A35,DataEx!$D:$D,0),MATCH('2018'!M$6,DataEx!$7:$7,0))</f>
        <v>4957958.04</v>
      </c>
      <c r="N35" s="188">
        <f>+INDEX(DataEx!$1:$1048576,MATCH('2018'!$A35,DataEx!$D:$D,0),MATCH('2018'!N$6,DataEx!$7:$7,0))</f>
        <v>0</v>
      </c>
      <c r="O35" s="188">
        <f>+INDEX(DataEx!$1:$1048576,MATCH('2018'!$A35,DataEx!$D:$D,0),MATCH('2018'!O$6,DataEx!$7:$7,0))</f>
        <v>0</v>
      </c>
      <c r="P35" s="188">
        <f>+INDEX(DataEx!$1:$1048576,MATCH('2018'!$A35,DataEx!$D:$D,0),MATCH('2018'!P$6,DataEx!$7:$7,0))</f>
        <v>0</v>
      </c>
      <c r="Q35" s="188">
        <f>+INDEX(DataEx!$1:$1048576,MATCH('2018'!$A35,DataEx!$D:$D,0),MATCH('2018'!Q$6,DataEx!$7:$7,0))</f>
        <v>0</v>
      </c>
      <c r="R35" s="188">
        <f>+INDEX(DataEx!$1:$1048576,MATCH('2018'!$A35,DataEx!$D:$D,0),MATCH('2018'!R$6,DataEx!$7:$7,0))</f>
        <v>0</v>
      </c>
      <c r="S35" s="269">
        <f t="shared" si="3"/>
        <v>37781742.93</v>
      </c>
      <c r="T35" s="270">
        <f t="shared" si="4"/>
        <v>8.5268778194046348E-3</v>
      </c>
    </row>
    <row r="36" spans="1:22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1697297.09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1765570.63</v>
      </c>
      <c r="N36" s="188">
        <f>+INDEX(DataEx!$1:$1048576,MATCH('2018'!$A36,DataEx!$D:$D,0),MATCH('2018'!N$6,DataEx!$7:$7,0))</f>
        <v>0</v>
      </c>
      <c r="O36" s="188">
        <f>+INDEX(DataEx!$1:$1048576,MATCH('2018'!$A36,DataEx!$D:$D,0),MATCH('2018'!O$6,DataEx!$7:$7,0))</f>
        <v>0</v>
      </c>
      <c r="P36" s="188">
        <f>+INDEX(DataEx!$1:$1048576,MATCH('2018'!$A36,DataEx!$D:$D,0),MATCH('2018'!P$6,DataEx!$7:$7,0))</f>
        <v>0</v>
      </c>
      <c r="Q36" s="188">
        <f>+INDEX(DataEx!$1:$1048576,MATCH('2018'!$A36,DataEx!$D:$D,0),MATCH('2018'!Q$6,DataEx!$7:$7,0))</f>
        <v>0</v>
      </c>
      <c r="R36" s="188">
        <f>+INDEX(DataEx!$1:$1048576,MATCH('2018'!$A36,DataEx!$D:$D,0),MATCH('2018'!R$6,DataEx!$7:$7,0))</f>
        <v>0</v>
      </c>
      <c r="S36" s="269">
        <f t="shared" si="3"/>
        <v>10025562.079999998</v>
      </c>
      <c r="T36" s="270">
        <f t="shared" si="4"/>
        <v>2.2626468843801482E-3</v>
      </c>
    </row>
    <row r="37" spans="1:22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1628189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7490624.3200000003</v>
      </c>
      <c r="N37" s="188">
        <f>+INDEX(DataEx!$1:$1048576,MATCH('2018'!$A37,DataEx!$D:$D,0),MATCH('2018'!N$6,DataEx!$7:$7,0))</f>
        <v>0</v>
      </c>
      <c r="O37" s="188">
        <f>+INDEX(DataEx!$1:$1048576,MATCH('2018'!$A37,DataEx!$D:$D,0),MATCH('2018'!O$6,DataEx!$7:$7,0))</f>
        <v>0</v>
      </c>
      <c r="P37" s="188">
        <f>+INDEX(DataEx!$1:$1048576,MATCH('2018'!$A37,DataEx!$D:$D,0),MATCH('2018'!P$6,DataEx!$7:$7,0))</f>
        <v>0</v>
      </c>
      <c r="Q37" s="188">
        <f>+INDEX(DataEx!$1:$1048576,MATCH('2018'!$A37,DataEx!$D:$D,0),MATCH('2018'!Q$6,DataEx!$7:$7,0))</f>
        <v>0</v>
      </c>
      <c r="R37" s="188">
        <f>+INDEX(DataEx!$1:$1048576,MATCH('2018'!$A37,DataEx!$D:$D,0),MATCH('2018'!R$6,DataEx!$7:$7,0))</f>
        <v>0</v>
      </c>
      <c r="S37" s="269">
        <f>+SUM(G37:R37)</f>
        <v>65911898.500000007</v>
      </c>
      <c r="T37" s="270">
        <f t="shared" si="4"/>
        <v>1.4875510280078542E-2</v>
      </c>
    </row>
    <row r="38" spans="1:22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824335.7</v>
      </c>
      <c r="N38" s="188">
        <f>+INDEX(DataEx!$1:$1048576,MATCH('2018'!$A38,DataEx!$D:$D,0),MATCH('2018'!N$6,DataEx!$7:$7,0))</f>
        <v>0</v>
      </c>
      <c r="O38" s="188">
        <f>+INDEX(DataEx!$1:$1048576,MATCH('2018'!$A38,DataEx!$D:$D,0),MATCH('2018'!O$6,DataEx!$7:$7,0))</f>
        <v>0</v>
      </c>
      <c r="P38" s="188">
        <f>+INDEX(DataEx!$1:$1048576,MATCH('2018'!$A38,DataEx!$D:$D,0),MATCH('2018'!P$6,DataEx!$7:$7,0))</f>
        <v>0</v>
      </c>
      <c r="Q38" s="188">
        <f>+INDEX(DataEx!$1:$1048576,MATCH('2018'!$A38,DataEx!$D:$D,0),MATCH('2018'!Q$6,DataEx!$7:$7,0))</f>
        <v>0</v>
      </c>
      <c r="R38" s="188">
        <f>+INDEX(DataEx!$1:$1048576,MATCH('2018'!$A38,DataEx!$D:$D,0),MATCH('2018'!R$6,DataEx!$7:$7,0))</f>
        <v>0</v>
      </c>
      <c r="S38" s="269">
        <f t="shared" si="3"/>
        <v>5065163.2300000004</v>
      </c>
      <c r="T38" s="270">
        <f t="shared" si="4"/>
        <v>1.1431454625471125E-3</v>
      </c>
    </row>
    <row r="39" spans="1:22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0</v>
      </c>
      <c r="O39" s="188">
        <f>+INDEX(DataEx!$1:$1048576,MATCH('2018'!$A39,DataEx!$D:$D,0),MATCH('2018'!O$6,DataEx!$7:$7,0))</f>
        <v>0</v>
      </c>
      <c r="P39" s="188">
        <f>+INDEX(DataEx!$1:$1048576,MATCH('2018'!$A39,DataEx!$D:$D,0),MATCH('2018'!P$6,DataEx!$7:$7,0))</f>
        <v>0</v>
      </c>
      <c r="Q39" s="188">
        <f>+INDEX(DataEx!$1:$1048576,MATCH('2018'!$A39,DataEx!$D:$D,0),MATCH('2018'!Q$6,DataEx!$7:$7,0))</f>
        <v>0</v>
      </c>
      <c r="R39" s="188">
        <f>+INDEX(DataEx!$1:$1048576,MATCH('2018'!$A39,DataEx!$D:$D,0),MATCH('2018'!R$6,DataEx!$7:$7,0))</f>
        <v>0</v>
      </c>
      <c r="S39" s="269">
        <f t="shared" si="3"/>
        <v>12261572.899999999</v>
      </c>
      <c r="T39" s="270">
        <f t="shared" si="4"/>
        <v>2.7672872102733077E-3</v>
      </c>
    </row>
    <row r="40" spans="1:22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2859100.45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3639193.72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0</v>
      </c>
      <c r="O40" s="188">
        <f>+INDEX(DataEx!$1:$1048576,MATCH('2018'!$A40,DataEx!$D:$D,0),MATCH('2018'!O$6,DataEx!$7:$7,0))</f>
        <v>0</v>
      </c>
      <c r="P40" s="188">
        <f>+INDEX(DataEx!$1:$1048576,MATCH('2018'!$A40,DataEx!$D:$D,0),MATCH('2018'!P$6,DataEx!$7:$7,0))</f>
        <v>0</v>
      </c>
      <c r="Q40" s="188">
        <f>+INDEX(DataEx!$1:$1048576,MATCH('2018'!$A40,DataEx!$D:$D,0),MATCH('2018'!Q$6,DataEx!$7:$7,0))</f>
        <v>0</v>
      </c>
      <c r="R40" s="188">
        <f>+INDEX(DataEx!$1:$1048576,MATCH('2018'!$A40,DataEx!$D:$D,0),MATCH('2018'!R$6,DataEx!$7:$7,0))</f>
        <v>0</v>
      </c>
      <c r="S40" s="269">
        <f t="shared" si="3"/>
        <v>18187529.879999999</v>
      </c>
      <c r="T40" s="270">
        <f t="shared" si="4"/>
        <v>4.1047033063260283E-3</v>
      </c>
    </row>
    <row r="41" spans="1:22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3090956.9800000042</v>
      </c>
      <c r="L41" s="188">
        <f>+INDEX(DataEx!$1:$1048576,MATCH('2018'!$A41,DataEx!$D:$D,0),MATCH('2018'!L$6,DataEx!$7:$7,0))</f>
        <v>7288010.0899999999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0</v>
      </c>
      <c r="O41" s="188">
        <f>+INDEX(DataEx!$1:$1048576,MATCH('2018'!$A41,DataEx!$D:$D,0),MATCH('2018'!O$6,DataEx!$7:$7,0))</f>
        <v>0</v>
      </c>
      <c r="P41" s="188">
        <f>+INDEX(DataEx!$1:$1048576,MATCH('2018'!$A41,DataEx!$D:$D,0),MATCH('2018'!P$6,DataEx!$7:$7,0))</f>
        <v>0</v>
      </c>
      <c r="Q41" s="188">
        <f>+INDEX(DataEx!$1:$1048576,MATCH('2018'!$A41,DataEx!$D:$D,0),MATCH('2018'!Q$6,DataEx!$7:$7,0))</f>
        <v>0</v>
      </c>
      <c r="R41" s="188">
        <f>+INDEX(DataEx!$1:$1048576,MATCH('2018'!$A41,DataEx!$D:$D,0),MATCH('2018'!R$6,DataEx!$7:$7,0))</f>
        <v>0</v>
      </c>
      <c r="S41" s="269">
        <f t="shared" si="3"/>
        <v>22480316.050000004</v>
      </c>
      <c r="T41" s="270">
        <f t="shared" si="4"/>
        <v>5.0735327021598333E-3</v>
      </c>
    </row>
    <row r="42" spans="1:22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309175345.86000001</v>
      </c>
      <c r="T42" s="273">
        <f t="shared" si="4"/>
        <v>6.9777098526258782E-2</v>
      </c>
    </row>
    <row r="43" spans="1:22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0</v>
      </c>
      <c r="O43" s="188">
        <f>+INDEX(DataEx!$1:$1048576,MATCH('2018'!$A43,DataEx!$D:$D,0),MATCH('2018'!O$6,DataEx!$7:$7,0))</f>
        <v>0</v>
      </c>
      <c r="P43" s="188">
        <f>+INDEX(DataEx!$1:$1048576,MATCH('2018'!$A43,DataEx!$D:$D,0),MATCH('2018'!P$6,DataEx!$7:$7,0))</f>
        <v>0</v>
      </c>
      <c r="Q43" s="188">
        <f>+INDEX(DataEx!$1:$1048576,MATCH('2018'!$A43,DataEx!$D:$D,0),MATCH('2018'!Q$6,DataEx!$7:$7,0))</f>
        <v>0</v>
      </c>
      <c r="R43" s="188">
        <f>+INDEX(DataEx!$1:$1048576,MATCH('2018'!$A43,DataEx!$D:$D,0),MATCH('2018'!R$6,DataEx!$7:$7,0))</f>
        <v>0</v>
      </c>
      <c r="S43" s="269">
        <f t="shared" si="3"/>
        <v>44584562.019999996</v>
      </c>
      <c r="T43" s="270">
        <f t="shared" si="4"/>
        <v>1.0062190981516169E-2</v>
      </c>
    </row>
    <row r="44" spans="1:22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0</v>
      </c>
      <c r="O44" s="188">
        <f>+INDEX(DataEx!$1:$1048576,MATCH('2018'!$A44,DataEx!$D:$D,0),MATCH('2018'!O$6,DataEx!$7:$7,0))</f>
        <v>0</v>
      </c>
      <c r="P44" s="188">
        <f>+INDEX(DataEx!$1:$1048576,MATCH('2018'!$A44,DataEx!$D:$D,0),MATCH('2018'!P$6,DataEx!$7:$7,0))</f>
        <v>0</v>
      </c>
      <c r="Q44" s="188">
        <f>+INDEX(DataEx!$1:$1048576,MATCH('2018'!$A44,DataEx!$D:$D,0),MATCH('2018'!Q$6,DataEx!$7:$7,0))</f>
        <v>0</v>
      </c>
      <c r="R44" s="188">
        <f>+INDEX(DataEx!$1:$1048576,MATCH('2018'!$A44,DataEx!$D:$D,0),MATCH('2018'!R$6,DataEx!$7:$7,0))</f>
        <v>0</v>
      </c>
      <c r="S44" s="269">
        <f t="shared" si="3"/>
        <v>6994885.3599999994</v>
      </c>
      <c r="T44" s="270">
        <f t="shared" si="4"/>
        <v>1.5786601728768421E-3</v>
      </c>
    </row>
    <row r="45" spans="1:22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0</v>
      </c>
      <c r="O45" s="188">
        <f>+INDEX(DataEx!$1:$1048576,MATCH('2018'!$A45,DataEx!$D:$D,0),MATCH('2018'!O$6,DataEx!$7:$7,0))</f>
        <v>0</v>
      </c>
      <c r="P45" s="188">
        <f>+INDEX(DataEx!$1:$1048576,MATCH('2018'!$A45,DataEx!$D:$D,0),MATCH('2018'!P$6,DataEx!$7:$7,0))</f>
        <v>0</v>
      </c>
      <c r="Q45" s="188">
        <f>+INDEX(DataEx!$1:$1048576,MATCH('2018'!$A45,DataEx!$D:$D,0),MATCH('2018'!Q$6,DataEx!$7:$7,0))</f>
        <v>0</v>
      </c>
      <c r="R45" s="188">
        <f>+INDEX(DataEx!$1:$1048576,MATCH('2018'!$A45,DataEx!$D:$D,0),MATCH('2018'!R$6,DataEx!$7:$7,0))</f>
        <v>0</v>
      </c>
      <c r="S45" s="269">
        <f t="shared" si="3"/>
        <v>241892593.98999998</v>
      </c>
      <c r="T45" s="270">
        <f t="shared" si="4"/>
        <v>5.4592203387573625E-2</v>
      </c>
    </row>
    <row r="46" spans="1:22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0</v>
      </c>
      <c r="O46" s="188">
        <f>+INDEX(DataEx!$1:$1048576,MATCH('2018'!$A46,DataEx!$D:$D,0),MATCH('2018'!O$6,DataEx!$7:$7,0))</f>
        <v>0</v>
      </c>
      <c r="P46" s="188">
        <f>+INDEX(DataEx!$1:$1048576,MATCH('2018'!$A46,DataEx!$D:$D,0),MATCH('2018'!P$6,DataEx!$7:$7,0))</f>
        <v>0</v>
      </c>
      <c r="Q46" s="188">
        <f>+INDEX(DataEx!$1:$1048576,MATCH('2018'!$A46,DataEx!$D:$D,0),MATCH('2018'!Q$6,DataEx!$7:$7,0))</f>
        <v>0</v>
      </c>
      <c r="R46" s="188">
        <f>+INDEX(DataEx!$1:$1048576,MATCH('2018'!$A46,DataEx!$D:$D,0),MATCH('2018'!R$6,DataEx!$7:$7,0))</f>
        <v>0</v>
      </c>
      <c r="S46" s="269">
        <f t="shared" si="3"/>
        <v>10487938.51</v>
      </c>
      <c r="T46" s="270">
        <f t="shared" si="4"/>
        <v>2.3669995960188673E-3</v>
      </c>
    </row>
    <row r="47" spans="1:22">
      <c r="A47" s="175">
        <v>425</v>
      </c>
      <c r="B47" s="499" t="str">
        <f>+VLOOKUP($A47,Master!$D$25:$G$223,4,FALSE)</f>
        <v>Ostala prava iz zdravstvenog osiguranja</v>
      </c>
      <c r="C47" s="500"/>
      <c r="D47" s="500"/>
      <c r="E47" s="500"/>
      <c r="F47" s="500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0</v>
      </c>
      <c r="O47" s="188">
        <f>+INDEX(DataEx!$1:$1048576,MATCH('2018'!$A47,DataEx!$D:$D,0),MATCH('2018'!O$6,DataEx!$7:$7,0))</f>
        <v>0</v>
      </c>
      <c r="P47" s="188">
        <f>+INDEX(DataEx!$1:$1048576,MATCH('2018'!$A47,DataEx!$D:$D,0),MATCH('2018'!P$6,DataEx!$7:$7,0))</f>
        <v>0</v>
      </c>
      <c r="Q47" s="188">
        <f>+INDEX(DataEx!$1:$1048576,MATCH('2018'!$A47,DataEx!$D:$D,0),MATCH('2018'!Q$6,DataEx!$7:$7,0))</f>
        <v>0</v>
      </c>
      <c r="R47" s="188">
        <f>+INDEX(DataEx!$1:$1048576,MATCH('2018'!$A47,DataEx!$D:$D,0),MATCH('2018'!R$6,DataEx!$7:$7,0))</f>
        <v>0</v>
      </c>
      <c r="S47" s="269">
        <f t="shared" si="3"/>
        <v>5215365.9799999995</v>
      </c>
      <c r="T47" s="270">
        <f t="shared" si="4"/>
        <v>1.1770443882732626E-3</v>
      </c>
    </row>
    <row r="48" spans="1:22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15688793.050000001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0</v>
      </c>
      <c r="O48" s="200">
        <f>+INDEX(DataEx!$1:$1048576,MATCH('2018'!$A48,DataEx!$D:$D,0),MATCH('2018'!O$6,DataEx!$7:$7,0))</f>
        <v>0</v>
      </c>
      <c r="P48" s="200">
        <f>+INDEX(DataEx!$1:$1048576,MATCH('2018'!$A48,DataEx!$D:$D,0),MATCH('2018'!P$6,DataEx!$7:$7,0))</f>
        <v>0</v>
      </c>
      <c r="Q48" s="200">
        <f>+INDEX(DataEx!$1:$1048576,MATCH('2018'!$A48,DataEx!$D:$D,0),MATCH('2018'!Q$6,DataEx!$7:$7,0))</f>
        <v>0</v>
      </c>
      <c r="R48" s="274">
        <f>+INDEX(DataEx!$1:$1048576,MATCH('2018'!$A48,DataEx!$D:$D,0),MATCH('2018'!R$6,DataEx!$7:$7,0))</f>
        <v>0</v>
      </c>
      <c r="S48" s="272">
        <f t="shared" si="3"/>
        <v>107572540.67</v>
      </c>
      <c r="T48" s="273">
        <f t="shared" si="4"/>
        <v>2.4277808271457268E-2</v>
      </c>
    </row>
    <row r="49" spans="1:22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19994287.210000001</v>
      </c>
      <c r="M49" s="200">
        <f>+INDEX(DataEx!$1:$1048576,MATCH('2018'!$A49,DataEx!$D:$D,0),MATCH('2018'!M$6,DataEx!$7:$7,0))</f>
        <v>9966553.5099999998</v>
      </c>
      <c r="N49" s="200">
        <f>+INDEX(DataEx!$1:$1048576,MATCH('2018'!$A49,DataEx!$D:$D,0),MATCH('2018'!N$6,DataEx!$7:$7,0))</f>
        <v>0</v>
      </c>
      <c r="O49" s="200">
        <f>+INDEX(DataEx!$1:$1048576,MATCH('2018'!$A49,DataEx!$D:$D,0),MATCH('2018'!O$6,DataEx!$7:$7,0))</f>
        <v>0</v>
      </c>
      <c r="P49" s="200">
        <f>+INDEX(DataEx!$1:$1048576,MATCH('2018'!$A49,DataEx!$D:$D,0),MATCH('2018'!P$6,DataEx!$7:$7,0))</f>
        <v>0</v>
      </c>
      <c r="Q49" s="200">
        <f>+INDEX(DataEx!$1:$1048576,MATCH('2018'!$A49,DataEx!$D:$D,0),MATCH('2018'!Q$6,DataEx!$7:$7,0))</f>
        <v>0</v>
      </c>
      <c r="R49" s="200">
        <f>+INDEX(DataEx!$1:$1048576,MATCH('2018'!$A49,DataEx!$D:$D,0),MATCH('2018'!R$6,DataEx!$7:$7,0))</f>
        <v>0</v>
      </c>
      <c r="S49" s="272">
        <f t="shared" si="3"/>
        <v>86876166.549999997</v>
      </c>
      <c r="T49" s="273">
        <f t="shared" si="4"/>
        <v>1.9606889469408022E-2</v>
      </c>
    </row>
    <row r="50" spans="1:22">
      <c r="A50" s="175">
        <v>451</v>
      </c>
      <c r="B50" s="503" t="str">
        <f>+VLOOKUP($A50,Master!$D$25:$G$223,4,FALSE)</f>
        <v>Pozajmice i krediti</v>
      </c>
      <c r="C50" s="504"/>
      <c r="D50" s="504"/>
      <c r="E50" s="504"/>
      <c r="F50" s="504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0</v>
      </c>
      <c r="O50" s="188">
        <f>+INDEX(DataEx!$1:$1048576,MATCH('2018'!$A50,DataEx!$D:$D,0),MATCH('2018'!O$6,DataEx!$7:$7,0))</f>
        <v>0</v>
      </c>
      <c r="P50" s="188">
        <f>+INDEX(DataEx!$1:$1048576,MATCH('2018'!$A50,DataEx!$D:$D,0),MATCH('2018'!P$6,DataEx!$7:$7,0))</f>
        <v>0</v>
      </c>
      <c r="Q50" s="188">
        <f>+INDEX(DataEx!$1:$1048576,MATCH('2018'!$A50,DataEx!$D:$D,0),MATCH('2018'!Q$6,DataEx!$7:$7,0))</f>
        <v>0</v>
      </c>
      <c r="R50" s="188">
        <f>+INDEX(DataEx!$1:$1048576,MATCH('2018'!$A50,DataEx!$D:$D,0),MATCH('2018'!R$6,DataEx!$7:$7,0))</f>
        <v>0</v>
      </c>
      <c r="S50" s="269">
        <f t="shared" si="3"/>
        <v>1470691</v>
      </c>
      <c r="T50" s="270">
        <f t="shared" si="4"/>
        <v>3.3191699203322122E-4</v>
      </c>
    </row>
    <row r="51" spans="1:22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1800352.01</v>
      </c>
      <c r="N51" s="188">
        <f>+INDEX(DataEx!$1:$1048576,MATCH('2018'!$A51,DataEx!$D:$D,0),MATCH('2018'!N$6,DataEx!$7:$7,0))</f>
        <v>0</v>
      </c>
      <c r="O51" s="188">
        <f>+INDEX(DataEx!$1:$1048576,MATCH('2018'!$A51,DataEx!$D:$D,0),MATCH('2018'!O$6,DataEx!$7:$7,0))</f>
        <v>0</v>
      </c>
      <c r="P51" s="188">
        <f>+INDEX(DataEx!$1:$1048576,MATCH('2018'!$A51,DataEx!$D:$D,0),MATCH('2018'!P$6,DataEx!$7:$7,0))</f>
        <v>0</v>
      </c>
      <c r="Q51" s="188">
        <f>+INDEX(DataEx!$1:$1048576,MATCH('2018'!$A51,DataEx!$D:$D,0),MATCH('2018'!Q$6,DataEx!$7:$7,0))</f>
        <v>0</v>
      </c>
      <c r="R51" s="188">
        <f>+INDEX(DataEx!$1:$1048576,MATCH('2018'!$A51,DataEx!$D:$D,0),MATCH('2018'!R$6,DataEx!$7:$7,0))</f>
        <v>0</v>
      </c>
      <c r="S51" s="269">
        <f t="shared" si="3"/>
        <v>10918566.66</v>
      </c>
      <c r="T51" s="270">
        <f t="shared" si="4"/>
        <v>2.4641871087138054E-3</v>
      </c>
    </row>
    <row r="52" spans="1:22" ht="13.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05" t="str">
        <f>+VLOOKUP($A53,Master!$D$25:$G$223,4,TRUE)</f>
        <v>Otplata obaveza iz prethodnih godina</v>
      </c>
      <c r="C53" s="506"/>
      <c r="D53" s="506"/>
      <c r="E53" s="506"/>
      <c r="F53" s="506"/>
      <c r="G53" s="224">
        <f>+INDEX(DataEx!$1:$1048576,MATCH('2018'!$A53,DataEx!$D:$D,0),MATCH('2018'!G$6,DataEx!$7:$7,0))</f>
        <v>1671507.81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2459675.87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4527449.25</v>
      </c>
      <c r="N53" s="224">
        <f>+INDEX(DataEx!$1:$1048576,MATCH('2018'!$A53,DataEx!$D:$D,0),MATCH('2018'!N$6,DataEx!$7:$7,0))</f>
        <v>0</v>
      </c>
      <c r="O53" s="224">
        <f>+INDEX(DataEx!$1:$1048576,MATCH('2018'!$A53,DataEx!$D:$D,0),MATCH('2018'!O$6,DataEx!$7:$7,0))</f>
        <v>0</v>
      </c>
      <c r="P53" s="224">
        <f>+INDEX(DataEx!$1:$1048576,MATCH('2018'!$A53,DataEx!$D:$D,0),MATCH('2018'!P$6,DataEx!$7:$7,0))</f>
        <v>0</v>
      </c>
      <c r="Q53" s="224">
        <f>+INDEX(DataEx!$1:$1048576,MATCH('2018'!$A53,DataEx!$D:$D,0),MATCH('2018'!Q$6,DataEx!$7:$7,0))</f>
        <v>0</v>
      </c>
      <c r="R53" s="224">
        <f>+INDEX(DataEx!$1:$1048576,MATCH('2018'!$A53,DataEx!$D:$D,0),MATCH('2018'!R$6,DataEx!$7:$7,0))</f>
        <v>0</v>
      </c>
      <c r="S53" s="445">
        <f>+SUM(G53:R53)</f>
        <v>16134559.91</v>
      </c>
      <c r="T53" s="284">
        <f>+S53/$T$7</f>
        <v>3.6413730641630367E-3</v>
      </c>
    </row>
    <row r="54" spans="1:22" ht="13.5" thickBot="1">
      <c r="A54" s="71">
        <v>1005</v>
      </c>
      <c r="B54" s="507" t="str">
        <f>+VLOOKUP($A54,Master!$D$25:$G$225,4,FALSE)</f>
        <v>Neto povećanje obaveza</v>
      </c>
      <c r="C54" s="508"/>
      <c r="D54" s="508"/>
      <c r="E54" s="508"/>
      <c r="F54" s="508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-24555818.700000003</v>
      </c>
      <c r="H55" s="176">
        <f t="shared" si="9"/>
        <v>-11936273.369999975</v>
      </c>
      <c r="I55" s="176">
        <f t="shared" si="9"/>
        <v>-33549638.360000044</v>
      </c>
      <c r="J55" s="176">
        <f t="shared" si="9"/>
        <v>9171098.8400000036</v>
      </c>
      <c r="K55" s="176">
        <f t="shared" si="9"/>
        <v>-2919925.2200000584</v>
      </c>
      <c r="L55" s="176">
        <f t="shared" si="9"/>
        <v>-21397709.99999997</v>
      </c>
      <c r="M55" s="176">
        <f t="shared" si="9"/>
        <v>16961925.639999986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-68226341.170000061</v>
      </c>
      <c r="T55" s="286">
        <f t="shared" si="4"/>
        <v>-1.5397851716355607E-2</v>
      </c>
    </row>
    <row r="56" spans="1:22" ht="13.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0">
        <f>+G55+G37</f>
        <v>-20231741.150000002</v>
      </c>
      <c r="H56" s="230">
        <f t="shared" ref="H56:R56" si="10">+H55+H37</f>
        <v>-10885472.139999975</v>
      </c>
      <c r="I56" s="230">
        <f t="shared" si="10"/>
        <v>5965038.3499999568</v>
      </c>
      <c r="J56" s="230">
        <f t="shared" si="10"/>
        <v>10799287.840000004</v>
      </c>
      <c r="K56" s="230">
        <f t="shared" si="10"/>
        <v>7144883.8399999421</v>
      </c>
      <c r="L56" s="230">
        <f t="shared" si="10"/>
        <v>-19558989.369999971</v>
      </c>
      <c r="M56" s="230">
        <f t="shared" si="10"/>
        <v>24452549.959999986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-2314442.6700000614</v>
      </c>
      <c r="T56" s="286">
        <f t="shared" si="4"/>
        <v>-5.2234143627706813E-4</v>
      </c>
    </row>
    <row r="57" spans="1:22">
      <c r="A57" s="169">
        <v>46</v>
      </c>
      <c r="B57" s="501" t="str">
        <f>+VLOOKUP($A57,Master!$D$25:$G$223,4,FALSE)</f>
        <v>Otplata dugova</v>
      </c>
      <c r="C57" s="502"/>
      <c r="D57" s="502"/>
      <c r="E57" s="502"/>
      <c r="F57" s="502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19981471.990000002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191392645.81</v>
      </c>
      <c r="T57" s="288">
        <f t="shared" si="4"/>
        <v>4.3194982014940535E-2</v>
      </c>
      <c r="V57" s="383"/>
    </row>
    <row r="58" spans="1:22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0</v>
      </c>
      <c r="O58" s="236">
        <f>+INDEX(DataEx!$1:$1048576,MATCH('2018'!$A58,DataEx!$D:$D,0),MATCH('2018'!O$6,DataEx!$7:$7,0))</f>
        <v>0</v>
      </c>
      <c r="P58" s="236">
        <f>+INDEX(DataEx!$1:$1048576,MATCH('2018'!$A58,DataEx!$D:$D,0),MATCH('2018'!P$6,DataEx!$7:$7,0))</f>
        <v>0</v>
      </c>
      <c r="Q58" s="236">
        <f>+INDEX(DataEx!$1:$1048576,MATCH('2018'!$A58,DataEx!$D:$D,0),MATCH('2018'!Q$6,DataEx!$7:$7,0))</f>
        <v>0</v>
      </c>
      <c r="R58" s="236">
        <f>+INDEX(DataEx!$1:$1048576,MATCH('2018'!$A58,DataEx!$D:$D,0),MATCH('2018'!R$6,DataEx!$7:$7,0))</f>
        <v>0</v>
      </c>
      <c r="S58" s="289">
        <f t="shared" si="3"/>
        <v>132386056.02000001</v>
      </c>
      <c r="T58" s="290">
        <f t="shared" si="4"/>
        <v>2.9877915552145164E-2</v>
      </c>
    </row>
    <row r="59" spans="1:22" ht="13.5" thickBot="1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17749813.48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0</v>
      </c>
      <c r="O59" s="236">
        <f>+INDEX(DataEx!$1:$1048576,MATCH('2018'!$A59,DataEx!$D:$D,0),MATCH('2018'!O$6,DataEx!$7:$7,0))</f>
        <v>0</v>
      </c>
      <c r="P59" s="236">
        <f>+INDEX(DataEx!$1:$1048576,MATCH('2018'!$A59,DataEx!$D:$D,0),MATCH('2018'!P$6,DataEx!$7:$7,0))</f>
        <v>0</v>
      </c>
      <c r="Q59" s="236">
        <f>+INDEX(DataEx!$1:$1048576,MATCH('2018'!$A59,DataEx!$D:$D,0),MATCH('2018'!Q$6,DataEx!$7:$7,0))</f>
        <v>0</v>
      </c>
      <c r="R59" s="236">
        <f>+INDEX(DataEx!$1:$1048576,MATCH('2018'!$A59,DataEx!$D:$D,0),MATCH('2018'!R$6,DataEx!$7:$7,0))</f>
        <v>0</v>
      </c>
      <c r="S59" s="289">
        <f t="shared" si="3"/>
        <v>59006589.789999999</v>
      </c>
      <c r="T59" s="290">
        <f t="shared" si="4"/>
        <v>1.3317066462795369E-2</v>
      </c>
      <c r="V59" s="402"/>
    </row>
    <row r="60" spans="1:22" ht="13.5" thickBot="1">
      <c r="A60" s="169">
        <v>4418</v>
      </c>
      <c r="B60" s="456" t="s">
        <v>777</v>
      </c>
      <c r="C60" s="457"/>
      <c r="D60" s="457"/>
      <c r="E60" s="457"/>
      <c r="F60" s="457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0</v>
      </c>
      <c r="S60" s="287">
        <f>SUM(G60:R60)</f>
        <v>68939595.359999999</v>
      </c>
      <c r="T60" s="288">
        <f>+S60/$T$7</f>
        <v>1.5558824473583244E-2</v>
      </c>
      <c r="V60" s="402"/>
    </row>
    <row r="61" spans="1:22" ht="13.5" thickBot="1">
      <c r="A61" s="169">
        <v>1002</v>
      </c>
      <c r="B61" s="494" t="str">
        <f>+VLOOKUP($A61,Master!$D$25:$G$223,4,FALSE)</f>
        <v>Nedostajuća sredstva</v>
      </c>
      <c r="C61" s="495"/>
      <c r="D61" s="495"/>
      <c r="E61" s="495"/>
      <c r="F61" s="495"/>
      <c r="G61" s="242">
        <f>+G55-G57-G60</f>
        <v>-50755983.680000007</v>
      </c>
      <c r="H61" s="242">
        <f t="shared" ref="H61:R61" si="12">+H55-H57-H60</f>
        <v>-66425245.129999973</v>
      </c>
      <c r="I61" s="242">
        <f t="shared" si="12"/>
        <v>-52615662.850000046</v>
      </c>
      <c r="J61" s="242">
        <f t="shared" si="12"/>
        <v>-10810373.149999999</v>
      </c>
      <c r="K61" s="242">
        <f t="shared" si="12"/>
        <v>-86620216.340000063</v>
      </c>
      <c r="L61" s="242">
        <f t="shared" si="12"/>
        <v>-34327260.809999973</v>
      </c>
      <c r="M61" s="242">
        <f t="shared" si="12"/>
        <v>-27003840.380000018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-328558582.34000003</v>
      </c>
      <c r="T61" s="292">
        <f t="shared" si="4"/>
        <v>-7.4151658204879373E-2</v>
      </c>
    </row>
    <row r="62" spans="1:22" ht="13.5" thickBot="1">
      <c r="A62" s="169">
        <v>1003</v>
      </c>
      <c r="B62" s="458" t="str">
        <f>+VLOOKUP($A62,Master!$D$25:$G$223,4,FALSE)</f>
        <v>Finansiranje</v>
      </c>
      <c r="C62" s="459"/>
      <c r="D62" s="459"/>
      <c r="E62" s="459"/>
      <c r="F62" s="459"/>
      <c r="G62" s="176">
        <f>+SUM(G63:G66)</f>
        <v>50755983.680000007</v>
      </c>
      <c r="H62" s="176">
        <f t="shared" ref="H62:R62" si="13">+SUM(H63:H66)</f>
        <v>66425245.129999973</v>
      </c>
      <c r="I62" s="176">
        <f t="shared" si="13"/>
        <v>52615662.850000046</v>
      </c>
      <c r="J62" s="176">
        <f t="shared" si="13"/>
        <v>10810373.149999991</v>
      </c>
      <c r="K62" s="176">
        <f t="shared" si="13"/>
        <v>86620216.340000063</v>
      </c>
      <c r="L62" s="176">
        <f t="shared" si="13"/>
        <v>34327260.809999973</v>
      </c>
      <c r="M62" s="176">
        <f t="shared" si="13"/>
        <v>27003840.380000018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328558582.34000003</v>
      </c>
      <c r="T62" s="294">
        <f t="shared" si="4"/>
        <v>7.4151658204879373E-2</v>
      </c>
    </row>
    <row r="63" spans="1:22">
      <c r="A63" s="169">
        <v>7511</v>
      </c>
      <c r="B63" s="492" t="str">
        <f>+VLOOKUP($A63,Master!$D$25:$G$223,4,FALSE)</f>
        <v>Pozajmice i krediti od domaćih izvora</v>
      </c>
      <c r="C63" s="493"/>
      <c r="D63" s="493"/>
      <c r="E63" s="493"/>
      <c r="F63" s="493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75357443.420000002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138600000</v>
      </c>
      <c r="T63" s="290">
        <f t="shared" si="4"/>
        <v>3.1280326795910536E-2</v>
      </c>
    </row>
    <row r="64" spans="1:22">
      <c r="A64" s="169">
        <v>7512</v>
      </c>
      <c r="B64" s="468" t="str">
        <f>+VLOOKUP($A64,Master!$D$25:$G$223,4,FALSE)</f>
        <v>Pozajmice i krediti od inostranih izvora</v>
      </c>
      <c r="C64" s="469"/>
      <c r="D64" s="469"/>
      <c r="E64" s="469"/>
      <c r="F64" s="469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5238085.6500000004</v>
      </c>
      <c r="J64" s="236">
        <f>+INDEX(DataEx!$1:$1048576,MATCH('2018'!$A64,DataEx!$D:$D,0),MATCH('2018'!J$6,DataEx!$7:$7,0))</f>
        <v>125398354.06999999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266114636.84999999</v>
      </c>
      <c r="M64" s="236">
        <f>+INDEX(DataEx!$1:$1048576,MATCH('2018'!$A64,DataEx!$D:$D,0),MATCH('2018'!M$6,DataEx!$7:$7,0))</f>
        <v>3115189.9</v>
      </c>
      <c r="N64" s="236">
        <f>+INDEX(DataEx!$1:$1048576,MATCH('2018'!$A64,DataEx!$D:$D,0),MATCH('2018'!N$6,DataEx!$7:$7,0))</f>
        <v>0</v>
      </c>
      <c r="O64" s="236">
        <f>+INDEX(DataEx!$1:$1048576,MATCH('2018'!$A64,DataEx!$D:$D,0),MATCH('2018'!O$6,DataEx!$7:$7,0))</f>
        <v>0</v>
      </c>
      <c r="P64" s="236">
        <f>+INDEX(DataEx!$1:$1048576,MATCH('2018'!$A64,DataEx!$D:$D,0),MATCH('2018'!P$6,DataEx!$7:$7,0))</f>
        <v>0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407950741.17999995</v>
      </c>
      <c r="T64" s="290">
        <f t="shared" si="4"/>
        <v>9.2069498562368804E-2</v>
      </c>
    </row>
    <row r="65" spans="1:20">
      <c r="A65" s="169">
        <v>72</v>
      </c>
      <c r="B65" s="468" t="str">
        <f>+VLOOKUP($A65,Master!$D$25:$G$223,4,FALSE)</f>
        <v>Primici od prodaje imovine</v>
      </c>
      <c r="C65" s="469"/>
      <c r="D65" s="469"/>
      <c r="E65" s="469"/>
      <c r="F65" s="469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0</v>
      </c>
      <c r="O65" s="236">
        <f>+INDEX(DataEx!$1:$1048576,MATCH('2018'!$A65,DataEx!$D:$D,0),MATCH('2018'!O$6,DataEx!$7:$7,0))</f>
        <v>0</v>
      </c>
      <c r="P65" s="236">
        <f>+INDEX(DataEx!$1:$1048576,MATCH('2018'!$A65,DataEx!$D:$D,0),MATCH('2018'!P$6,DataEx!$7:$7,0))</f>
        <v>0</v>
      </c>
      <c r="Q65" s="236">
        <f>+INDEX(DataEx!$1:$1048576,MATCH('2018'!$A65,DataEx!$D:$D,0),MATCH('2018'!Q$6,DataEx!$7:$7,0))</f>
        <v>0</v>
      </c>
      <c r="R65" s="236">
        <f>+INDEX(DataEx!$1:$1048576,MATCH('2018'!$A65,DataEx!$D:$D,0),MATCH('2018'!R$6,DataEx!$7:$7,0))</f>
        <v>0</v>
      </c>
      <c r="S65" s="289">
        <f t="shared" si="3"/>
        <v>13795538.260000002</v>
      </c>
      <c r="T65" s="290">
        <f t="shared" si="4"/>
        <v>3.1134844523685937E-3</v>
      </c>
    </row>
    <row r="66" spans="1:20" ht="13.5" thickBot="1">
      <c r="A66" s="169">
        <v>1004</v>
      </c>
      <c r="B66" s="248" t="str">
        <f>+VLOOKUP($A66,Master!$D$25:$G$223,4,FALSE)</f>
        <v>Povećanje / smanjenje depozita</v>
      </c>
      <c r="C66" s="249"/>
      <c r="D66" s="249"/>
      <c r="E66" s="249"/>
      <c r="F66" s="249"/>
      <c r="G66" s="250">
        <f>-G61-SUM(G63:G65)</f>
        <v>25863047.080000006</v>
      </c>
      <c r="H66" s="250">
        <f t="shared" ref="H66:R66" si="14">-H61-SUM(H63:H65)</f>
        <v>-9396323.6700000241</v>
      </c>
      <c r="I66" s="250">
        <f t="shared" si="14"/>
        <v>24327705.940000042</v>
      </c>
      <c r="J66" s="250">
        <f t="shared" si="14"/>
        <v>-114696254.03</v>
      </c>
      <c r="K66" s="250">
        <f t="shared" si="14"/>
        <v>78731298.080000058</v>
      </c>
      <c r="L66" s="250">
        <f t="shared" si="14"/>
        <v>-242099493.17000005</v>
      </c>
      <c r="M66" s="250">
        <f t="shared" si="14"/>
        <v>5482322.6700000204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-231787697.09999996</v>
      </c>
      <c r="T66" s="296">
        <f t="shared" si="4"/>
        <v>-5.2311651605768575E-2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17" t="str">
        <f>+Master!G250</f>
        <v>Plan ostvarenja budžeta</v>
      </c>
      <c r="C102" s="518"/>
      <c r="D102" s="518"/>
      <c r="E102" s="518"/>
      <c r="F102" s="518"/>
      <c r="G102" s="509">
        <v>2018</v>
      </c>
      <c r="H102" s="525"/>
      <c r="I102" s="525"/>
      <c r="J102" s="525"/>
      <c r="K102" s="525"/>
      <c r="L102" s="525"/>
      <c r="M102" s="525"/>
      <c r="N102" s="525"/>
      <c r="O102" s="525"/>
      <c r="P102" s="525"/>
      <c r="Q102" s="525"/>
      <c r="R102" s="510"/>
      <c r="S102" s="115" t="str">
        <f>+S7</f>
        <v>BDP</v>
      </c>
      <c r="T102" s="116">
        <f>+T7</f>
        <v>4430900000</v>
      </c>
    </row>
    <row r="103" spans="1:21" ht="15.75" customHeight="1">
      <c r="B103" s="519"/>
      <c r="C103" s="520"/>
      <c r="D103" s="520"/>
      <c r="E103" s="520"/>
      <c r="F103" s="5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09" t="str">
        <f>+Master!G244</f>
        <v>Jan - Dec</v>
      </c>
      <c r="T103" s="510">
        <f>+T8</f>
        <v>0</v>
      </c>
    </row>
    <row r="104" spans="1:21" ht="13.5" thickBot="1">
      <c r="B104" s="522"/>
      <c r="C104" s="523"/>
      <c r="D104" s="523"/>
      <c r="E104" s="523"/>
      <c r="F104" s="52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11" t="str">
        <f>+VLOOKUP(LEFT($A105,LEN(A105)-1)*1,Master!$D$25:$G$223,4,FALSE)</f>
        <v>Prihodi budžeta</v>
      </c>
      <c r="C105" s="512"/>
      <c r="D105" s="512"/>
      <c r="E105" s="512"/>
      <c r="F105" s="512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0.39653416261576935</v>
      </c>
    </row>
    <row r="106" spans="1:21">
      <c r="A106" s="137" t="str">
        <f t="shared" si="17"/>
        <v>711p</v>
      </c>
      <c r="B106" s="513" t="str">
        <f>+VLOOKUP(LEFT($A106,LEN(A106)-1)*1,Master!$D$25:$G$223,4,FALSE)</f>
        <v>Porezi</v>
      </c>
      <c r="C106" s="514"/>
      <c r="D106" s="514"/>
      <c r="E106" s="514"/>
      <c r="F106" s="514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0.2433810714295489</v>
      </c>
      <c r="U106" s="302"/>
    </row>
    <row r="107" spans="1:21">
      <c r="A107" s="137" t="str">
        <f t="shared" si="17"/>
        <v>7111p</v>
      </c>
      <c r="B107" s="515" t="str">
        <f>+VLOOKUP(LEFT($A107,LEN(A107)-1)*1,Master!$D$25:$G$223,4,FALSE)</f>
        <v>Porez na dohodak fizičkih lica</v>
      </c>
      <c r="C107" s="516"/>
      <c r="D107" s="516"/>
      <c r="E107" s="516"/>
      <c r="F107" s="516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2.7389393163553131E-2</v>
      </c>
    </row>
    <row r="108" spans="1:21">
      <c r="A108" s="137" t="str">
        <f t="shared" si="17"/>
        <v>7112p</v>
      </c>
      <c r="B108" s="515" t="str">
        <f>+VLOOKUP(LEFT($A108,LEN(A108)-1)*1,Master!$D$25:$G$223,4,FALSE)</f>
        <v>Porez na dobit pravnih lica</v>
      </c>
      <c r="C108" s="516"/>
      <c r="D108" s="516"/>
      <c r="E108" s="516"/>
      <c r="F108" s="516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1.3920053571600954E-2</v>
      </c>
    </row>
    <row r="109" spans="1:21">
      <c r="A109" s="137" t="str">
        <f t="shared" si="17"/>
        <v>7113p</v>
      </c>
      <c r="B109" s="515" t="str">
        <f>+VLOOKUP(LEFT($A109,LEN(A109)-1)*1,Master!$D$25:$G$223,4,FALSE)</f>
        <v>Porez na promet nepokretnosti</v>
      </c>
      <c r="C109" s="516"/>
      <c r="D109" s="516"/>
      <c r="E109" s="516"/>
      <c r="F109" s="516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4.1862784773715486E-4</v>
      </c>
    </row>
    <row r="110" spans="1:21">
      <c r="A110" s="137" t="str">
        <f t="shared" si="17"/>
        <v>7114p</v>
      </c>
      <c r="B110" s="515" t="str">
        <f>+VLOOKUP(LEFT($A110,LEN(A110)-1)*1,Master!$D$25:$G$223,4,FALSE)</f>
        <v>Porez na dodatu vrijednost</v>
      </c>
      <c r="C110" s="516"/>
      <c r="D110" s="516"/>
      <c r="E110" s="516"/>
      <c r="F110" s="516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0.14091759733264006</v>
      </c>
    </row>
    <row r="111" spans="1:21">
      <c r="A111" s="137" t="str">
        <f t="shared" si="17"/>
        <v>7115p</v>
      </c>
      <c r="B111" s="515" t="str">
        <f>+VLOOKUP(LEFT($A111,LEN(A111)-1)*1,Master!$D$25:$G$223,4,FALSE)</f>
        <v>Akcize</v>
      </c>
      <c r="C111" s="516"/>
      <c r="D111" s="516"/>
      <c r="E111" s="516"/>
      <c r="F111" s="516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5.2517057695824099E-2</v>
      </c>
    </row>
    <row r="112" spans="1:21">
      <c r="A112" s="137" t="str">
        <f t="shared" si="17"/>
        <v>7116p</v>
      </c>
      <c r="B112" s="515" t="str">
        <f>+VLOOKUP(LEFT($A112,LEN(A112)-1)*1,Master!$D$25:$G$223,4,FALSE)</f>
        <v>Porez na međunarodnu trgovinu i transakcije</v>
      </c>
      <c r="C112" s="516"/>
      <c r="D112" s="516"/>
      <c r="E112" s="516"/>
      <c r="F112" s="516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6.061974966202829E-3</v>
      </c>
    </row>
    <row r="113" spans="1:20">
      <c r="A113" s="137" t="str">
        <f t="shared" si="17"/>
        <v>7118p</v>
      </c>
      <c r="B113" s="515" t="str">
        <f>+VLOOKUP(LEFT($A113,LEN(A113)-1)*1,Master!$D$25:$G$223,4,FALSE)</f>
        <v>Ostali državni porezi</v>
      </c>
      <c r="C113" s="516"/>
      <c r="D113" s="516"/>
      <c r="E113" s="516"/>
      <c r="F113" s="516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2.1563668519906966E-3</v>
      </c>
    </row>
    <row r="114" spans="1:20">
      <c r="A114" s="137" t="str">
        <f t="shared" si="17"/>
        <v>712p</v>
      </c>
      <c r="B114" s="528" t="str">
        <f>+VLOOKUP(LEFT($A114,LEN(A114)-1)*1,Master!$D$25:$G$223,4,FALSE)</f>
        <v>Doprinosi</v>
      </c>
      <c r="C114" s="529"/>
      <c r="D114" s="529"/>
      <c r="E114" s="529"/>
      <c r="F114" s="529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0.11786630908402237</v>
      </c>
    </row>
    <row r="115" spans="1:20">
      <c r="A115" s="137" t="str">
        <f t="shared" si="17"/>
        <v>7121p</v>
      </c>
      <c r="B115" s="515" t="str">
        <f>+VLOOKUP(LEFT($A115,LEN(A115)-1)*1,Master!$D$25:$G$223,4,FALSE)</f>
        <v>Doprinosi za penzijsko i invalidsko osiguranje</v>
      </c>
      <c r="C115" s="516"/>
      <c r="D115" s="516"/>
      <c r="E115" s="516"/>
      <c r="F115" s="516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7.0977931111636625E-2</v>
      </c>
    </row>
    <row r="116" spans="1:20">
      <c r="A116" s="137" t="str">
        <f t="shared" si="17"/>
        <v>7122p</v>
      </c>
      <c r="B116" s="515" t="str">
        <f>+VLOOKUP(LEFT($A116,LEN(A116)-1)*1,Master!$D$25:$G$223,4,FALSE)</f>
        <v>Doprinosi za zdravstveno osiguranje</v>
      </c>
      <c r="C116" s="516"/>
      <c r="D116" s="516"/>
      <c r="E116" s="516"/>
      <c r="F116" s="516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4.0826034089370598E-2</v>
      </c>
    </row>
    <row r="117" spans="1:20">
      <c r="A117" s="137" t="str">
        <f t="shared" si="17"/>
        <v>7123p</v>
      </c>
      <c r="B117" s="515" t="str">
        <f>+VLOOKUP(LEFT($A117,LEN(A117)-1)*1,Master!$D$25:$G$223,4,FALSE)</f>
        <v>Doprinosi za osiguranje od nezaposlenosti</v>
      </c>
      <c r="C117" s="516"/>
      <c r="D117" s="516"/>
      <c r="E117" s="516"/>
      <c r="F117" s="516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3.1932906685639114E-3</v>
      </c>
    </row>
    <row r="118" spans="1:20">
      <c r="A118" s="137" t="str">
        <f t="shared" si="17"/>
        <v>7124p</v>
      </c>
      <c r="B118" s="515" t="str">
        <f>+VLOOKUP(LEFT($A118,LEN(A118)-1)*1,Master!$D$25:$G$223,4,FALSE)</f>
        <v>Ostali doprinosi</v>
      </c>
      <c r="C118" s="516"/>
      <c r="D118" s="516"/>
      <c r="E118" s="516"/>
      <c r="F118" s="516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2.8690532144512431E-3</v>
      </c>
    </row>
    <row r="119" spans="1:20">
      <c r="A119" s="137" t="str">
        <f t="shared" si="17"/>
        <v>713p</v>
      </c>
      <c r="B119" s="526" t="str">
        <f>+VLOOKUP(LEFT($A119,LEN(A119)-1)*1,Master!$D$25:$G$223,4,FALSE)</f>
        <v>Takse</v>
      </c>
      <c r="C119" s="527"/>
      <c r="D119" s="527"/>
      <c r="E119" s="527"/>
      <c r="F119" s="527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3.9947794778089924E-3</v>
      </c>
    </row>
    <row r="120" spans="1:20">
      <c r="A120" s="137" t="str">
        <f t="shared" si="17"/>
        <v>714p</v>
      </c>
      <c r="B120" s="526" t="str">
        <f>+VLOOKUP(LEFT($A120,LEN(A120)-1)*1,Master!$D$25:$G$223,4,FALSE)</f>
        <v>Naknade</v>
      </c>
      <c r="C120" s="527"/>
      <c r="D120" s="527"/>
      <c r="E120" s="527"/>
      <c r="F120" s="527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6.348174433441353E-3</v>
      </c>
    </row>
    <row r="121" spans="1:20">
      <c r="A121" s="137" t="str">
        <f t="shared" si="17"/>
        <v>715p</v>
      </c>
      <c r="B121" s="526" t="str">
        <f>+VLOOKUP(LEFT($A121,LEN(A121)-1)*1,Master!$D$25:$G$223,4,FALSE)</f>
        <v>Ostali prihodi</v>
      </c>
      <c r="C121" s="527"/>
      <c r="D121" s="527"/>
      <c r="E121" s="527"/>
      <c r="F121" s="527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1.6189240260394196E-2</v>
      </c>
    </row>
    <row r="122" spans="1:20">
      <c r="A122" s="137" t="str">
        <f t="shared" si="17"/>
        <v>73p</v>
      </c>
      <c r="B122" s="526" t="str">
        <f>+VLOOKUP(LEFT($A122,LEN(A122)-1)*1,Master!$D$25:$G$223,4,FALSE)</f>
        <v>Primici od otplate kredita i sredstva prenesena iz prethodne godine</v>
      </c>
      <c r="C122" s="527"/>
      <c r="D122" s="527"/>
      <c r="E122" s="527"/>
      <c r="F122" s="527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1.6390156041972306E-3</v>
      </c>
    </row>
    <row r="123" spans="1:20" ht="13.5" thickBot="1">
      <c r="A123" s="137" t="str">
        <f t="shared" si="17"/>
        <v>74p</v>
      </c>
      <c r="B123" s="530" t="str">
        <f>+VLOOKUP(LEFT($A123,LEN(A123)-1)*1,Master!$D$25:$G$223,4,FALSE)</f>
        <v>Donacije i transferi</v>
      </c>
      <c r="C123" s="531"/>
      <c r="D123" s="531"/>
      <c r="E123" s="531"/>
      <c r="F123" s="531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7.1155723263562932E-3</v>
      </c>
    </row>
    <row r="124" spans="1:20" ht="13.5" thickBot="1">
      <c r="A124" s="137" t="str">
        <f t="shared" si="17"/>
        <v>4p</v>
      </c>
      <c r="B124" s="532" t="str">
        <f>+VLOOKUP(LEFT($A124,LEN(A124)-1)*1,Master!$D$25:$G$223,4,FALSE)</f>
        <v>Budžetski izdaci</v>
      </c>
      <c r="C124" s="533"/>
      <c r="D124" s="533"/>
      <c r="E124" s="533"/>
      <c r="F124" s="533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158107547.35211113</v>
      </c>
      <c r="P124" s="97">
        <f t="shared" si="23"/>
        <v>158107547.35211113</v>
      </c>
      <c r="Q124" s="97">
        <f t="shared" si="23"/>
        <v>158607547.35544446</v>
      </c>
      <c r="R124" s="97">
        <f t="shared" si="23"/>
        <v>158607547.34544447</v>
      </c>
      <c r="S124" s="131">
        <f>+SUM(G124:R124)</f>
        <v>1834390469.142</v>
      </c>
      <c r="T124" s="132">
        <f t="shared" si="21"/>
        <v>0.413999519091381</v>
      </c>
    </row>
    <row r="125" spans="1:20" ht="13.5" thickBot="1">
      <c r="A125" s="137" t="str">
        <f t="shared" si="17"/>
        <v>41p</v>
      </c>
      <c r="B125" s="534" t="str">
        <f>+VLOOKUP(LEFT($A125,LEN(A125)-1)*1,Master!$D$25:$G$223,4,FALSE)</f>
        <v>Tekući izdaci</v>
      </c>
      <c r="C125" s="535"/>
      <c r="D125" s="535"/>
      <c r="E125" s="535"/>
      <c r="F125" s="535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131117130.68544447</v>
      </c>
      <c r="P125" s="80">
        <f t="shared" si="24"/>
        <v>131117130.68544447</v>
      </c>
      <c r="Q125" s="80">
        <f t="shared" si="24"/>
        <v>131117130.68544446</v>
      </c>
      <c r="R125" s="80">
        <f t="shared" si="24"/>
        <v>131117130.68544447</v>
      </c>
      <c r="S125" s="133">
        <f t="shared" si="20"/>
        <v>1542615469.1453333</v>
      </c>
      <c r="T125" s="134">
        <f t="shared" si="21"/>
        <v>0.34814946605550412</v>
      </c>
    </row>
    <row r="126" spans="1:20">
      <c r="A126" s="137" t="str">
        <f t="shared" si="17"/>
        <v>40p</v>
      </c>
      <c r="B126" s="536" t="str">
        <f>+VLOOKUP(LEFT($A126,LEN(A126)-1)*1,Master!$D$25:$G$223,4,FALSE)</f>
        <v>Tekući budžetski izdaci</v>
      </c>
      <c r="C126" s="537"/>
      <c r="D126" s="537"/>
      <c r="E126" s="537"/>
      <c r="F126" s="537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68385342.175944448</v>
      </c>
      <c r="P126" s="89">
        <f t="shared" si="25"/>
        <v>68385342.175944448</v>
      </c>
      <c r="Q126" s="89">
        <f t="shared" si="25"/>
        <v>68385342.175944448</v>
      </c>
      <c r="R126" s="90">
        <f t="shared" si="25"/>
        <v>68385342.175944448</v>
      </c>
      <c r="S126" s="123">
        <f t="shared" si="20"/>
        <v>783131546.35533345</v>
      </c>
      <c r="T126" s="124">
        <f t="shared" si="21"/>
        <v>0.17674322290174307</v>
      </c>
    </row>
    <row r="127" spans="1:20">
      <c r="A127" s="137" t="str">
        <f t="shared" si="17"/>
        <v>411p</v>
      </c>
      <c r="B127" s="515" t="str">
        <f>+VLOOKUP(LEFT($A127,LEN(A127)-1)*1,Master!$D$25:$G$223,4,FALSE)</f>
        <v>Bruto zarade i doprinosi na teret poslodavca</v>
      </c>
      <c r="C127" s="516"/>
      <c r="D127" s="516"/>
      <c r="E127" s="516"/>
      <c r="F127" s="516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36581480.009166665</v>
      </c>
      <c r="P127" s="91">
        <f>+SUM(DataEx!FC265)</f>
        <v>36581480.009166665</v>
      </c>
      <c r="Q127" s="91">
        <f>+SUM(DataEx!FD265)</f>
        <v>36581480.009166665</v>
      </c>
      <c r="R127" s="91">
        <f>+SUM(DataEx!FE265)</f>
        <v>36581480.009166665</v>
      </c>
      <c r="S127" s="125">
        <f t="shared" si="20"/>
        <v>438977760.10999995</v>
      </c>
      <c r="T127" s="126">
        <f t="shared" si="21"/>
        <v>9.9071917693922221E-2</v>
      </c>
    </row>
    <row r="128" spans="1:20">
      <c r="A128" s="137" t="str">
        <f t="shared" si="17"/>
        <v>412p</v>
      </c>
      <c r="B128" s="515" t="str">
        <f>+VLOOKUP(LEFT($A128,LEN(A128)-1)*1,Master!$D$25:$G$223,4,FALSE)</f>
        <v>Ostala lična primanja</v>
      </c>
      <c r="C128" s="516"/>
      <c r="D128" s="516"/>
      <c r="E128" s="516"/>
      <c r="F128" s="516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1064654.7372222226</v>
      </c>
      <c r="P128" s="91">
        <f>+SUM(DataEx!FC271)</f>
        <v>1064654.7372222226</v>
      </c>
      <c r="Q128" s="91">
        <f>+SUM(DataEx!FD271)</f>
        <v>1064654.7372222226</v>
      </c>
      <c r="R128" s="91">
        <f>+SUM(DataEx!FE271)</f>
        <v>1064654.7372222226</v>
      </c>
      <c r="S128" s="125">
        <f t="shared" si="20"/>
        <v>12719190.180000003</v>
      </c>
      <c r="T128" s="126">
        <f t="shared" si="21"/>
        <v>2.870565839897087E-3</v>
      </c>
    </row>
    <row r="129" spans="1:20">
      <c r="A129" s="137" t="str">
        <f t="shared" si="17"/>
        <v>413p</v>
      </c>
      <c r="B129" s="515" t="str">
        <f>+VLOOKUP(LEFT($A129,LEN(A129)-1)*1,Master!$D$25:$G$223,4,FALSE)</f>
        <v>Rashodi za materijal</v>
      </c>
      <c r="C129" s="516"/>
      <c r="D129" s="516"/>
      <c r="E129" s="516"/>
      <c r="F129" s="516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3644059.9819999994</v>
      </c>
      <c r="P129" s="91">
        <f>+SUM(DataEx!FC279)</f>
        <v>3644059.9819999994</v>
      </c>
      <c r="Q129" s="91">
        <f>+SUM(DataEx!FD279)</f>
        <v>3644059.9819999994</v>
      </c>
      <c r="R129" s="91">
        <f>+SUM(DataEx!FE279)</f>
        <v>3644059.9819999994</v>
      </c>
      <c r="S129" s="125">
        <f t="shared" si="20"/>
        <v>36440599.82</v>
      </c>
      <c r="T129" s="126">
        <f t="shared" si="21"/>
        <v>8.2241982035252438E-3</v>
      </c>
    </row>
    <row r="130" spans="1:20">
      <c r="A130" s="137" t="str">
        <f t="shared" si="17"/>
        <v>414p</v>
      </c>
      <c r="B130" s="515" t="str">
        <f>+VLOOKUP(LEFT($A130,LEN(A130)-1)*1,Master!$D$25:$G$223,4,FALSE)</f>
        <v>Rashodi za usluge</v>
      </c>
      <c r="C130" s="516"/>
      <c r="D130" s="516"/>
      <c r="E130" s="516"/>
      <c r="F130" s="516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6090741.9951111097</v>
      </c>
      <c r="P130" s="91">
        <f>+SUM(DataEx!FC286)</f>
        <v>6090741.9951111097</v>
      </c>
      <c r="Q130" s="91">
        <f>+SUM(DataEx!FD286)</f>
        <v>6090741.9951111097</v>
      </c>
      <c r="R130" s="91">
        <f>+SUM(DataEx!FE286)</f>
        <v>6090741.9951111097</v>
      </c>
      <c r="S130" s="125">
        <f t="shared" si="20"/>
        <v>60796308.839999974</v>
      </c>
      <c r="T130" s="126">
        <f t="shared" si="21"/>
        <v>1.372098418831388E-2</v>
      </c>
    </row>
    <row r="131" spans="1:20">
      <c r="A131" s="137" t="str">
        <f t="shared" si="17"/>
        <v>415p</v>
      </c>
      <c r="B131" s="515" t="str">
        <f>+VLOOKUP(LEFT($A131,LEN(A131)-1)*1,Master!$D$25:$G$223,4,FALSE)</f>
        <v>Rashodi za tekuće održavanje</v>
      </c>
      <c r="C131" s="516"/>
      <c r="D131" s="516"/>
      <c r="E131" s="516"/>
      <c r="F131" s="516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1860319.3983333334</v>
      </c>
      <c r="P131" s="91">
        <f>+SUM(DataEx!FC296)</f>
        <v>1860319.3983333334</v>
      </c>
      <c r="Q131" s="91">
        <f>+SUM(DataEx!FD296)</f>
        <v>1860319.3983333334</v>
      </c>
      <c r="R131" s="91">
        <f>+SUM(DataEx!FE296)</f>
        <v>1860319.3983333334</v>
      </c>
      <c r="S131" s="125">
        <f t="shared" si="20"/>
        <v>22323832.780000001</v>
      </c>
      <c r="T131" s="126">
        <f t="shared" si="21"/>
        <v>5.0382163397955275E-3</v>
      </c>
    </row>
    <row r="132" spans="1:20">
      <c r="A132" s="137" t="str">
        <f t="shared" si="17"/>
        <v>416p</v>
      </c>
      <c r="B132" s="515" t="str">
        <f>+VLOOKUP(LEFT($A132,LEN(A132)-1)*1,Master!$D$25:$G$223,4,FALSE)</f>
        <v>Kamate</v>
      </c>
      <c r="C132" s="516"/>
      <c r="D132" s="516"/>
      <c r="E132" s="516"/>
      <c r="F132" s="516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7122725</v>
      </c>
      <c r="P132" s="91">
        <f>+SUM(DataEx!FC300)</f>
        <v>7122725</v>
      </c>
      <c r="Q132" s="91">
        <f>+SUM(DataEx!FD300)</f>
        <v>7122725</v>
      </c>
      <c r="R132" s="91">
        <f>+SUM(DataEx!FE300)</f>
        <v>7122725</v>
      </c>
      <c r="S132" s="125">
        <f t="shared" si="20"/>
        <v>85472700</v>
      </c>
      <c r="T132" s="126">
        <f t="shared" si="21"/>
        <v>1.9290144214493668E-2</v>
      </c>
    </row>
    <row r="133" spans="1:20">
      <c r="A133" s="137" t="str">
        <f t="shared" si="17"/>
        <v>417p</v>
      </c>
      <c r="B133" s="515" t="str">
        <f>+VLOOKUP(LEFT($A133,LEN(A133)-1)*1,Master!$D$25:$G$223,4,FALSE)</f>
        <v>Renta</v>
      </c>
      <c r="C133" s="516"/>
      <c r="D133" s="516"/>
      <c r="E133" s="516"/>
      <c r="F133" s="516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800010.93333333347</v>
      </c>
      <c r="P133" s="91">
        <f>+SUM(DataEx!FC303)</f>
        <v>800010.93333333347</v>
      </c>
      <c r="Q133" s="91">
        <f>+SUM(DataEx!FD303)</f>
        <v>800010.93333333347</v>
      </c>
      <c r="R133" s="91">
        <f>+SUM(DataEx!FE303)</f>
        <v>800010.93333333347</v>
      </c>
      <c r="S133" s="125">
        <f t="shared" si="20"/>
        <v>9600131.2000000011</v>
      </c>
      <c r="T133" s="126">
        <f t="shared" si="21"/>
        <v>2.1666323320318672E-3</v>
      </c>
    </row>
    <row r="134" spans="1:20">
      <c r="A134" s="137" t="str">
        <f t="shared" si="17"/>
        <v>418p</v>
      </c>
      <c r="B134" s="515" t="str">
        <f>+VLOOKUP(LEFT($A134,LEN(A134)-1)*1,Master!$D$25:$G$223,4,FALSE)</f>
        <v>Subvencije</v>
      </c>
      <c r="C134" s="516"/>
      <c r="D134" s="516"/>
      <c r="E134" s="516"/>
      <c r="F134" s="516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2250983.3333333335</v>
      </c>
      <c r="P134" s="91">
        <f>+SUM(DataEx!FC307)</f>
        <v>2250983.3333333335</v>
      </c>
      <c r="Q134" s="91">
        <f>+SUM(DataEx!FD307)</f>
        <v>2250983.3333333335</v>
      </c>
      <c r="R134" s="91">
        <f>+SUM(DataEx!FE307)</f>
        <v>2250983.3333333335</v>
      </c>
      <c r="S134" s="125">
        <f t="shared" si="20"/>
        <v>27011799.999999996</v>
      </c>
      <c r="T134" s="126">
        <f t="shared" si="21"/>
        <v>6.0962332708930454E-3</v>
      </c>
    </row>
    <row r="135" spans="1:20">
      <c r="A135" s="137" t="str">
        <f t="shared" si="17"/>
        <v>419p</v>
      </c>
      <c r="B135" s="515" t="str">
        <f>+VLOOKUP(LEFT($A135,LEN(A135)-1)*1,Master!$D$25:$G$223,4,FALSE)</f>
        <v>Ostali izdaci</v>
      </c>
      <c r="C135" s="516"/>
      <c r="D135" s="516"/>
      <c r="E135" s="516"/>
      <c r="F135" s="516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3987180.345444445</v>
      </c>
      <c r="P135" s="91">
        <f>+SUM(DataEx!FC311)</f>
        <v>3987180.345444445</v>
      </c>
      <c r="Q135" s="91">
        <f>+SUM(DataEx!FD311)</f>
        <v>3987180.345444445</v>
      </c>
      <c r="R135" s="91">
        <f>+SUM(DataEx!FE311)</f>
        <v>3987180.345444445</v>
      </c>
      <c r="S135" s="125">
        <f t="shared" si="20"/>
        <v>39757359.010000005</v>
      </c>
      <c r="T135" s="126">
        <f t="shared" si="21"/>
        <v>8.972750233586858E-3</v>
      </c>
    </row>
    <row r="136" spans="1:20">
      <c r="A136" s="137" t="str">
        <f t="shared" si="17"/>
        <v>440p</v>
      </c>
      <c r="B136" s="515" t="str">
        <f>+VLOOKUP(LEFT($A136,LEN(A136)-1)*1,Master!$D$25:$G$223,4,FALSE)</f>
        <v>Kapitalni izdaci u tekućem budžetu</v>
      </c>
      <c r="C136" s="516"/>
      <c r="D136" s="516"/>
      <c r="E136" s="516"/>
      <c r="F136" s="516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4983186.4420000007</v>
      </c>
      <c r="P136" s="91">
        <f>+SUM(DataEx!FC369)</f>
        <v>4983186.4420000007</v>
      </c>
      <c r="Q136" s="91">
        <f>+SUM(DataEx!FD369)</f>
        <v>4983186.4420000007</v>
      </c>
      <c r="R136" s="91">
        <f>+SUM(DataEx!FE369)</f>
        <v>4983186.4420000007</v>
      </c>
      <c r="S136" s="125">
        <f t="shared" si="20"/>
        <v>50031864.415333346</v>
      </c>
      <c r="T136" s="126">
        <f t="shared" si="21"/>
        <v>1.1291580585283654E-2</v>
      </c>
    </row>
    <row r="137" spans="1:20">
      <c r="A137" s="137" t="str">
        <f t="shared" si="17"/>
        <v>42p</v>
      </c>
      <c r="B137" s="542" t="str">
        <f>+VLOOKUP(LEFT($A137,LEN(A137)-1)*1,Master!$D$25:$G$223,4,FALSE)</f>
        <v>Transferi za socijalnu zaštitu</v>
      </c>
      <c r="C137" s="543"/>
      <c r="D137" s="543"/>
      <c r="E137" s="543"/>
      <c r="F137" s="543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45950724.162500009</v>
      </c>
      <c r="P137" s="87">
        <f t="shared" si="26"/>
        <v>45950724.162500009</v>
      </c>
      <c r="Q137" s="87">
        <f t="shared" si="26"/>
        <v>45950724.162500009</v>
      </c>
      <c r="R137" s="87">
        <f t="shared" si="26"/>
        <v>45950724.162500009</v>
      </c>
      <c r="S137" s="127">
        <f t="shared" si="20"/>
        <v>551408689.95000017</v>
      </c>
      <c r="T137" s="128">
        <f t="shared" si="21"/>
        <v>0.12444620504863575</v>
      </c>
    </row>
    <row r="138" spans="1:20">
      <c r="A138" s="137" t="str">
        <f t="shared" si="17"/>
        <v>421p</v>
      </c>
      <c r="B138" s="515" t="str">
        <f>+VLOOKUP(LEFT($A138,LEN(A138)-1)*1,Master!$D$25:$G$223,4,FALSE)</f>
        <v>Prava iz oblasti socijalne zaštite</v>
      </c>
      <c r="C138" s="516"/>
      <c r="D138" s="516"/>
      <c r="E138" s="516"/>
      <c r="F138" s="516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6651000</v>
      </c>
      <c r="P138" s="91">
        <f>SUM(DataEx!FC322)</f>
        <v>6651000</v>
      </c>
      <c r="Q138" s="91">
        <f>SUM(DataEx!FD322)</f>
        <v>6651000</v>
      </c>
      <c r="R138" s="91">
        <f>SUM(DataEx!FE322)</f>
        <v>6651000</v>
      </c>
      <c r="S138" s="125">
        <f t="shared" si="20"/>
        <v>79812000</v>
      </c>
      <c r="T138" s="126">
        <f t="shared" si="21"/>
        <v>1.8012593378320431E-2</v>
      </c>
    </row>
    <row r="139" spans="1:20">
      <c r="A139" s="137" t="str">
        <f t="shared" si="17"/>
        <v>422p</v>
      </c>
      <c r="B139" s="515" t="str">
        <f>+VLOOKUP(LEFT($A139,LEN(A139)-1)*1,Master!$D$25:$G$223,4,FALSE)</f>
        <v>Sredstva za tehnološke viškove</v>
      </c>
      <c r="C139" s="516"/>
      <c r="D139" s="516"/>
      <c r="E139" s="516"/>
      <c r="F139" s="516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1699899.96</v>
      </c>
      <c r="P139" s="91">
        <f>SUM(DataEx!FC330)</f>
        <v>1699899.96</v>
      </c>
      <c r="Q139" s="91">
        <f>SUM(DataEx!FD330)</f>
        <v>1699899.96</v>
      </c>
      <c r="R139" s="91">
        <f>SUM(DataEx!FE330)</f>
        <v>1699899.96</v>
      </c>
      <c r="S139" s="125">
        <f t="shared" si="20"/>
        <v>20398799.520000007</v>
      </c>
      <c r="T139" s="126">
        <f t="shared" si="21"/>
        <v>4.6037598501433132E-3</v>
      </c>
    </row>
    <row r="140" spans="1:20">
      <c r="A140" s="137" t="str">
        <f t="shared" si="17"/>
        <v>423p</v>
      </c>
      <c r="B140" s="515" t="str">
        <f>+VLOOKUP(LEFT($A140,LEN(A140)-1)*1,Master!$D$25:$G$223,4,FALSE)</f>
        <v>Prava iz oblasti penzijskog i invalidskog osiguranja</v>
      </c>
      <c r="C140" s="516"/>
      <c r="D140" s="516"/>
      <c r="E140" s="516"/>
      <c r="F140" s="516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9.6069148577038549E-2</v>
      </c>
    </row>
    <row r="141" spans="1:20">
      <c r="A141" s="137" t="str">
        <f t="shared" si="17"/>
        <v>424p</v>
      </c>
      <c r="B141" s="515" t="str">
        <f>+VLOOKUP(LEFT($A141,LEN(A141)-1)*1,Master!$D$25:$G$223,4,FALSE)</f>
        <v>Ostala prava iz oblasti zdravstvene zaštite</v>
      </c>
      <c r="C141" s="516"/>
      <c r="D141" s="516"/>
      <c r="E141" s="516"/>
      <c r="F141" s="516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1375008.3333333333</v>
      </c>
      <c r="P141" s="91">
        <f>SUM(DataEx!FC344)</f>
        <v>1375008.3333333333</v>
      </c>
      <c r="Q141" s="91">
        <f>SUM(DataEx!FD344)</f>
        <v>1375008.3333333333</v>
      </c>
      <c r="R141" s="91">
        <f>SUM(DataEx!FE344)</f>
        <v>1375008.3333333333</v>
      </c>
      <c r="S141" s="125">
        <f t="shared" si="20"/>
        <v>16500100.000000002</v>
      </c>
      <c r="T141" s="126">
        <f t="shared" si="21"/>
        <v>3.7238709968629401E-3</v>
      </c>
    </row>
    <row r="142" spans="1:20">
      <c r="A142" s="137" t="str">
        <f t="shared" si="17"/>
        <v>425p</v>
      </c>
      <c r="B142" s="515" t="str">
        <f>+VLOOKUP(LEFT($A142,LEN(A142)-1)*1,Master!$D$25:$G$223,4,FALSE)</f>
        <v>Ostala prava iz zdravstvenog osiguranja</v>
      </c>
      <c r="C142" s="516"/>
      <c r="D142" s="516"/>
      <c r="E142" s="516"/>
      <c r="F142" s="516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752083.33333333337</v>
      </c>
      <c r="P142" s="91">
        <f>SUM(DataEx!FC346)</f>
        <v>752083.33333333337</v>
      </c>
      <c r="Q142" s="91">
        <f>SUM(DataEx!FD346)</f>
        <v>752083.33333333337</v>
      </c>
      <c r="R142" s="91">
        <f>SUM(DataEx!FE346)</f>
        <v>752083.33333333337</v>
      </c>
      <c r="S142" s="125">
        <f t="shared" si="20"/>
        <v>9024999.9999999981</v>
      </c>
      <c r="T142" s="126">
        <f t="shared" si="21"/>
        <v>2.0368322462705089E-3</v>
      </c>
    </row>
    <row r="143" spans="1:20">
      <c r="A143" s="137" t="str">
        <f t="shared" si="17"/>
        <v>43p</v>
      </c>
      <c r="B143" s="538" t="str">
        <f>+VLOOKUP(LEFT($A143,LEN(A143)-1)*1,Master!$D$25:$G$223,4,FALSE)</f>
        <v xml:space="preserve">Transferi institucijama, pojedincima, nevladinom i javnom sektoru </v>
      </c>
      <c r="C143" s="539"/>
      <c r="D143" s="539"/>
      <c r="E143" s="539"/>
      <c r="F143" s="539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15295211.558333334</v>
      </c>
      <c r="P143" s="85">
        <f>SUM(DataEx!FC350)</f>
        <v>15295211.558333334</v>
      </c>
      <c r="Q143" s="85">
        <f>SUM(DataEx!FD350)</f>
        <v>15295211.558333334</v>
      </c>
      <c r="R143" s="85">
        <f>SUM(DataEx!FE350)</f>
        <v>15295211.558333334</v>
      </c>
      <c r="S143" s="127">
        <f>+SUM(G143:R143)</f>
        <v>192142538.69999999</v>
      </c>
      <c r="T143" s="128">
        <f t="shared" si="21"/>
        <v>4.3364223679162248E-2</v>
      </c>
    </row>
    <row r="144" spans="1:20">
      <c r="A144" s="137" t="str">
        <f t="shared" si="17"/>
        <v>44p</v>
      </c>
      <c r="B144" s="538" t="str">
        <f>+VLOOKUP(LEFT($A144,LEN(A144)-1)*1,Master!$D$25:$G$223,4,FALSE)</f>
        <v>Kapitalni budžet</v>
      </c>
      <c r="C144" s="539"/>
      <c r="D144" s="539"/>
      <c r="E144" s="539"/>
      <c r="F144" s="539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26990416.666666664</v>
      </c>
      <c r="P144" s="85">
        <f>SUM(DataEx!FC368)</f>
        <v>26990416.666666664</v>
      </c>
      <c r="Q144" s="85">
        <f>SUM(DataEx!FD368)</f>
        <v>27490416.670000002</v>
      </c>
      <c r="R144" s="85">
        <f>SUM(DataEx!FE368)</f>
        <v>27490416.66</v>
      </c>
      <c r="S144" s="127">
        <f t="shared" si="20"/>
        <v>291774999.99666667</v>
      </c>
      <c r="T144" s="128">
        <f t="shared" si="21"/>
        <v>6.5850053035876835E-2</v>
      </c>
    </row>
    <row r="145" spans="1:20">
      <c r="A145" s="137" t="str">
        <f t="shared" si="17"/>
        <v>451p</v>
      </c>
      <c r="B145" s="540" t="str">
        <f>+VLOOKUP(LEFT($A145,LEN(A145)-1)*1,Master!$D$25:$G$223,4,FALSE)</f>
        <v>Pozajmice i krediti</v>
      </c>
      <c r="C145" s="541"/>
      <c r="D145" s="541"/>
      <c r="E145" s="541"/>
      <c r="F145" s="541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6.4885260330858278E-4</v>
      </c>
    </row>
    <row r="146" spans="1:20">
      <c r="A146" s="137" t="str">
        <f t="shared" si="17"/>
        <v>47p</v>
      </c>
      <c r="B146" s="540" t="str">
        <f>+VLOOKUP(LEFT($A146,LEN(A146)-1)*1,Master!$D$25:$G$223,4,FALSE)</f>
        <v>Rezerve</v>
      </c>
      <c r="C146" s="541"/>
      <c r="D146" s="541"/>
      <c r="E146" s="541"/>
      <c r="F146" s="541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1246269.3720000002</v>
      </c>
      <c r="P146" s="91">
        <f>SUM(DataEx!FC394)</f>
        <v>1246269.3720000002</v>
      </c>
      <c r="Q146" s="91">
        <f>SUM(DataEx!FD394)</f>
        <v>1246269.3720000002</v>
      </c>
      <c r="R146" s="91">
        <f>SUM(DataEx!FE394)</f>
        <v>1246269.3720000002</v>
      </c>
      <c r="S146" s="125">
        <f t="shared" si="20"/>
        <v>13057693.139999999</v>
      </c>
      <c r="T146" s="126">
        <f t="shared" si="21"/>
        <v>2.9469618226545392E-3</v>
      </c>
    </row>
    <row r="147" spans="1:20">
      <c r="A147" s="137" t="str">
        <f t="shared" si="17"/>
        <v>462p</v>
      </c>
      <c r="B147" s="540" t="str">
        <f>+VLOOKUP(LEFT($A147,LEN(A147)-1)*1,Master!$D$25:$G$223,4,FALSE)</f>
        <v>Otplata garancija</v>
      </c>
      <c r="C147" s="541"/>
      <c r="D147" s="541"/>
      <c r="E147" s="541"/>
      <c r="F147" s="541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699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48" t="str">
        <f>+VLOOKUP(LEFT($A149,LEN(A149)-1)*1,Master!$D$25:$G$223,4,FALSE)</f>
        <v>Suficit / deficit</v>
      </c>
      <c r="C149" s="549"/>
      <c r="D149" s="549"/>
      <c r="E149" s="549"/>
      <c r="F149" s="549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30357594.729703128</v>
      </c>
      <c r="P149" s="97">
        <f t="shared" si="27"/>
        <v>-7115497.9492367506</v>
      </c>
      <c r="Q149" s="97">
        <f t="shared" si="27"/>
        <v>-21744835.354449928</v>
      </c>
      <c r="R149" s="97">
        <f t="shared" si="27"/>
        <v>37629426.643876016</v>
      </c>
      <c r="S149" s="113">
        <f t="shared" si="20"/>
        <v>-77387248.00778769</v>
      </c>
      <c r="T149" s="114">
        <f t="shared" si="21"/>
        <v>-1.7465356475611656E-2</v>
      </c>
    </row>
    <row r="150" spans="1:20" ht="13.5" thickBot="1">
      <c r="A150" s="138" t="str">
        <f>+CONCATENATE(A56,"p")</f>
        <v>1001p</v>
      </c>
      <c r="B150" s="550" t="str">
        <f>+VLOOKUP(LEFT($A150,LEN(A150)-1)*1,Master!$D$25:$G$223,4,FALSE)</f>
        <v>Primarni bilans</v>
      </c>
      <c r="C150" s="551"/>
      <c r="D150" s="551"/>
      <c r="E150" s="551"/>
      <c r="F150" s="551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37480319.729703128</v>
      </c>
      <c r="P150" s="98">
        <f t="shared" si="28"/>
        <v>7227.0507632493973</v>
      </c>
      <c r="Q150" s="98">
        <f t="shared" si="28"/>
        <v>-14622110.354449928</v>
      </c>
      <c r="R150" s="98">
        <f t="shared" si="28"/>
        <v>44752151.643876016</v>
      </c>
      <c r="S150" s="113">
        <f t="shared" si="20"/>
        <v>8085451.9922123104</v>
      </c>
      <c r="T150" s="114">
        <f t="shared" si="21"/>
        <v>1.8247877388820129E-3</v>
      </c>
    </row>
    <row r="151" spans="1:20">
      <c r="A151" s="138" t="str">
        <f>+CONCATENATE(A57,"p")</f>
        <v>46p</v>
      </c>
      <c r="B151" s="542" t="str">
        <f>+VLOOKUP(LEFT($A151,LEN(A151)-1)*1,Master!$D$25:$G$223,4,FALSE)</f>
        <v>Otplata dugova</v>
      </c>
      <c r="C151" s="543"/>
      <c r="D151" s="543"/>
      <c r="E151" s="543"/>
      <c r="F151" s="543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21341585.159562141</v>
      </c>
      <c r="P151" s="87">
        <f t="shared" si="29"/>
        <v>8527904.0295741875</v>
      </c>
      <c r="Q151" s="87">
        <f t="shared" si="29"/>
        <v>10654232.024569688</v>
      </c>
      <c r="R151" s="87">
        <f t="shared" si="29"/>
        <v>24552542.391243692</v>
      </c>
      <c r="S151" s="109">
        <f t="shared" si="20"/>
        <v>181752774.81000003</v>
      </c>
      <c r="T151" s="110">
        <f t="shared" si="21"/>
        <v>4.1019380895529131E-2</v>
      </c>
    </row>
    <row r="152" spans="1:20">
      <c r="A152" s="138" t="str">
        <f>+CONCATENATE(A58,"p")</f>
        <v>4611p</v>
      </c>
      <c r="B152" s="546" t="str">
        <f>+VLOOKUP(LEFT($A152,LEN(A152)-1)*1,Master!$D$25:$G$223,4,FALSE)</f>
        <v>Otplata hartija od vrijednosti i kredita rezidentima</v>
      </c>
      <c r="C152" s="547"/>
      <c r="D152" s="547"/>
      <c r="E152" s="547"/>
      <c r="F152" s="547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1.143972552077456E-2</v>
      </c>
    </row>
    <row r="153" spans="1:20">
      <c r="A153" s="138" t="str">
        <f>+CONCATENATE(A59,"p")</f>
        <v>4612p</v>
      </c>
      <c r="B153" s="540" t="str">
        <f>+VLOOKUP(LEFT($A153,LEN(A153)-1)*1,Master!$D$25:$G$223,4,FALSE)</f>
        <v>Otplata hartija od vrijednosti i kredita nerezidentima</v>
      </c>
      <c r="C153" s="541"/>
      <c r="D153" s="541"/>
      <c r="E153" s="541"/>
      <c r="F153" s="541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8947929.8245770223</v>
      </c>
      <c r="S153" s="107">
        <f t="shared" si="20"/>
        <v>100600000.00000001</v>
      </c>
      <c r="T153" s="108">
        <f t="shared" si="21"/>
        <v>2.2704191022139976E-2</v>
      </c>
    </row>
    <row r="154" spans="1:20">
      <c r="A154" s="138" t="str">
        <f>+CONCATENATE(A53,"p")</f>
        <v>4630p</v>
      </c>
      <c r="B154" s="540" t="str">
        <f>+VLOOKUP(LEFT($A154,LEN(A154)-1)*1,Master!$D$25:$G$223,4,FALSE)</f>
        <v>Otplata obaveza iz prethodnih godina</v>
      </c>
      <c r="C154" s="541"/>
      <c r="D154" s="541"/>
      <c r="E154" s="541"/>
      <c r="F154" s="541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2757457.9166666665</v>
      </c>
      <c r="P154" s="100">
        <f>SUM(DataEx!FC393)</f>
        <v>2852457.9166666665</v>
      </c>
      <c r="Q154" s="100">
        <f>SUM(DataEx!FD393)</f>
        <v>2847457.9166666665</v>
      </c>
      <c r="R154" s="100">
        <f>SUM(DataEx!FE393)</f>
        <v>3402457.9166666665</v>
      </c>
      <c r="S154" s="107">
        <f t="shared" si="20"/>
        <v>30464495.000000004</v>
      </c>
      <c r="T154" s="108">
        <f t="shared" si="21"/>
        <v>6.8754643526145942E-3</v>
      </c>
    </row>
    <row r="155" spans="1:20" ht="13.5" thickBot="1">
      <c r="A155" s="138"/>
      <c r="B155" s="433" t="s">
        <v>340</v>
      </c>
      <c r="C155" s="434"/>
      <c r="D155" s="434"/>
      <c r="E155" s="434"/>
      <c r="F155" s="434"/>
      <c r="G155" s="440">
        <f>+DataEx!ET377</f>
        <v>0</v>
      </c>
      <c r="H155" s="440">
        <f>+DataEx!EU377</f>
        <v>0</v>
      </c>
      <c r="I155" s="440">
        <f>+DataEx!EV377</f>
        <v>0</v>
      </c>
      <c r="J155" s="440">
        <f>+DataEx!EW377</f>
        <v>0</v>
      </c>
      <c r="K155" s="440">
        <f>+DataEx!EX377</f>
        <v>70000000</v>
      </c>
      <c r="L155" s="440">
        <f>+DataEx!EY377</f>
        <v>0</v>
      </c>
      <c r="M155" s="440">
        <f>+DataEx!EZ377</f>
        <v>0</v>
      </c>
      <c r="N155" s="440">
        <f>+DataEx!FA377</f>
        <v>0</v>
      </c>
      <c r="O155" s="440">
        <f>+DataEx!FB377</f>
        <v>0</v>
      </c>
      <c r="P155" s="440">
        <f>+DataEx!FC377</f>
        <v>0</v>
      </c>
      <c r="Q155" s="440">
        <f>+DataEx!FD377</f>
        <v>0</v>
      </c>
      <c r="R155" s="440">
        <f>+DataEx!FE377</f>
        <v>0</v>
      </c>
      <c r="S155" s="107">
        <f t="shared" si="20"/>
        <v>70000000</v>
      </c>
      <c r="T155" s="108">
        <f t="shared" si="21"/>
        <v>1.5798144846419462E-2</v>
      </c>
    </row>
    <row r="156" spans="1:20" ht="13.5" thickBot="1">
      <c r="A156" s="138" t="str">
        <f t="shared" ref="A156:A161" si="30">+CONCATENATE(A61,"p")</f>
        <v>1002p</v>
      </c>
      <c r="B156" s="544" t="str">
        <f>+VLOOKUP(LEFT($A156,LEN(A156)-1)*1,Master!$D$25:$G$223,4,FALSE)</f>
        <v>Nedostajuća sredstva</v>
      </c>
      <c r="C156" s="545"/>
      <c r="D156" s="545"/>
      <c r="E156" s="545"/>
      <c r="F156" s="545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9016009.5701409876</v>
      </c>
      <c r="P156" s="79">
        <f t="shared" si="31"/>
        <v>-15643401.978810938</v>
      </c>
      <c r="Q156" s="79">
        <f t="shared" si="31"/>
        <v>-32399067.379019618</v>
      </c>
      <c r="R156" s="79">
        <f t="shared" si="31"/>
        <v>13076884.252632324</v>
      </c>
      <c r="S156" s="117">
        <f t="shared" si="20"/>
        <v>-329140022.81778777</v>
      </c>
      <c r="T156" s="118">
        <f t="shared" si="21"/>
        <v>-7.4282882217560256E-2</v>
      </c>
    </row>
    <row r="157" spans="1:20" ht="13.5" thickBot="1">
      <c r="A157" s="138" t="str">
        <f t="shared" si="30"/>
        <v>1003p</v>
      </c>
      <c r="B157" s="532" t="str">
        <f>+VLOOKUP(LEFT($A157,LEN(A157)-1)*1,Master!$D$25:$G$223,4,FALSE)</f>
        <v>Finansiranje</v>
      </c>
      <c r="C157" s="533"/>
      <c r="D157" s="533"/>
      <c r="E157" s="533"/>
      <c r="F157" s="533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-9016009.5701409876</v>
      </c>
      <c r="P157" s="97">
        <f t="shared" si="32"/>
        <v>15643401.978810938</v>
      </c>
      <c r="Q157" s="97">
        <f t="shared" si="32"/>
        <v>32399067.379019618</v>
      </c>
      <c r="R157" s="97">
        <f t="shared" si="32"/>
        <v>-13076884.25263232</v>
      </c>
      <c r="S157" s="119">
        <f t="shared" si="20"/>
        <v>329140022.81778777</v>
      </c>
      <c r="T157" s="120">
        <f t="shared" si="21"/>
        <v>7.4282882217560256E-2</v>
      </c>
    </row>
    <row r="158" spans="1:20">
      <c r="A158" s="138" t="str">
        <f t="shared" si="30"/>
        <v>7511p</v>
      </c>
      <c r="B158" s="546" t="str">
        <f>+VLOOKUP(LEFT($A158,LEN(A158)-1)*1,Master!$D$25:$G$223,4,FALSE)</f>
        <v>Pozajmice i krediti od domaćih izvora</v>
      </c>
      <c r="C158" s="547"/>
      <c r="D158" s="547"/>
      <c r="E158" s="547"/>
      <c r="F158" s="547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40" t="str">
        <f>+VLOOKUP(LEFT($A159,LEN(A159)-1)*1,Master!$D$25:$G$223,4,FALSE)</f>
        <v>Pozajmice i krediti od inostranih izvora</v>
      </c>
      <c r="C159" s="541"/>
      <c r="D159" s="541"/>
      <c r="E159" s="541"/>
      <c r="F159" s="541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24658333.329999998</v>
      </c>
      <c r="S159" s="107">
        <f t="shared" si="20"/>
        <v>295899999.95999992</v>
      </c>
      <c r="T159" s="108">
        <f t="shared" si="21"/>
        <v>6.6781015134622743E-2</v>
      </c>
    </row>
    <row r="160" spans="1:20">
      <c r="A160" s="138" t="str">
        <f t="shared" si="30"/>
        <v>72p</v>
      </c>
      <c r="B160" s="540" t="str">
        <f>+VLOOKUP(LEFT($A160,LEN(A160)-1)*1,Master!$D$25:$G$223,4,FALSE)</f>
        <v>Primici od prodaje imovine</v>
      </c>
      <c r="C160" s="541"/>
      <c r="D160" s="541"/>
      <c r="E160" s="541"/>
      <c r="F160" s="541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0</v>
      </c>
      <c r="S160" s="107">
        <f t="shared" si="20"/>
        <v>0</v>
      </c>
      <c r="T160" s="108">
        <f t="shared" si="21"/>
        <v>0</v>
      </c>
    </row>
    <row r="161" spans="1:20" ht="13.5" thickBot="1">
      <c r="A161" s="138" t="str">
        <f t="shared" si="30"/>
        <v>1004p</v>
      </c>
      <c r="B161" s="102" t="str">
        <f>+VLOOKUP(LEFT($A161,LEN(A161)-1)*1,Master!$D$25:$G$223,4,FALSE)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-33674342.900140986</v>
      </c>
      <c r="P161" s="101">
        <f t="shared" si="33"/>
        <v>-9014931.3511890601</v>
      </c>
      <c r="Q161" s="101">
        <f t="shared" si="33"/>
        <v>7740734.0490196198</v>
      </c>
      <c r="R161" s="101">
        <f t="shared" si="33"/>
        <v>-37735217.582632318</v>
      </c>
      <c r="S161" s="111">
        <f t="shared" si="20"/>
        <v>33240022.857787743</v>
      </c>
      <c r="T161" s="112">
        <f t="shared" si="21"/>
        <v>7.5018670829374943E-3</v>
      </c>
    </row>
  </sheetData>
  <mergeCells count="116"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59"/>
  <sheetViews>
    <sheetView topLeftCell="K1" zoomScaleNormal="100" workbookViewId="0">
      <pane ySplit="1" topLeftCell="A20" activePane="bottomLeft" state="frozen"/>
      <selection pane="bottomLeft" activeCell="N37" sqref="N37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4.28515625" style="303" customWidth="1"/>
    <col min="9" max="9" width="14.5703125" style="303" customWidth="1"/>
    <col min="10" max="10" width="16.5703125" style="303" customWidth="1"/>
    <col min="11" max="11" width="17.140625" style="303" customWidth="1"/>
    <col min="12" max="12" width="14.85546875" style="303" customWidth="1"/>
    <col min="13" max="13" width="15.7109375" style="303" customWidth="1"/>
    <col min="14" max="14" width="14" style="303" customWidth="1"/>
    <col min="15" max="15" width="15" style="303" customWidth="1"/>
    <col min="16" max="16" width="13.85546875" style="303" customWidth="1"/>
    <col min="17" max="17" width="14.28515625" style="303" customWidth="1"/>
    <col min="18" max="18" width="19.1406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742</v>
      </c>
      <c r="H6" s="259" t="s">
        <v>743</v>
      </c>
      <c r="I6" s="259" t="s">
        <v>744</v>
      </c>
      <c r="J6" s="259" t="s">
        <v>745</v>
      </c>
      <c r="K6" s="259" t="s">
        <v>746</v>
      </c>
      <c r="L6" s="259" t="s">
        <v>747</v>
      </c>
      <c r="M6" s="259" t="s">
        <v>748</v>
      </c>
      <c r="N6" s="259" t="s">
        <v>749</v>
      </c>
      <c r="O6" s="259" t="s">
        <v>750</v>
      </c>
      <c r="P6" s="259" t="s">
        <v>751</v>
      </c>
      <c r="Q6" s="259" t="s">
        <v>752</v>
      </c>
      <c r="R6" s="259" t="s">
        <v>753</v>
      </c>
      <c r="S6" s="258"/>
      <c r="T6" s="258"/>
    </row>
    <row r="7" spans="1:20" ht="15" customHeight="1" thickBot="1">
      <c r="A7" s="169"/>
      <c r="B7" s="498" t="str">
        <f>+[1]Master!G249</f>
        <v>Ostvarenje budžeta</v>
      </c>
      <c r="C7" s="479"/>
      <c r="D7" s="479"/>
      <c r="E7" s="479"/>
      <c r="F7" s="479"/>
      <c r="G7" s="487">
        <v>2017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+[1]Master!G246</f>
        <v>BDP</v>
      </c>
      <c r="T7" s="261">
        <v>4236600000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87" t="str">
        <f>+[1]Master!G243</f>
        <v>Jan - Dec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+[1]Master!G247</f>
        <v>% BDP</v>
      </c>
    </row>
    <row r="10" spans="1:20" ht="13.5" thickBot="1">
      <c r="A10" s="175">
        <v>7</v>
      </c>
      <c r="B10" s="446" t="str">
        <f>+VLOOKUP($A10,[1]Master!$D$25:$G$223,4,FALSE)</f>
        <v>Prihodi budžeta</v>
      </c>
      <c r="C10" s="447"/>
      <c r="D10" s="447"/>
      <c r="E10" s="447"/>
      <c r="F10" s="447"/>
      <c r="G10" s="426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0.36970062724826513</v>
      </c>
    </row>
    <row r="11" spans="1:20">
      <c r="A11" s="175">
        <v>711</v>
      </c>
      <c r="B11" s="448" t="str">
        <f>+VLOOKUP($A11,[1]Master!$D$25:$G$223,4,FALSE)</f>
        <v>Porezi</v>
      </c>
      <c r="C11" s="449"/>
      <c r="D11" s="449"/>
      <c r="E11" s="449"/>
      <c r="F11" s="449"/>
      <c r="G11" s="428">
        <f t="shared" ref="G11:R11" si="2">+SUM(G12:G18)</f>
        <v>53512170.450000003</v>
      </c>
      <c r="H11" s="427">
        <f t="shared" si="2"/>
        <v>50615120.200000003</v>
      </c>
      <c r="I11" s="427">
        <f t="shared" si="2"/>
        <v>90524246.909999996</v>
      </c>
      <c r="J11" s="427">
        <f t="shared" si="2"/>
        <v>81677988.170000002</v>
      </c>
      <c r="K11" s="427">
        <f t="shared" si="2"/>
        <v>77800336.479999989</v>
      </c>
      <c r="L11" s="427">
        <f t="shared" si="2"/>
        <v>85282444.409999996</v>
      </c>
      <c r="M11" s="427">
        <f t="shared" si="2"/>
        <v>89248400.649999991</v>
      </c>
      <c r="N11" s="427">
        <f t="shared" si="2"/>
        <v>99153787.180000007</v>
      </c>
      <c r="O11" s="427">
        <f t="shared" si="2"/>
        <v>92913520.620000005</v>
      </c>
      <c r="P11" s="427">
        <f t="shared" si="2"/>
        <v>86378572.320000008</v>
      </c>
      <c r="Q11" s="427">
        <f t="shared" si="2"/>
        <v>74654697.830000013</v>
      </c>
      <c r="R11" s="427">
        <f t="shared" si="2"/>
        <v>89394289.060000002</v>
      </c>
      <c r="S11" s="267">
        <f t="shared" ref="S11:S64" si="3">+SUM(G11:R11)</f>
        <v>971155574.28000021</v>
      </c>
      <c r="T11" s="268">
        <f t="shared" ref="T11:T65" si="4">+S11/$T$7</f>
        <v>0.22922994247273762</v>
      </c>
    </row>
    <row r="12" spans="1:20">
      <c r="A12" s="175">
        <v>7111</v>
      </c>
      <c r="B12" s="450" t="str">
        <f>+VLOOKUP($A12,[1]Master!$D$25:$G$223,4,FALSE)</f>
        <v>Porez na dohodak fizičkih lica</v>
      </c>
      <c r="C12" s="451"/>
      <c r="D12" s="451"/>
      <c r="E12" s="451"/>
      <c r="F12" s="451"/>
      <c r="G12" s="429">
        <v>3855468.97</v>
      </c>
      <c r="H12" s="429">
        <v>7751521.5300000003</v>
      </c>
      <c r="I12" s="429">
        <v>9093379.6300000008</v>
      </c>
      <c r="J12" s="429">
        <v>8729072.4399999995</v>
      </c>
      <c r="K12" s="429">
        <v>9825835.5299999993</v>
      </c>
      <c r="L12" s="429">
        <v>9719543.6799999997</v>
      </c>
      <c r="M12" s="429">
        <v>10577855.74</v>
      </c>
      <c r="N12" s="429">
        <v>10476522.35</v>
      </c>
      <c r="O12" s="429">
        <v>9609655.3800000008</v>
      </c>
      <c r="P12" s="429">
        <v>10226839.18</v>
      </c>
      <c r="Q12" s="429">
        <v>7670634.21</v>
      </c>
      <c r="R12" s="429">
        <v>14446111.9</v>
      </c>
      <c r="S12" s="269">
        <f t="shared" si="3"/>
        <v>111982440.54000001</v>
      </c>
      <c r="T12" s="270">
        <f t="shared" si="4"/>
        <v>2.6432148548364256E-2</v>
      </c>
    </row>
    <row r="13" spans="1:20">
      <c r="A13" s="175">
        <v>7112</v>
      </c>
      <c r="B13" s="450" t="str">
        <f>+VLOOKUP($A13,[1]Master!$D$25:$G$223,4,FALSE)</f>
        <v>Porez na dobit pravnih lica</v>
      </c>
      <c r="C13" s="451"/>
      <c r="D13" s="451"/>
      <c r="E13" s="451"/>
      <c r="F13" s="451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1.1619813579285276E-2</v>
      </c>
    </row>
    <row r="14" spans="1:20">
      <c r="A14" s="175">
        <v>7113</v>
      </c>
      <c r="B14" s="450" t="str">
        <f>+VLOOKUP($A14,[1]Master!$D$25:$G$223,4,FALSE)</f>
        <v>Porez na promet nepokretnosti</v>
      </c>
      <c r="C14" s="451"/>
      <c r="D14" s="451"/>
      <c r="E14" s="451"/>
      <c r="F14" s="451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3.598793136005287E-4</v>
      </c>
    </row>
    <row r="15" spans="1:20">
      <c r="A15" s="175">
        <v>7114</v>
      </c>
      <c r="B15" s="450" t="str">
        <f>+VLOOKUP($A15,[1]Master!$D$25:$G$223,4,FALSE)</f>
        <v>Porez na dodatu vrijednost</v>
      </c>
      <c r="C15" s="451"/>
      <c r="D15" s="451"/>
      <c r="E15" s="451"/>
      <c r="F15" s="451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0.12951671539914084</v>
      </c>
    </row>
    <row r="16" spans="1:20">
      <c r="A16" s="175">
        <v>7115</v>
      </c>
      <c r="B16" s="450" t="str">
        <f>+VLOOKUP($A16,[1]Master!$D$25:$G$223,4,FALSE)</f>
        <v>Akcize</v>
      </c>
      <c r="C16" s="451"/>
      <c r="D16" s="451"/>
      <c r="E16" s="451"/>
      <c r="F16" s="451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5.3128666907425758E-2</v>
      </c>
    </row>
    <row r="17" spans="1:25">
      <c r="A17" s="175">
        <v>7116</v>
      </c>
      <c r="B17" s="450" t="str">
        <f>+VLOOKUP($A17,[1]Master!$D$25:$G$223,4,FALSE)</f>
        <v>Porez na međunarodnu trgovinu i transakcije</v>
      </c>
      <c r="C17" s="451"/>
      <c r="D17" s="451"/>
      <c r="E17" s="451"/>
      <c r="F17" s="451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6.0012275881603169E-3</v>
      </c>
    </row>
    <row r="18" spans="1:25">
      <c r="A18" s="175">
        <v>7118</v>
      </c>
      <c r="B18" s="450" t="str">
        <f>+VLOOKUP($A18,[1]Master!$D$25:$G$223,4,FALSE)</f>
        <v>Ostali državni porezi</v>
      </c>
      <c r="C18" s="451"/>
      <c r="D18" s="451"/>
      <c r="E18" s="451"/>
      <c r="F18" s="451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2.17149113676061E-3</v>
      </c>
    </row>
    <row r="19" spans="1:25">
      <c r="A19" s="175">
        <v>712</v>
      </c>
      <c r="B19" s="454" t="str">
        <f>+VLOOKUP($A19,[1]Master!$D$25:$G$223,4,FALSE)</f>
        <v>Doprinosi</v>
      </c>
      <c r="C19" s="455"/>
      <c r="D19" s="455"/>
      <c r="E19" s="455"/>
      <c r="F19" s="455"/>
      <c r="G19" s="430">
        <f>+INDEX([1]DataEx!$1:$1048576,MATCH('2017'!$A19,[1]DataEx!$D:$D,0),MATCH('2017'!G$6,[1]DataEx!$7:$7,0))</f>
        <v>15942566.910000002</v>
      </c>
      <c r="H19" s="430">
        <f>+INDEX([1]DataEx!$1:$1048576,MATCH('2017'!$A19,[1]DataEx!$D:$D,0),MATCH('2017'!H$6,[1]DataEx!$7:$7,0))</f>
        <v>32105522.039999999</v>
      </c>
      <c r="I19" s="430">
        <f>+INDEX([1]DataEx!$1:$1048576,MATCH('2017'!$A19,[1]DataEx!$D:$D,0),MATCH('2017'!I$6,[1]DataEx!$7:$7,0))</f>
        <v>37652066.75</v>
      </c>
      <c r="J19" s="430">
        <f>+INDEX([1]DataEx!$1:$1048576,MATCH('2017'!$A19,[1]DataEx!$D:$D,0),MATCH('2017'!J$6,[1]DataEx!$7:$7,0))</f>
        <v>35977730.460000001</v>
      </c>
      <c r="K19" s="430">
        <f>+INDEX([1]DataEx!$1:$1048576,MATCH('2017'!$A19,[1]DataEx!$D:$D,0),MATCH('2017'!K$6,[1]DataEx!$7:$7,0))</f>
        <v>40567246.729999997</v>
      </c>
      <c r="L19" s="430">
        <f>+INDEX([1]DataEx!$1:$1048576,MATCH('2017'!$A19,[1]DataEx!$D:$D,0),MATCH('2017'!L$6,[1]DataEx!$7:$7,0))</f>
        <v>40389805.469999999</v>
      </c>
      <c r="M19" s="430">
        <f>+INDEX([1]DataEx!$1:$1048576,MATCH('2017'!$A19,[1]DataEx!$D:$D,0),MATCH('2017'!M$6,[1]DataEx!$7:$7,0))</f>
        <v>44393326.049999997</v>
      </c>
      <c r="N19" s="430">
        <f>+INDEX([1]DataEx!$1:$1048576,MATCH('2017'!$A19,[1]DataEx!$D:$D,0),MATCH('2017'!N$6,[1]DataEx!$7:$7,0))</f>
        <v>43764113.43</v>
      </c>
      <c r="O19" s="430">
        <f>+INDEX([1]DataEx!$1:$1048576,MATCH('2017'!$A19,[1]DataEx!$D:$D,0),MATCH('2017'!O$6,[1]DataEx!$7:$7,0))</f>
        <v>39922755.840000004</v>
      </c>
      <c r="P19" s="430">
        <f>+INDEX([1]DataEx!$1:$1048576,MATCH('2017'!$A19,[1]DataEx!$D:$D,0),MATCH('2017'!P$6,[1]DataEx!$7:$7,0))</f>
        <v>42882136.189999998</v>
      </c>
      <c r="Q19" s="430">
        <f>+INDEX([1]DataEx!$1:$1048576,MATCH('2017'!$A19,[1]DataEx!$D:$D,0),MATCH('2017'!Q$6,[1]DataEx!$7:$7,0))</f>
        <v>43774643.869999997</v>
      </c>
      <c r="R19" s="430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0.11682779408487938</v>
      </c>
    </row>
    <row r="20" spans="1:25">
      <c r="A20" s="175">
        <v>7121</v>
      </c>
      <c r="B20" s="450" t="str">
        <f>+VLOOKUP($A20,[1]Master!$D$25:$G$223,4,FALSE)</f>
        <v>Doprinosi za penzijsko i invalidsko osiguranje</v>
      </c>
      <c r="C20" s="451"/>
      <c r="D20" s="451"/>
      <c r="E20" s="451"/>
      <c r="F20" s="451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7.1529543348439792E-2</v>
      </c>
    </row>
    <row r="21" spans="1:25">
      <c r="A21" s="175">
        <v>7122</v>
      </c>
      <c r="B21" s="450" t="str">
        <f>+VLOOKUP($A21,[1]Master!$D$25:$G$223,4,FALSE)</f>
        <v>Doprinosi za zdravstveno osiguranje</v>
      </c>
      <c r="C21" s="451"/>
      <c r="D21" s="451"/>
      <c r="E21" s="451"/>
      <c r="F21" s="451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3.9512975652645985E-2</v>
      </c>
    </row>
    <row r="22" spans="1:25">
      <c r="A22" s="175">
        <v>7123</v>
      </c>
      <c r="B22" s="450" t="str">
        <f>+VLOOKUP($A22,[1]Master!$D$25:$G$223,4,FALSE)</f>
        <v>Doprinosi za osiguranje od nezaposlenosti</v>
      </c>
      <c r="C22" s="451"/>
      <c r="D22" s="451"/>
      <c r="E22" s="451"/>
      <c r="F22" s="451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2.9729840414483306E-3</v>
      </c>
    </row>
    <row r="23" spans="1:25">
      <c r="A23" s="175">
        <v>7124</v>
      </c>
      <c r="B23" s="450" t="str">
        <f>+VLOOKUP($A23,[1]Master!$D$25:$G$223,4,FALSE)</f>
        <v>Ostali doprinosi</v>
      </c>
      <c r="C23" s="451"/>
      <c r="D23" s="451"/>
      <c r="E23" s="451"/>
      <c r="F23" s="451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2.8122910423452763E-3</v>
      </c>
      <c r="Y23" s="379"/>
    </row>
    <row r="24" spans="1:25">
      <c r="A24" s="175">
        <v>713</v>
      </c>
      <c r="B24" s="452" t="str">
        <f>+VLOOKUP($A24,[1]Master!$D$25:$G$223,4,FALSE)</f>
        <v>Takse</v>
      </c>
      <c r="C24" s="453"/>
      <c r="D24" s="453"/>
      <c r="E24" s="453"/>
      <c r="F24" s="453"/>
      <c r="G24" s="430">
        <v>579949.69999999995</v>
      </c>
      <c r="H24" s="430">
        <v>799058.78</v>
      </c>
      <c r="I24" s="430">
        <v>1000001.89</v>
      </c>
      <c r="J24" s="430">
        <v>900446.92</v>
      </c>
      <c r="K24" s="430">
        <v>1044119.04</v>
      </c>
      <c r="L24" s="430">
        <v>1380660.13</v>
      </c>
      <c r="M24" s="430">
        <v>1483988.38</v>
      </c>
      <c r="N24" s="430">
        <v>1598254.37</v>
      </c>
      <c r="O24" s="430">
        <v>1300121.74</v>
      </c>
      <c r="P24" s="430">
        <v>1269238.77</v>
      </c>
      <c r="Q24" s="430">
        <v>1101076.77</v>
      </c>
      <c r="R24" s="430">
        <v>1156088.19</v>
      </c>
      <c r="S24" s="272">
        <f t="shared" si="3"/>
        <v>13613004.68</v>
      </c>
      <c r="T24" s="273">
        <f t="shared" si="4"/>
        <v>3.2131909266864939E-3</v>
      </c>
      <c r="Y24" s="379"/>
    </row>
    <row r="25" spans="1:25">
      <c r="A25" s="175">
        <v>714</v>
      </c>
      <c r="B25" s="452" t="str">
        <f>+VLOOKUP($A25,[1]Master!$D$25:$G$223,4,FALSE)</f>
        <v>Naknade</v>
      </c>
      <c r="C25" s="453"/>
      <c r="D25" s="453"/>
      <c r="E25" s="453"/>
      <c r="F25" s="453"/>
      <c r="G25" s="430">
        <v>1745843.13</v>
      </c>
      <c r="H25" s="430">
        <v>1266650.8400000001</v>
      </c>
      <c r="I25" s="430">
        <v>1508161.35</v>
      </c>
      <c r="J25" s="430">
        <v>1901163.79</v>
      </c>
      <c r="K25" s="430">
        <v>1513570.26</v>
      </c>
      <c r="L25" s="430">
        <v>830213.16</v>
      </c>
      <c r="M25" s="430">
        <v>1705945.14</v>
      </c>
      <c r="N25" s="430">
        <v>1608311.46</v>
      </c>
      <c r="O25" s="430">
        <v>1107710.8999999999</v>
      </c>
      <c r="P25" s="430">
        <v>1997706.83</v>
      </c>
      <c r="Q25" s="430">
        <v>793640.92</v>
      </c>
      <c r="R25" s="430">
        <v>2988857.35</v>
      </c>
      <c r="S25" s="272">
        <f t="shared" si="3"/>
        <v>18967775.129999999</v>
      </c>
      <c r="T25" s="273">
        <f t="shared" si="4"/>
        <v>4.4771220152952833E-3</v>
      </c>
    </row>
    <row r="26" spans="1:25">
      <c r="A26" s="175">
        <v>715</v>
      </c>
      <c r="B26" s="452" t="str">
        <f>+VLOOKUP($A26,[1]Master!$D$25:$G$223,4,FALSE)</f>
        <v>Ostali prihodi</v>
      </c>
      <c r="C26" s="453"/>
      <c r="D26" s="453"/>
      <c r="E26" s="453"/>
      <c r="F26" s="453"/>
      <c r="G26" s="430">
        <v>1549598.76</v>
      </c>
      <c r="H26" s="430">
        <v>2362534.5499999998</v>
      </c>
      <c r="I26" s="430">
        <v>2237749.3199999998</v>
      </c>
      <c r="J26" s="430">
        <v>3537625.59</v>
      </c>
      <c r="K26" s="430">
        <v>2195275.86</v>
      </c>
      <c r="L26" s="430">
        <v>3677729.73</v>
      </c>
      <c r="M26" s="430">
        <v>5924157.2800000003</v>
      </c>
      <c r="N26" s="430">
        <v>2465692.11</v>
      </c>
      <c r="O26" s="430">
        <v>1761653.61</v>
      </c>
      <c r="P26" s="430">
        <v>3080830.83</v>
      </c>
      <c r="Q26" s="430">
        <v>1891187.54</v>
      </c>
      <c r="R26" s="430">
        <v>5038974.07</v>
      </c>
      <c r="S26" s="272">
        <f t="shared" si="3"/>
        <v>35723009.25</v>
      </c>
      <c r="T26" s="273">
        <f t="shared" si="4"/>
        <v>8.4319995397252514E-3</v>
      </c>
    </row>
    <row r="27" spans="1:25">
      <c r="A27" s="175">
        <v>73</v>
      </c>
      <c r="B27" s="452" t="str">
        <f>+VLOOKUP($A27,[1]Master!$D$25:$G$223,4,FALSE)</f>
        <v>Primici od otplate kredita i sredstva prenesena iz prethodne godine</v>
      </c>
      <c r="C27" s="453"/>
      <c r="D27" s="453"/>
      <c r="E27" s="453"/>
      <c r="F27" s="453"/>
      <c r="G27" s="430">
        <v>150350.67000000001</v>
      </c>
      <c r="H27" s="430">
        <v>500193.46</v>
      </c>
      <c r="I27" s="430">
        <v>126045.79</v>
      </c>
      <c r="J27" s="430">
        <v>67133.97</v>
      </c>
      <c r="K27" s="430">
        <v>340170.16</v>
      </c>
      <c r="L27" s="430">
        <v>1431878.17</v>
      </c>
      <c r="M27" s="430">
        <v>588856.99</v>
      </c>
      <c r="N27" s="430">
        <v>142813.88</v>
      </c>
      <c r="O27" s="430">
        <v>182139.62</v>
      </c>
      <c r="P27" s="430">
        <v>603855.75</v>
      </c>
      <c r="Q27" s="430">
        <v>987894.53</v>
      </c>
      <c r="R27" s="430">
        <v>1458878.89</v>
      </c>
      <c r="S27" s="272">
        <f t="shared" si="3"/>
        <v>6580211.8799999999</v>
      </c>
      <c r="T27" s="273">
        <f t="shared" si="4"/>
        <v>1.5531822404758532E-3</v>
      </c>
    </row>
    <row r="28" spans="1:25" ht="13.5" thickBot="1">
      <c r="A28" s="175">
        <v>74</v>
      </c>
      <c r="B28" s="456" t="str">
        <f>+VLOOKUP($A28,[1]Master!$D$25:$G$223,4,FALSE)</f>
        <v>Donacije i transferi</v>
      </c>
      <c r="C28" s="457"/>
      <c r="D28" s="457"/>
      <c r="E28" s="457"/>
      <c r="F28" s="457"/>
      <c r="G28" s="430">
        <v>198902.46</v>
      </c>
      <c r="H28" s="430">
        <v>1119540.18</v>
      </c>
      <c r="I28" s="430">
        <v>2133451.14</v>
      </c>
      <c r="J28" s="430">
        <v>849572.77</v>
      </c>
      <c r="K28" s="430">
        <v>1895943.06</v>
      </c>
      <c r="L28" s="430">
        <v>1063223.94</v>
      </c>
      <c r="M28" s="430">
        <v>2617220.7200000002</v>
      </c>
      <c r="N28" s="430">
        <v>693924.15</v>
      </c>
      <c r="O28" s="430">
        <v>1500964.26</v>
      </c>
      <c r="P28" s="430">
        <v>2652981.5699999998</v>
      </c>
      <c r="Q28" s="430">
        <v>2284497.5299999998</v>
      </c>
      <c r="R28" s="430">
        <v>8271247.9800000004</v>
      </c>
      <c r="S28" s="275">
        <f t="shared" si="3"/>
        <v>25281469.760000002</v>
      </c>
      <c r="T28" s="276">
        <f t="shared" si="4"/>
        <v>5.9673959684652788E-3</v>
      </c>
    </row>
    <row r="29" spans="1:25" ht="13.5" thickBot="1">
      <c r="A29" s="175">
        <v>4</v>
      </c>
      <c r="B29" s="458" t="str">
        <f>+VLOOKUP($A29,[1]Master!$D$25:$G$223,4,FALSE)</f>
        <v>Budžetki izdaci</v>
      </c>
      <c r="C29" s="459"/>
      <c r="D29" s="459"/>
      <c r="E29" s="459"/>
      <c r="F29" s="459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0.42560923354340741</v>
      </c>
    </row>
    <row r="30" spans="1:25" ht="13.5" thickBot="1">
      <c r="A30" s="175">
        <v>41</v>
      </c>
      <c r="B30" s="460" t="str">
        <f>+VLOOKUP($A30,[1]Master!$D$25:$G$223,4,FALSE)</f>
        <v>Tekući izdaci</v>
      </c>
      <c r="C30" s="461"/>
      <c r="D30" s="461"/>
      <c r="E30" s="461"/>
      <c r="F30" s="461"/>
      <c r="G30" s="431">
        <f>+G29-G49</f>
        <v>95081211.609999985</v>
      </c>
      <c r="H30" s="431">
        <f t="shared" ref="H30:R30" si="6">+H29-H49</f>
        <v>105058194.66999999</v>
      </c>
      <c r="I30" s="431">
        <f t="shared" si="6"/>
        <v>159051074.73999998</v>
      </c>
      <c r="J30" s="431">
        <f t="shared" si="6"/>
        <v>134270687.53</v>
      </c>
      <c r="K30" s="431">
        <f t="shared" si="6"/>
        <v>127056839.55</v>
      </c>
      <c r="L30" s="431">
        <f t="shared" si="6"/>
        <v>125448006.67</v>
      </c>
      <c r="M30" s="431">
        <f t="shared" si="6"/>
        <v>135015939.43000001</v>
      </c>
      <c r="N30" s="431">
        <f t="shared" si="6"/>
        <v>119078138.24000001</v>
      </c>
      <c r="O30" s="431">
        <f t="shared" si="6"/>
        <v>117563216.00999998</v>
      </c>
      <c r="P30" s="431">
        <f t="shared" si="6"/>
        <v>126782294.63000003</v>
      </c>
      <c r="Q30" s="431">
        <f t="shared" si="6"/>
        <v>119362889.43000001</v>
      </c>
      <c r="R30" s="431">
        <f t="shared" si="6"/>
        <v>187491019.35000002</v>
      </c>
      <c r="S30" s="279">
        <f t="shared" si="3"/>
        <v>1551259511.8600001</v>
      </c>
      <c r="T30" s="280">
        <f t="shared" si="4"/>
        <v>0.36615670864844452</v>
      </c>
    </row>
    <row r="31" spans="1:25">
      <c r="A31" s="175">
        <v>40</v>
      </c>
      <c r="B31" s="462" t="str">
        <f>+VLOOKUP($A31,[1]Master!$D$25:$G$223,4,FALSE)</f>
        <v>Tekući budžetski izdaci</v>
      </c>
      <c r="C31" s="463"/>
      <c r="D31" s="463"/>
      <c r="E31" s="463"/>
      <c r="F31" s="463"/>
      <c r="G31" s="427">
        <f>+SUM(G32:G41)</f>
        <v>43671166.869999997</v>
      </c>
      <c r="H31" s="427">
        <f t="shared" ref="H31:R31" si="7">+SUM(H32:H41)</f>
        <v>48408706.909999989</v>
      </c>
      <c r="I31" s="427">
        <f t="shared" si="7"/>
        <v>96989262.820000008</v>
      </c>
      <c r="J31" s="427">
        <f t="shared" si="7"/>
        <v>70965970.75</v>
      </c>
      <c r="K31" s="427">
        <f t="shared" si="7"/>
        <v>64485987.470000006</v>
      </c>
      <c r="L31" s="427">
        <f t="shared" si="7"/>
        <v>61416603.619999997</v>
      </c>
      <c r="M31" s="427">
        <f t="shared" si="7"/>
        <v>59163591.209999993</v>
      </c>
      <c r="N31" s="427">
        <f t="shared" si="7"/>
        <v>55546071.519999996</v>
      </c>
      <c r="O31" s="427">
        <f t="shared" si="7"/>
        <v>56191213.159999996</v>
      </c>
      <c r="P31" s="427">
        <f t="shared" si="7"/>
        <v>60486450.390000001</v>
      </c>
      <c r="Q31" s="427">
        <f t="shared" si="7"/>
        <v>60535623.090000004</v>
      </c>
      <c r="R31" s="427">
        <f t="shared" si="7"/>
        <v>103964777.77000001</v>
      </c>
      <c r="S31" s="267">
        <f t="shared" si="3"/>
        <v>781825425.57999992</v>
      </c>
      <c r="T31" s="268">
        <f t="shared" si="4"/>
        <v>0.18454076985790491</v>
      </c>
    </row>
    <row r="32" spans="1:25">
      <c r="A32" s="175">
        <v>411</v>
      </c>
      <c r="B32" s="450" t="str">
        <f>+VLOOKUP($A32,[1]Master!$D$25:$G$223,4,FALSE)</f>
        <v>Bruto zarade i doprinosi na teret poslodavca</v>
      </c>
      <c r="C32" s="451"/>
      <c r="D32" s="451"/>
      <c r="E32" s="451"/>
      <c r="F32" s="451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0.10512290366567531</v>
      </c>
    </row>
    <row r="33" spans="1:21">
      <c r="A33" s="175">
        <v>412</v>
      </c>
      <c r="B33" s="450" t="str">
        <f>+VLOOKUP($A33,[1]Master!$D$25:$G$223,4,FALSE)</f>
        <v>Ostala lična primanja</v>
      </c>
      <c r="C33" s="451"/>
      <c r="D33" s="451"/>
      <c r="E33" s="451"/>
      <c r="F33" s="451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2.5135105343907847E-3</v>
      </c>
      <c r="U33" s="367"/>
    </row>
    <row r="34" spans="1:21">
      <c r="A34" s="175">
        <v>413</v>
      </c>
      <c r="B34" s="450" t="str">
        <f>+VLOOKUP($A34,[1]Master!$D$25:$G$223,4,FALSE)</f>
        <v>Rashodi za materijal</v>
      </c>
      <c r="C34" s="451"/>
      <c r="D34" s="451"/>
      <c r="E34" s="451"/>
      <c r="F34" s="451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6.8922773025539338E-3</v>
      </c>
      <c r="U34" s="385"/>
    </row>
    <row r="35" spans="1:21">
      <c r="A35" s="175">
        <v>414</v>
      </c>
      <c r="B35" s="450" t="str">
        <f>+VLOOKUP($A35,[1]Master!$D$25:$G$223,4,FALSE)</f>
        <v>Rashodi za usluge</v>
      </c>
      <c r="C35" s="451"/>
      <c r="D35" s="451"/>
      <c r="E35" s="451"/>
      <c r="F35" s="451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1.5745052270688762E-2</v>
      </c>
    </row>
    <row r="36" spans="1:21">
      <c r="A36" s="175">
        <v>415</v>
      </c>
      <c r="B36" s="450" t="str">
        <f>+VLOOKUP($A36,[1]Master!$D$25:$G$223,4,FALSE)</f>
        <v>Rashodi za tekuće održavanje</v>
      </c>
      <c r="C36" s="451"/>
      <c r="D36" s="451"/>
      <c r="E36" s="451"/>
      <c r="F36" s="451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4.7687595996789879E-3</v>
      </c>
    </row>
    <row r="37" spans="1:21">
      <c r="A37" s="175">
        <v>416</v>
      </c>
      <c r="B37" s="450" t="str">
        <f>+VLOOKUP($A37,[1]Master!$D$25:$G$223,4,FALSE)</f>
        <v>Kamate</v>
      </c>
      <c r="C37" s="451"/>
      <c r="D37" s="451"/>
      <c r="E37" s="451"/>
      <c r="F37" s="451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2.3298252981164145E-2</v>
      </c>
    </row>
    <row r="38" spans="1:21">
      <c r="A38" s="175">
        <v>417</v>
      </c>
      <c r="B38" s="450" t="str">
        <f>+VLOOKUP($A38,[1]Master!$D$25:$G$223,4,FALSE)</f>
        <v>Renta</v>
      </c>
      <c r="C38" s="451"/>
      <c r="D38" s="451"/>
      <c r="E38" s="451"/>
      <c r="F38" s="451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2.1104063093046314E-3</v>
      </c>
    </row>
    <row r="39" spans="1:21">
      <c r="A39" s="175">
        <v>418</v>
      </c>
      <c r="B39" s="450" t="str">
        <f>+VLOOKUP($A39,[1]Master!$D$25:$G$223,4,FALSE)</f>
        <v>Subvencije</v>
      </c>
      <c r="C39" s="451"/>
      <c r="D39" s="451"/>
      <c r="E39" s="451"/>
      <c r="F39" s="451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6.5627687933720443E-3</v>
      </c>
    </row>
    <row r="40" spans="1:21">
      <c r="A40" s="175">
        <v>419</v>
      </c>
      <c r="B40" s="450" t="str">
        <f>+VLOOKUP($A40,[1]Master!$D$25:$G$223,4,FALSE)</f>
        <v>Ostali izdaci</v>
      </c>
      <c r="C40" s="451"/>
      <c r="D40" s="451"/>
      <c r="E40" s="451"/>
      <c r="F40" s="451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9.0266829674739181E-3</v>
      </c>
    </row>
    <row r="41" spans="1:21">
      <c r="A41" s="175">
        <v>440</v>
      </c>
      <c r="B41" s="450" t="str">
        <f>+VLOOKUP($A41,[1]Master!$D$25:$G$223,4,FALSE)</f>
        <v>Kapitalni izdaci u tekućem budžetu</v>
      </c>
      <c r="C41" s="451"/>
      <c r="D41" s="451"/>
      <c r="E41" s="451"/>
      <c r="F41" s="451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8.5001554336024167E-3</v>
      </c>
    </row>
    <row r="42" spans="1:21">
      <c r="A42" s="175">
        <v>42</v>
      </c>
      <c r="B42" s="466" t="str">
        <f>+VLOOKUP($A42,[1]Master!$D$25:$G$223,4,FALSE)</f>
        <v>Transferi za socijalnu zaštitu</v>
      </c>
      <c r="C42" s="467"/>
      <c r="D42" s="467"/>
      <c r="E42" s="467"/>
      <c r="F42" s="467"/>
      <c r="G42" s="430">
        <f>+SUM(G43:G47)</f>
        <v>43853641.199999996</v>
      </c>
      <c r="H42" s="430">
        <f t="shared" ref="H42:R42" si="8">+SUM(H43:H47)</f>
        <v>46694958.479999997</v>
      </c>
      <c r="I42" s="430">
        <f t="shared" si="8"/>
        <v>46060225.379999995</v>
      </c>
      <c r="J42" s="430">
        <f t="shared" si="8"/>
        <v>45239884.829999998</v>
      </c>
      <c r="K42" s="430">
        <f t="shared" si="8"/>
        <v>45683297.689999998</v>
      </c>
      <c r="L42" s="430">
        <f t="shared" si="8"/>
        <v>45402922.969999999</v>
      </c>
      <c r="M42" s="430">
        <f t="shared" si="8"/>
        <v>45267241.289999999</v>
      </c>
      <c r="N42" s="430">
        <f t="shared" si="8"/>
        <v>42270056.32</v>
      </c>
      <c r="O42" s="430">
        <f t="shared" si="8"/>
        <v>44046758.639999993</v>
      </c>
      <c r="P42" s="430">
        <f t="shared" si="8"/>
        <v>44748876.500000007</v>
      </c>
      <c r="Q42" s="430">
        <f t="shared" si="8"/>
        <v>43633580.93999999</v>
      </c>
      <c r="R42" s="430">
        <f t="shared" si="8"/>
        <v>45149451.939999998</v>
      </c>
      <c r="S42" s="272">
        <f t="shared" si="3"/>
        <v>538050896.17999995</v>
      </c>
      <c r="T42" s="273">
        <f t="shared" si="4"/>
        <v>0.12700063640183165</v>
      </c>
    </row>
    <row r="43" spans="1:21">
      <c r="A43" s="175">
        <v>421</v>
      </c>
      <c r="B43" s="450" t="str">
        <f>+VLOOKUP($A43,[1]Master!$D$25:$G$223,4,FALSE)</f>
        <v>Prava iz oblasti socijalne zaštite</v>
      </c>
      <c r="C43" s="451"/>
      <c r="D43" s="451"/>
      <c r="E43" s="451"/>
      <c r="F43" s="451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2.3298135467119861E-2</v>
      </c>
    </row>
    <row r="44" spans="1:21">
      <c r="A44" s="175">
        <v>422</v>
      </c>
      <c r="B44" s="450" t="str">
        <f>+VLOOKUP($A44,[1]Master!$D$25:$G$223,4,FALSE)</f>
        <v>Sredstva za tehnološke viškove</v>
      </c>
      <c r="C44" s="451"/>
      <c r="D44" s="451"/>
      <c r="E44" s="451"/>
      <c r="F44" s="451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3.0610515012037959E-3</v>
      </c>
    </row>
    <row r="45" spans="1:21">
      <c r="A45" s="175">
        <v>423</v>
      </c>
      <c r="B45" s="450" t="str">
        <f>+VLOOKUP($A45,[1]Master!$D$25:$G$223,4,FALSE)</f>
        <v>Prava iz oblasti penzijskog i invalidskog osiguranja</v>
      </c>
      <c r="C45" s="451"/>
      <c r="D45" s="451"/>
      <c r="E45" s="451"/>
      <c r="F45" s="451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9.4713661608365196E-2</v>
      </c>
    </row>
    <row r="46" spans="1:21">
      <c r="A46" s="175">
        <v>424</v>
      </c>
      <c r="B46" s="450" t="str">
        <f>+VLOOKUP($A46,[1]Master!$D$25:$G$223,4,FALSE)</f>
        <v>Ostala prava iz oblasti zdravstvene zaštite</v>
      </c>
      <c r="C46" s="451"/>
      <c r="D46" s="451"/>
      <c r="E46" s="451"/>
      <c r="F46" s="451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3.8921255511495064E-3</v>
      </c>
    </row>
    <row r="47" spans="1:21">
      <c r="A47" s="175">
        <v>425</v>
      </c>
      <c r="B47" s="450" t="str">
        <f>+VLOOKUP($A47,[1]Master!$D$25:$G$223,4,FALSE)</f>
        <v>Ostala prava iz zdravstvenog osiguranja</v>
      </c>
      <c r="C47" s="451"/>
      <c r="D47" s="451"/>
      <c r="E47" s="451"/>
      <c r="F47" s="451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2.0356622739932969E-3</v>
      </c>
    </row>
    <row r="48" spans="1:21">
      <c r="A48" s="175">
        <v>43</v>
      </c>
      <c r="B48" s="464" t="str">
        <f>+VLOOKUP($A48,[1]Master!$D$25:$G$223,4,FALSE)</f>
        <v xml:space="preserve">Transferi institucijama, pojedincima, nevladinom i javnom sektoru </v>
      </c>
      <c r="C48" s="465"/>
      <c r="D48" s="465"/>
      <c r="E48" s="465"/>
      <c r="F48" s="465"/>
      <c r="G48" s="430">
        <v>5367351.82</v>
      </c>
      <c r="H48" s="430">
        <v>7878426.2999999998</v>
      </c>
      <c r="I48" s="430">
        <v>12624632.02</v>
      </c>
      <c r="J48" s="430">
        <v>15717196.880000001</v>
      </c>
      <c r="K48" s="430">
        <v>10712461.529999999</v>
      </c>
      <c r="L48" s="430">
        <v>13588572.92</v>
      </c>
      <c r="M48" s="430">
        <v>17165199.760000002</v>
      </c>
      <c r="N48" s="430">
        <v>15793377.119999999</v>
      </c>
      <c r="O48" s="430">
        <v>13743974.02</v>
      </c>
      <c r="P48" s="430">
        <v>13251144.24</v>
      </c>
      <c r="Q48" s="430">
        <v>11142113.050000001</v>
      </c>
      <c r="R48" s="430">
        <v>29896675.100000001</v>
      </c>
      <c r="S48" s="272">
        <f t="shared" si="3"/>
        <v>166881124.75999999</v>
      </c>
      <c r="T48" s="273">
        <f t="shared" si="4"/>
        <v>3.9390342434971436E-2</v>
      </c>
    </row>
    <row r="49" spans="1:21">
      <c r="A49" s="175">
        <v>44</v>
      </c>
      <c r="B49" s="464" t="str">
        <f>+VLOOKUP($A49,[1]Master!$D$25:$G$223,4,FALSE)</f>
        <v>Kapitalni budžet</v>
      </c>
      <c r="C49" s="465"/>
      <c r="D49" s="465"/>
      <c r="E49" s="465"/>
      <c r="F49" s="465"/>
      <c r="G49" s="430">
        <v>109644.44</v>
      </c>
      <c r="H49" s="430">
        <v>1491590.34</v>
      </c>
      <c r="I49" s="430">
        <v>7362820.4900000002</v>
      </c>
      <c r="J49" s="430">
        <v>6918517.2599999998</v>
      </c>
      <c r="K49" s="430">
        <v>2511744.17</v>
      </c>
      <c r="L49" s="430">
        <v>22683622.390000001</v>
      </c>
      <c r="M49" s="430">
        <v>10754440.220000001</v>
      </c>
      <c r="N49" s="430">
        <v>29296079.120000001</v>
      </c>
      <c r="O49" s="430">
        <v>19940301.670000002</v>
      </c>
      <c r="P49" s="430">
        <v>29993285.289999999</v>
      </c>
      <c r="Q49" s="430">
        <v>37935759.630000003</v>
      </c>
      <c r="R49" s="430">
        <v>82878761.950000003</v>
      </c>
      <c r="S49" s="272">
        <f t="shared" si="3"/>
        <v>251876566.97000003</v>
      </c>
      <c r="T49" s="273">
        <f t="shared" si="4"/>
        <v>5.9452524894962951E-2</v>
      </c>
    </row>
    <row r="50" spans="1:21">
      <c r="A50" s="175">
        <v>451</v>
      </c>
      <c r="B50" s="468" t="str">
        <f>+VLOOKUP($A50,[1]Master!$D$25:$G$223,4,FALSE)</f>
        <v>Pozajmice i krediti</v>
      </c>
      <c r="C50" s="469"/>
      <c r="D50" s="469"/>
      <c r="E50" s="469"/>
      <c r="F50" s="469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1.1465351366661946E-3</v>
      </c>
    </row>
    <row r="51" spans="1:21">
      <c r="A51" s="175">
        <v>47</v>
      </c>
      <c r="B51" s="468" t="str">
        <f>+VLOOKUP($A51,[1]Master!$D$25:$G$223,4,FALSE)</f>
        <v>Rezerve</v>
      </c>
      <c r="C51" s="469"/>
      <c r="D51" s="469"/>
      <c r="E51" s="469"/>
      <c r="F51" s="469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4.6461383963555683E-3</v>
      </c>
    </row>
    <row r="52" spans="1:21" ht="13.5" thickBot="1">
      <c r="A52" s="175">
        <v>462</v>
      </c>
      <c r="B52" s="470" t="str">
        <f>+VLOOKUP($A52,[1]Master!$D$25:$G$223,4,FALSE)</f>
        <v>Otplata garancija</v>
      </c>
      <c r="C52" s="471"/>
      <c r="D52" s="471"/>
      <c r="E52" s="471"/>
      <c r="F52" s="471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0" t="str">
        <f>+VLOOKUP($A53,[1]Master!$D$25:$G$223,4,TRUE)</f>
        <v>Otplata obaveza iz prethodnih godina</v>
      </c>
      <c r="C53" s="471"/>
      <c r="D53" s="471"/>
      <c r="E53" s="471"/>
      <c r="F53" s="471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9.432286420714725E-3</v>
      </c>
    </row>
    <row r="54" spans="1:21" ht="13.5" thickBot="1">
      <c r="A54" s="71">
        <v>1005</v>
      </c>
      <c r="B54" s="552" t="str">
        <f>+VLOOKUP($A54,[1]Master!$D$25:$G$225,4,FALSE)</f>
        <v>Neto povećanje obaveza</v>
      </c>
      <c r="C54" s="553"/>
      <c r="D54" s="553"/>
      <c r="E54" s="553"/>
      <c r="F54" s="55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135">
        <f>+SUM(G54:R54)</f>
        <v>0</v>
      </c>
      <c r="T54" s="136">
        <f>+S54/$T$7</f>
        <v>0</v>
      </c>
    </row>
    <row r="55" spans="1:21" ht="13.5" thickBot="1">
      <c r="A55" s="169">
        <v>1000</v>
      </c>
      <c r="B55" s="472" t="str">
        <f>+VLOOKUP($A55,[1]Master!$D$25:$G$223,4,FALSE)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-5.5908606295142341E-2</v>
      </c>
    </row>
    <row r="56" spans="1:21" ht="13.5" thickBot="1">
      <c r="A56" s="169">
        <v>1001</v>
      </c>
      <c r="B56" s="474" t="str">
        <f>+VLOOKUP($A56,[1]Master!$D$25:$G$223,4,FALSE)</f>
        <v>Primarni bilans</v>
      </c>
      <c r="C56" s="475"/>
      <c r="D56" s="475"/>
      <c r="E56" s="475"/>
      <c r="F56" s="475"/>
      <c r="G56" s="230">
        <f>+G55+G37</f>
        <v>-18281753.069999985</v>
      </c>
      <c r="H56" s="230">
        <f t="shared" ref="H56:R56" si="10">+H55+H37</f>
        <v>-16675516.549999978</v>
      </c>
      <c r="I56" s="230">
        <f t="shared" si="10"/>
        <v>8118498.0800000131</v>
      </c>
      <c r="J56" s="230">
        <f t="shared" si="10"/>
        <v>2082124.7399999946</v>
      </c>
      <c r="K56" s="230">
        <f t="shared" si="10"/>
        <v>12135558.939999975</v>
      </c>
      <c r="L56" s="230">
        <f t="shared" si="10"/>
        <v>-11555766.290000012</v>
      </c>
      <c r="M56" s="230">
        <f t="shared" si="10"/>
        <v>6761734.6399999727</v>
      </c>
      <c r="N56" s="230">
        <f t="shared" si="10"/>
        <v>2306897.2599999988</v>
      </c>
      <c r="O56" s="230">
        <f t="shared" si="10"/>
        <v>3202044.0600000261</v>
      </c>
      <c r="P56" s="230">
        <f t="shared" si="10"/>
        <v>-16171116.670000026</v>
      </c>
      <c r="Q56" s="230">
        <f t="shared" si="10"/>
        <v>-27892383.239999995</v>
      </c>
      <c r="R56" s="230">
        <f t="shared" si="10"/>
        <v>-82187344.750000015</v>
      </c>
      <c r="S56" s="285">
        <f t="shared" si="3"/>
        <v>-138157022.85000002</v>
      </c>
      <c r="T56" s="286">
        <f t="shared" si="4"/>
        <v>-3.2610353313978192E-2</v>
      </c>
    </row>
    <row r="57" spans="1:21">
      <c r="A57" s="169">
        <v>46</v>
      </c>
      <c r="B57" s="466" t="str">
        <f>+VLOOKUP($A57,[1]Master!$D$25:$G$223,4,FALSE)</f>
        <v>Otplata dugova</v>
      </c>
      <c r="C57" s="467"/>
      <c r="D57" s="467"/>
      <c r="E57" s="467"/>
      <c r="F57" s="467"/>
      <c r="G57" s="432">
        <f t="shared" ref="G57:R57" si="11">+SUM(G58:G59)</f>
        <v>18311638.189999998</v>
      </c>
      <c r="H57" s="432">
        <f t="shared" si="11"/>
        <v>42352594.400000006</v>
      </c>
      <c r="I57" s="432">
        <f t="shared" si="11"/>
        <v>36492059.539999999</v>
      </c>
      <c r="J57" s="432">
        <f t="shared" si="11"/>
        <v>65432249.010000005</v>
      </c>
      <c r="K57" s="432">
        <f t="shared" si="11"/>
        <v>6070178.8200000003</v>
      </c>
      <c r="L57" s="432">
        <f t="shared" si="11"/>
        <v>29898962.890000001</v>
      </c>
      <c r="M57" s="432">
        <f t="shared" si="11"/>
        <v>35563936.18</v>
      </c>
      <c r="N57" s="432">
        <f t="shared" si="11"/>
        <v>68410518.010000005</v>
      </c>
      <c r="O57" s="432">
        <f t="shared" si="11"/>
        <v>13074495.76</v>
      </c>
      <c r="P57" s="432">
        <f t="shared" si="11"/>
        <v>7199515.9700000007</v>
      </c>
      <c r="Q57" s="432">
        <f t="shared" si="11"/>
        <v>7022219.0999999996</v>
      </c>
      <c r="R57" s="432">
        <f t="shared" si="11"/>
        <v>28772200.979999997</v>
      </c>
      <c r="S57" s="287">
        <f t="shared" si="3"/>
        <v>358600568.85000002</v>
      </c>
      <c r="T57" s="288">
        <f t="shared" si="4"/>
        <v>8.4643480349808814E-2</v>
      </c>
    </row>
    <row r="58" spans="1:21">
      <c r="A58" s="169">
        <v>4611</v>
      </c>
      <c r="B58" s="492" t="str">
        <f>+VLOOKUP($A58,[1]Master!$D$25:$G$223,4,FALSE)</f>
        <v>Otplata hartija od vrijednosti i kredita rezidentima</v>
      </c>
      <c r="C58" s="493"/>
      <c r="D58" s="493"/>
      <c r="E58" s="493"/>
      <c r="F58" s="493"/>
      <c r="G58" s="236">
        <v>16509330.02</v>
      </c>
      <c r="H58" s="236">
        <v>40459986.270000003</v>
      </c>
      <c r="I58" s="236">
        <v>28547623.149999999</v>
      </c>
      <c r="J58" s="236">
        <v>111178.77</v>
      </c>
      <c r="K58" s="236">
        <v>861846.67</v>
      </c>
      <c r="L58" s="236">
        <v>18678429.690000001</v>
      </c>
      <c r="M58" s="236">
        <v>25930516.890000001</v>
      </c>
      <c r="N58" s="236">
        <v>65870871.859999999</v>
      </c>
      <c r="O58" s="236">
        <v>8684013.8599999994</v>
      </c>
      <c r="P58" s="236">
        <v>2314998.5699999998</v>
      </c>
      <c r="Q58" s="236">
        <v>865501.84</v>
      </c>
      <c r="R58" s="236">
        <v>17178358.239999998</v>
      </c>
      <c r="S58" s="289">
        <f t="shared" si="3"/>
        <v>226012655.83000001</v>
      </c>
      <c r="T58" s="290">
        <f t="shared" si="4"/>
        <v>5.3347650434310535E-2</v>
      </c>
    </row>
    <row r="59" spans="1:21" ht="13.5" thickBot="1">
      <c r="A59" s="169">
        <v>4612</v>
      </c>
      <c r="B59" s="468" t="str">
        <f>+VLOOKUP($A59,[1]Master!$D$25:$G$223,4,FALSE)</f>
        <v>Otplata hartija od vrijednosti i kredita nerezidentima</v>
      </c>
      <c r="C59" s="469"/>
      <c r="D59" s="469"/>
      <c r="E59" s="469"/>
      <c r="F59" s="469"/>
      <c r="G59" s="236">
        <v>1802308.17</v>
      </c>
      <c r="H59" s="236">
        <v>1892608.13</v>
      </c>
      <c r="I59" s="236">
        <v>7944436.3899999997</v>
      </c>
      <c r="J59" s="236">
        <v>65321070.240000002</v>
      </c>
      <c r="K59" s="236">
        <v>5208332.1500000004</v>
      </c>
      <c r="L59" s="236">
        <v>11220533.199999999</v>
      </c>
      <c r="M59" s="236">
        <v>9633419.2899999991</v>
      </c>
      <c r="N59" s="236">
        <v>2539646.15</v>
      </c>
      <c r="O59" s="236">
        <v>4390481.9000000004</v>
      </c>
      <c r="P59" s="236">
        <v>4884517.4000000004</v>
      </c>
      <c r="Q59" s="236">
        <v>6156717.2599999998</v>
      </c>
      <c r="R59" s="236">
        <v>11593842.74</v>
      </c>
      <c r="S59" s="269">
        <f t="shared" si="3"/>
        <v>132587913.02000004</v>
      </c>
      <c r="T59" s="290">
        <f t="shared" si="4"/>
        <v>3.1295829915498286E-2</v>
      </c>
    </row>
    <row r="60" spans="1:21" ht="13.5" thickBot="1">
      <c r="A60" s="169">
        <v>1002</v>
      </c>
      <c r="B60" s="494" t="str">
        <f>+VLOOKUP($A60,[1]Master!$D$25:$G$223,4,FALSE)</f>
        <v>Nedostajuća sredstva</v>
      </c>
      <c r="C60" s="495"/>
      <c r="D60" s="495"/>
      <c r="E60" s="495"/>
      <c r="F60" s="495"/>
      <c r="G60" s="242">
        <f t="shared" ref="G60:R60" si="12">+G55-G57</f>
        <v>-39823112.159999982</v>
      </c>
      <c r="H60" s="242">
        <f t="shared" si="12"/>
        <v>-60133759.359999985</v>
      </c>
      <c r="I60" s="242">
        <f t="shared" si="12"/>
        <v>-67724231.619999975</v>
      </c>
      <c r="J60" s="242">
        <f t="shared" si="12"/>
        <v>-81709792.13000001</v>
      </c>
      <c r="K60" s="242">
        <f t="shared" si="12"/>
        <v>-10282100.950000025</v>
      </c>
      <c r="L60" s="242">
        <f t="shared" si="12"/>
        <v>-43974636.940000013</v>
      </c>
      <c r="M60" s="242">
        <f t="shared" si="12"/>
        <v>-35372420.620000027</v>
      </c>
      <c r="N60" s="242">
        <f t="shared" si="12"/>
        <v>-67357838.790000007</v>
      </c>
      <c r="O60" s="242">
        <f t="shared" si="12"/>
        <v>-11889146.849999974</v>
      </c>
      <c r="P60" s="242">
        <f t="shared" si="12"/>
        <v>-25109773.630000025</v>
      </c>
      <c r="Q60" s="242">
        <f t="shared" si="12"/>
        <v>-38833229.169999994</v>
      </c>
      <c r="R60" s="242">
        <f t="shared" si="12"/>
        <v>-113252928.06</v>
      </c>
      <c r="S60" s="291">
        <f t="shared" si="3"/>
        <v>-595462970.27999997</v>
      </c>
      <c r="T60" s="292">
        <f t="shared" si="4"/>
        <v>-0.14055208664495114</v>
      </c>
    </row>
    <row r="61" spans="1:21" ht="13.5" thickBot="1">
      <c r="A61" s="169">
        <v>1003</v>
      </c>
      <c r="B61" s="458" t="str">
        <f>+VLOOKUP($A61,[1]Master!$D$25:$G$223,4,FALSE)</f>
        <v>Finansiranje</v>
      </c>
      <c r="C61" s="459"/>
      <c r="D61" s="459"/>
      <c r="E61" s="459"/>
      <c r="F61" s="459"/>
      <c r="G61" s="176">
        <f>+SUM(G62:G65)</f>
        <v>39823112.159999982</v>
      </c>
      <c r="H61" s="176">
        <f t="shared" ref="H61:R61" si="13">+SUM(H62:H65)</f>
        <v>60133759.359999985</v>
      </c>
      <c r="I61" s="176">
        <f t="shared" si="13"/>
        <v>67724231.619999975</v>
      </c>
      <c r="J61" s="176">
        <f t="shared" si="13"/>
        <v>81709792.13000001</v>
      </c>
      <c r="K61" s="176">
        <f t="shared" si="13"/>
        <v>10282100.950000025</v>
      </c>
      <c r="L61" s="176">
        <f t="shared" si="13"/>
        <v>43974636.940000013</v>
      </c>
      <c r="M61" s="176">
        <f t="shared" si="13"/>
        <v>35372420.620000027</v>
      </c>
      <c r="N61" s="176">
        <f t="shared" si="13"/>
        <v>67357838.790000007</v>
      </c>
      <c r="O61" s="176">
        <f t="shared" si="13"/>
        <v>11889146.849999972</v>
      </c>
      <c r="P61" s="176">
        <f t="shared" si="13"/>
        <v>25109773.630000025</v>
      </c>
      <c r="Q61" s="176">
        <f t="shared" si="13"/>
        <v>38833229.169999994</v>
      </c>
      <c r="R61" s="176">
        <f t="shared" si="13"/>
        <v>113252928.06</v>
      </c>
      <c r="S61" s="293">
        <f t="shared" si="3"/>
        <v>595462970.27999997</v>
      </c>
      <c r="T61" s="294">
        <f t="shared" si="4"/>
        <v>0.14055208664495114</v>
      </c>
    </row>
    <row r="62" spans="1:21">
      <c r="A62" s="169">
        <v>7511</v>
      </c>
      <c r="B62" s="492" t="str">
        <f>+VLOOKUP($A62,[1]Master!$D$25:$G$223,4,FALSE)</f>
        <v>Pozajmice i krediti od domaćih izvora</v>
      </c>
      <c r="C62" s="493"/>
      <c r="D62" s="493"/>
      <c r="E62" s="493"/>
      <c r="F62" s="493"/>
      <c r="G62" s="236">
        <v>16700681.109999999</v>
      </c>
      <c r="H62" s="236">
        <v>55339318.890000001</v>
      </c>
      <c r="I62" s="236">
        <v>74583448.420000002</v>
      </c>
      <c r="J62" s="236">
        <v>22911551.579999998</v>
      </c>
      <c r="K62" s="236">
        <v>0</v>
      </c>
      <c r="L62" s="236">
        <v>13000000</v>
      </c>
      <c r="M62" s="236">
        <v>24450000</v>
      </c>
      <c r="N62" s="236">
        <v>50085000</v>
      </c>
      <c r="O62" s="236">
        <v>0</v>
      </c>
      <c r="P62" s="236">
        <v>0</v>
      </c>
      <c r="Q62" s="236">
        <v>0</v>
      </c>
      <c r="R62" s="236">
        <v>3000000</v>
      </c>
      <c r="S62" s="289">
        <f t="shared" si="3"/>
        <v>260070000</v>
      </c>
      <c r="T62" s="290">
        <f t="shared" si="4"/>
        <v>6.1386489165840531E-2</v>
      </c>
    </row>
    <row r="63" spans="1:21">
      <c r="A63" s="169">
        <v>7512</v>
      </c>
      <c r="B63" s="468" t="str">
        <f>+VLOOKUP($A63,[1]Master!$D$25:$G$223,4,FALSE)</f>
        <v>Pozajmice i krediti od inostranih izvora</v>
      </c>
      <c r="C63" s="469"/>
      <c r="D63" s="469"/>
      <c r="E63" s="469"/>
      <c r="F63" s="469"/>
      <c r="G63" s="236">
        <v>34554.129999999997</v>
      </c>
      <c r="H63" s="236">
        <v>322585.33</v>
      </c>
      <c r="I63" s="236">
        <v>5656594.5499999998</v>
      </c>
      <c r="J63" s="236">
        <v>84125996.959999993</v>
      </c>
      <c r="K63" s="236">
        <v>259019.66</v>
      </c>
      <c r="L63" s="236">
        <v>16146143.310000001</v>
      </c>
      <c r="M63" s="236">
        <v>733759.27</v>
      </c>
      <c r="N63" s="236">
        <v>26168335.57</v>
      </c>
      <c r="O63" s="236">
        <v>43020325.210000001</v>
      </c>
      <c r="P63" s="236">
        <v>20632990.120000001</v>
      </c>
      <c r="Q63" s="236">
        <v>28222092.870000001</v>
      </c>
      <c r="R63" s="236">
        <v>127444455.40000001</v>
      </c>
      <c r="S63" s="289">
        <f t="shared" si="3"/>
        <v>352766852.38</v>
      </c>
      <c r="T63" s="290">
        <f t="shared" si="4"/>
        <v>8.3266499641221736E-2</v>
      </c>
    </row>
    <row r="64" spans="1:21">
      <c r="A64" s="169">
        <v>72</v>
      </c>
      <c r="B64" s="468" t="str">
        <f>+VLOOKUP($A64,[1]Master!$D$25:$G$223,4,FALSE)</f>
        <v>Primici od prodaje imovine</v>
      </c>
      <c r="C64" s="469"/>
      <c r="D64" s="469"/>
      <c r="E64" s="469"/>
      <c r="F64" s="469"/>
      <c r="G64" s="236">
        <v>20867.330000000002</v>
      </c>
      <c r="H64" s="236">
        <v>70916.160000000003</v>
      </c>
      <c r="I64" s="236">
        <v>65967</v>
      </c>
      <c r="J64" s="236">
        <v>1070298.19</v>
      </c>
      <c r="K64" s="236">
        <v>724479.47</v>
      </c>
      <c r="L64" s="236">
        <v>1430729.48</v>
      </c>
      <c r="M64" s="236">
        <v>1009041.84</v>
      </c>
      <c r="N64" s="236">
        <v>73978.179999999993</v>
      </c>
      <c r="O64" s="236">
        <v>167534.29</v>
      </c>
      <c r="P64" s="236">
        <v>68693.73</v>
      </c>
      <c r="Q64" s="236">
        <v>399611.81</v>
      </c>
      <c r="R64" s="236">
        <v>1088997.75</v>
      </c>
      <c r="S64" s="289">
        <f t="shared" si="3"/>
        <v>6191115.2299999995</v>
      </c>
      <c r="T64" s="290">
        <f t="shared" si="4"/>
        <v>1.4613405159797949E-3</v>
      </c>
    </row>
    <row r="65" spans="1:20" ht="13.5" thickBot="1">
      <c r="A65" s="169">
        <v>1004</v>
      </c>
      <c r="B65" s="248" t="str">
        <f>+VLOOKUP($A65,[1]Master!$D$25:$G$223,4,FALSE)</f>
        <v>Povećanje / smanjenje depozita</v>
      </c>
      <c r="C65" s="249"/>
      <c r="D65" s="249"/>
      <c r="E65" s="249"/>
      <c r="F65" s="249"/>
      <c r="G65" s="250">
        <f>-G60-SUM(G62:G64)</f>
        <v>23067009.589999981</v>
      </c>
      <c r="H65" s="250">
        <f t="shared" ref="H65:R65" si="14">-H60-SUM(H62:H64)</f>
        <v>4400938.9799999893</v>
      </c>
      <c r="I65" s="250">
        <f t="shared" si="14"/>
        <v>-12581778.350000024</v>
      </c>
      <c r="J65" s="250">
        <f t="shared" si="14"/>
        <v>-26398054.599999979</v>
      </c>
      <c r="K65" s="250">
        <f t="shared" si="14"/>
        <v>9298601.8200000245</v>
      </c>
      <c r="L65" s="250">
        <f t="shared" si="14"/>
        <v>13397764.15000001</v>
      </c>
      <c r="M65" s="250">
        <f t="shared" si="14"/>
        <v>9179619.5100000277</v>
      </c>
      <c r="N65" s="250">
        <f t="shared" si="14"/>
        <v>-8969474.9599999934</v>
      </c>
      <c r="O65" s="250">
        <f t="shared" si="14"/>
        <v>-31298712.650000028</v>
      </c>
      <c r="P65" s="250">
        <f t="shared" si="14"/>
        <v>4408089.7800000235</v>
      </c>
      <c r="Q65" s="250">
        <f t="shared" si="14"/>
        <v>10211524.489999995</v>
      </c>
      <c r="R65" s="250">
        <f t="shared" si="14"/>
        <v>-18280525.090000004</v>
      </c>
      <c r="S65" s="295">
        <f>+SUM(G65:R65)</f>
        <v>-23564997.329999976</v>
      </c>
      <c r="T65" s="296">
        <f t="shared" si="4"/>
        <v>-5.5622426780909161E-3</v>
      </c>
    </row>
    <row r="66" spans="1:20">
      <c r="R66" s="388"/>
    </row>
    <row r="71" spans="1:20">
      <c r="R71" s="359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17" t="str">
        <f>+[1]Master!G250</f>
        <v>Plan ostvarenja budžeta</v>
      </c>
      <c r="C101" s="518"/>
      <c r="D101" s="518"/>
      <c r="E101" s="518"/>
      <c r="F101" s="518"/>
      <c r="G101" s="509">
        <v>2017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5" t="str">
        <f>+S7</f>
        <v>BDP</v>
      </c>
      <c r="T101" s="116">
        <f>+T7</f>
        <v>4236600000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+[1]Master!G244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46" si="17">+CONCATENATE(A10,"p")</f>
        <v>7p</v>
      </c>
      <c r="B104" s="511" t="str">
        <f>+VLOOKUP(LEFT($A104,LEN(A104)-1)*1,[1]Master!$D$25:$G$223,4,FALSE)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1">
        <f>+SUM(G104:R104)</f>
        <v>1551616663.462312</v>
      </c>
      <c r="T104" s="122">
        <f>+S104/$T$7</f>
        <v>0.36624101011714866</v>
      </c>
    </row>
    <row r="105" spans="1:21">
      <c r="A105" s="137" t="str">
        <f t="shared" si="17"/>
        <v>711p</v>
      </c>
      <c r="B105" s="513" t="str">
        <f>+VLOOKUP(LEFT($A105,LEN(A105)-1)*1,[1]Master!$D$25:$G$223,4,FALSE)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3">
        <f t="shared" ref="S105:S159" si="20">+SUM(G105:R105)</f>
        <v>944276594.26457417</v>
      </c>
      <c r="T105" s="124">
        <f t="shared" ref="T105:T159" si="21">+S105/$T$7</f>
        <v>0.2228854728472299</v>
      </c>
      <c r="U105" s="302"/>
    </row>
    <row r="106" spans="1:21">
      <c r="A106" s="137" t="str">
        <f t="shared" si="17"/>
        <v>7111p</v>
      </c>
      <c r="B106" s="515" t="str">
        <f>+VLOOKUP(LEFT($A106,LEN(A106)-1)*1,[1]Master!$D$25:$G$223,4,FALSE)</f>
        <v>Porez na dohodak fizičkih lica</v>
      </c>
      <c r="C106" s="516"/>
      <c r="D106" s="516"/>
      <c r="E106" s="516"/>
      <c r="F106" s="516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5">
        <f t="shared" si="20"/>
        <v>125583391.53741376</v>
      </c>
      <c r="T106" s="126">
        <f t="shared" si="21"/>
        <v>2.9642494343911099E-2</v>
      </c>
    </row>
    <row r="107" spans="1:21">
      <c r="A107" s="137" t="str">
        <f t="shared" si="17"/>
        <v>7112p</v>
      </c>
      <c r="B107" s="515" t="str">
        <f>+VLOOKUP(LEFT($A107,LEN(A107)-1)*1,[1]Master!$D$25:$G$223,4,FALSE)</f>
        <v>Porez na dobit pravnih lica</v>
      </c>
      <c r="C107" s="516"/>
      <c r="D107" s="516"/>
      <c r="E107" s="516"/>
      <c r="F107" s="516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5">
        <f t="shared" si="20"/>
        <v>46922688.056049608</v>
      </c>
      <c r="T107" s="126">
        <f t="shared" si="21"/>
        <v>1.1075553051043198E-2</v>
      </c>
    </row>
    <row r="108" spans="1:21">
      <c r="A108" s="137" t="str">
        <f t="shared" si="17"/>
        <v>7113p</v>
      </c>
      <c r="B108" s="515" t="str">
        <f>+VLOOKUP(LEFT($A108,LEN(A108)-1)*1,[1]Master!$D$25:$G$223,4,FALSE)</f>
        <v>Porez na promet nepokretnosti</v>
      </c>
      <c r="C108" s="516"/>
      <c r="D108" s="516"/>
      <c r="E108" s="516"/>
      <c r="F108" s="516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5">
        <f t="shared" si="20"/>
        <v>2459394.3990422501</v>
      </c>
      <c r="T108" s="126">
        <f t="shared" si="21"/>
        <v>5.8051135321773363E-4</v>
      </c>
    </row>
    <row r="109" spans="1:21">
      <c r="A109" s="137" t="str">
        <f t="shared" si="17"/>
        <v>7114p</v>
      </c>
      <c r="B109" s="515" t="str">
        <f>+VLOOKUP(LEFT($A109,LEN(A109)-1)*1,[1]Master!$D$25:$G$223,4,FALSE)</f>
        <v>Porez na dodatu vrijednost</v>
      </c>
      <c r="C109" s="516"/>
      <c r="D109" s="516"/>
      <c r="E109" s="516"/>
      <c r="F109" s="516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5">
        <f t="shared" si="20"/>
        <v>524745437.38105094</v>
      </c>
      <c r="T109" s="126">
        <f t="shared" si="21"/>
        <v>0.12386003809211418</v>
      </c>
    </row>
    <row r="110" spans="1:21">
      <c r="A110" s="137" t="str">
        <f t="shared" si="17"/>
        <v>7115p</v>
      </c>
      <c r="B110" s="515" t="str">
        <f>+VLOOKUP(LEFT($A110,LEN(A110)-1)*1,[1]Master!$D$25:$G$223,4,FALSE)</f>
        <v>Akcize</v>
      </c>
      <c r="C110" s="516"/>
      <c r="D110" s="516"/>
      <c r="E110" s="516"/>
      <c r="F110" s="516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5">
        <f t="shared" si="20"/>
        <v>210481296.69963041</v>
      </c>
      <c r="T110" s="126">
        <f t="shared" si="21"/>
        <v>4.9681654321774633E-2</v>
      </c>
    </row>
    <row r="111" spans="1:21">
      <c r="A111" s="137" t="str">
        <f t="shared" si="17"/>
        <v>7116p</v>
      </c>
      <c r="B111" s="515" t="str">
        <f>+VLOOKUP(LEFT($A111,LEN(A111)-1)*1,[1]Master!$D$25:$G$223,4,FALSE)</f>
        <v>Porez na međunarodnu trgovinu i transakcije</v>
      </c>
      <c r="C111" s="516"/>
      <c r="D111" s="516"/>
      <c r="E111" s="516"/>
      <c r="F111" s="516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5">
        <f t="shared" si="20"/>
        <v>24426743.525325805</v>
      </c>
      <c r="T111" s="126">
        <f t="shared" si="21"/>
        <v>5.7656478131817507E-3</v>
      </c>
    </row>
    <row r="112" spans="1:21">
      <c r="A112" s="137" t="str">
        <f t="shared" si="17"/>
        <v>7118p</v>
      </c>
      <c r="B112" s="515" t="str">
        <f>+VLOOKUP(LEFT($A112,LEN(A112)-1)*1,[1]Master!$D$25:$G$223,4,FALSE)</f>
        <v>Ostali državni porezi</v>
      </c>
      <c r="C112" s="516"/>
      <c r="D112" s="516"/>
      <c r="E112" s="516"/>
      <c r="F112" s="516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5">
        <f t="shared" si="20"/>
        <v>9657642.6660613157</v>
      </c>
      <c r="T112" s="126">
        <f t="shared" si="21"/>
        <v>2.2795738719872814E-3</v>
      </c>
    </row>
    <row r="113" spans="1:20">
      <c r="A113" s="137" t="str">
        <f t="shared" si="17"/>
        <v>712p</v>
      </c>
      <c r="B113" s="528" t="str">
        <f>+VLOOKUP(LEFT($A113,LEN(A113)-1)*1,[1]Master!$D$25:$G$223,4,FALSE)</f>
        <v>Doprinosi</v>
      </c>
      <c r="C113" s="529"/>
      <c r="D113" s="529"/>
      <c r="E113" s="529"/>
      <c r="F113" s="529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7">
        <f t="shared" si="20"/>
        <v>492156792.0534761</v>
      </c>
      <c r="T113" s="128">
        <f t="shared" si="21"/>
        <v>0.1161678685864788</v>
      </c>
    </row>
    <row r="114" spans="1:20">
      <c r="A114" s="137" t="str">
        <f t="shared" si="17"/>
        <v>7121p</v>
      </c>
      <c r="B114" s="515" t="str">
        <f>+VLOOKUP(LEFT($A114,LEN(A114)-1)*1,[1]Master!$D$25:$G$223,4,FALSE)</f>
        <v>Doprinosi za penzijsko i invalidsko osiguranje</v>
      </c>
      <c r="C114" s="516"/>
      <c r="D114" s="516"/>
      <c r="E114" s="516"/>
      <c r="F114" s="516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5">
        <f t="shared" si="20"/>
        <v>293612813.84136897</v>
      </c>
      <c r="T114" s="126">
        <f t="shared" si="21"/>
        <v>6.9303879016515357E-2</v>
      </c>
    </row>
    <row r="115" spans="1:20">
      <c r="A115" s="137" t="str">
        <f t="shared" si="17"/>
        <v>7122p</v>
      </c>
      <c r="B115" s="515" t="str">
        <f>+VLOOKUP(LEFT($A115,LEN(A115)-1)*1,[1]Master!$D$25:$G$223,4,FALSE)</f>
        <v>Doprinosi za zdravstveno osiguranje</v>
      </c>
      <c r="C115" s="516"/>
      <c r="D115" s="516"/>
      <c r="E115" s="516"/>
      <c r="F115" s="516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5">
        <f t="shared" si="20"/>
        <v>172372932.77823201</v>
      </c>
      <c r="T115" s="126">
        <f t="shared" si="21"/>
        <v>4.0686619642692726E-2</v>
      </c>
    </row>
    <row r="116" spans="1:20">
      <c r="A116" s="137" t="str">
        <f t="shared" si="17"/>
        <v>7123p</v>
      </c>
      <c r="B116" s="515" t="str">
        <f>+VLOOKUP(LEFT($A116,LEN(A116)-1)*1,[1]Master!$D$25:$G$223,4,FALSE)</f>
        <v>Doprinosi za osiguranje od nezaposlenosti</v>
      </c>
      <c r="C116" s="516"/>
      <c r="D116" s="516"/>
      <c r="E116" s="516"/>
      <c r="F116" s="516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5">
        <f t="shared" si="20"/>
        <v>13897899.7574651</v>
      </c>
      <c r="T116" s="126">
        <f t="shared" si="21"/>
        <v>3.2804370857444885E-3</v>
      </c>
    </row>
    <row r="117" spans="1:20">
      <c r="A117" s="137" t="str">
        <f t="shared" si="17"/>
        <v>7124p</v>
      </c>
      <c r="B117" s="515" t="str">
        <f>+VLOOKUP(LEFT($A117,LEN(A117)-1)*1,[1]Master!$D$25:$G$223,4,FALSE)</f>
        <v>Ostali doprinosi</v>
      </c>
      <c r="C117" s="516"/>
      <c r="D117" s="516"/>
      <c r="E117" s="516"/>
      <c r="F117" s="516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5">
        <f t="shared" si="20"/>
        <v>12273145.676410003</v>
      </c>
      <c r="T117" s="126">
        <f t="shared" si="21"/>
        <v>2.8969328415262246E-3</v>
      </c>
    </row>
    <row r="118" spans="1:20">
      <c r="A118" s="137" t="str">
        <f t="shared" si="17"/>
        <v>713p</v>
      </c>
      <c r="B118" s="526" t="str">
        <f>+VLOOKUP(LEFT($A118,LEN(A118)-1)*1,[1]Master!$D$25:$G$223,4,FALSE)</f>
        <v>Takse</v>
      </c>
      <c r="C118" s="527"/>
      <c r="D118" s="527"/>
      <c r="E118" s="527"/>
      <c r="F118" s="527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7">
        <f t="shared" si="20"/>
        <v>13832275.892059395</v>
      </c>
      <c r="T118" s="128">
        <f t="shared" si="21"/>
        <v>3.264947337973704E-3</v>
      </c>
    </row>
    <row r="119" spans="1:20">
      <c r="A119" s="137" t="str">
        <f t="shared" si="17"/>
        <v>714p</v>
      </c>
      <c r="B119" s="526" t="str">
        <f>+VLOOKUP(LEFT($A119,LEN(A119)-1)*1,[1]Master!$D$25:$G$223,4,FALSE)</f>
        <v>Naknade</v>
      </c>
      <c r="C119" s="527"/>
      <c r="D119" s="527"/>
      <c r="E119" s="527"/>
      <c r="F119" s="527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7">
        <f t="shared" si="20"/>
        <v>23449281.372267835</v>
      </c>
      <c r="T119" s="128">
        <f t="shared" si="21"/>
        <v>5.5349292763696911E-3</v>
      </c>
    </row>
    <row r="120" spans="1:20">
      <c r="A120" s="137" t="str">
        <f t="shared" si="17"/>
        <v>715p</v>
      </c>
      <c r="B120" s="526" t="str">
        <f>+VLOOKUP(LEFT($A120,LEN(A120)-1)*1,[1]Master!$D$25:$G$223,4,FALSE)</f>
        <v>Ostali prihodi</v>
      </c>
      <c r="C120" s="527"/>
      <c r="D120" s="527"/>
      <c r="E120" s="527"/>
      <c r="F120" s="527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7">
        <f t="shared" si="20"/>
        <v>37391136.21111349</v>
      </c>
      <c r="T120" s="128">
        <f t="shared" si="21"/>
        <v>8.8257414462336523E-3</v>
      </c>
    </row>
    <row r="121" spans="1:20">
      <c r="A121" s="137" t="str">
        <f t="shared" si="17"/>
        <v>73p</v>
      </c>
      <c r="B121" s="526" t="str">
        <f>+VLOOKUP(LEFT($A121,LEN(A121)-1)*1,[1]Master!$D$25:$G$223,4,FALSE)</f>
        <v>Primici od otplate kredita i sredstva prenesena iz prethodne godine</v>
      </c>
      <c r="C121" s="527"/>
      <c r="D121" s="527"/>
      <c r="E121" s="527"/>
      <c r="F121" s="527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7">
        <f t="shared" si="20"/>
        <v>5310583.6688210517</v>
      </c>
      <c r="T121" s="128">
        <f t="shared" si="21"/>
        <v>1.2535013144552357E-3</v>
      </c>
    </row>
    <row r="122" spans="1:20" ht="13.5" thickBot="1">
      <c r="A122" s="137" t="str">
        <f t="shared" si="17"/>
        <v>74p</v>
      </c>
      <c r="B122" s="530" t="str">
        <f>+VLOOKUP(LEFT($A122,LEN(A122)-1)*1,[1]Master!$D$25:$G$223,4,FALSE)</f>
        <v>Donacije i transferi</v>
      </c>
      <c r="C122" s="531"/>
      <c r="D122" s="531"/>
      <c r="E122" s="531"/>
      <c r="F122" s="531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29">
        <f t="shared" si="20"/>
        <v>35200000</v>
      </c>
      <c r="T122" s="130">
        <f t="shared" si="21"/>
        <v>8.3085493084076849E-3</v>
      </c>
    </row>
    <row r="123" spans="1:20" ht="13.5" thickBot="1">
      <c r="A123" s="137" t="str">
        <f t="shared" si="17"/>
        <v>4p</v>
      </c>
      <c r="B123" s="532" t="str">
        <f>+VLOOKUP(LEFT($A123,LEN(A123)-1)*1,[1]Master!$D$25:$G$223,4,FALSE)</f>
        <v>Budžetki izdaci</v>
      </c>
      <c r="C123" s="533"/>
      <c r="D123" s="533"/>
      <c r="E123" s="533"/>
      <c r="F123" s="533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1">
        <f>+SUM(G123:R123)</f>
        <v>1785979675.6599998</v>
      </c>
      <c r="T123" s="132">
        <f t="shared" si="21"/>
        <v>0.42155966474531459</v>
      </c>
    </row>
    <row r="124" spans="1:20" ht="13.5" thickBot="1">
      <c r="A124" s="137" t="str">
        <f t="shared" si="17"/>
        <v>41p</v>
      </c>
      <c r="B124" s="534" t="str">
        <f>+VLOOKUP(LEFT($A124,LEN(A124)-1)*1,[1]Master!$D$25:$G$223,4,FALSE)</f>
        <v>Tekući izdaci</v>
      </c>
      <c r="C124" s="535"/>
      <c r="D124" s="535"/>
      <c r="E124" s="535"/>
      <c r="F124" s="535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3">
        <f t="shared" si="20"/>
        <v>1502901075.6399999</v>
      </c>
      <c r="T124" s="134">
        <f t="shared" si="21"/>
        <v>0.3547422639947127</v>
      </c>
    </row>
    <row r="125" spans="1:20">
      <c r="A125" s="137" t="str">
        <f t="shared" si="17"/>
        <v>40p</v>
      </c>
      <c r="B125" s="536" t="str">
        <f>+VLOOKUP(LEFT($A125,LEN(A125)-1)*1,[1]Master!$D$25:$G$223,4,FALSE)</f>
        <v>Tekući budžetski izdaci</v>
      </c>
      <c r="C125" s="537"/>
      <c r="D125" s="537"/>
      <c r="E125" s="537"/>
      <c r="F125" s="537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3">
        <f t="shared" si="20"/>
        <v>750959296.71999991</v>
      </c>
      <c r="T125" s="124">
        <f t="shared" si="21"/>
        <v>0.17725518026719536</v>
      </c>
    </row>
    <row r="126" spans="1:20">
      <c r="A126" s="137" t="str">
        <f t="shared" si="17"/>
        <v>411p</v>
      </c>
      <c r="B126" s="515" t="str">
        <f>+VLOOKUP(LEFT($A126,LEN(A126)-1)*1,[1]Master!$D$25:$G$223,4,FALSE)</f>
        <v>Bruto zarade i doprinosi na teret poslodavca</v>
      </c>
      <c r="C126" s="516"/>
      <c r="D126" s="516"/>
      <c r="E126" s="516"/>
      <c r="F126" s="516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5">
        <f t="shared" si="20"/>
        <v>438246239.97999996</v>
      </c>
      <c r="T126" s="126">
        <f t="shared" si="21"/>
        <v>0.10344291176415049</v>
      </c>
    </row>
    <row r="127" spans="1:20">
      <c r="A127" s="137" t="str">
        <f t="shared" si="17"/>
        <v>412p</v>
      </c>
      <c r="B127" s="515" t="str">
        <f>+VLOOKUP(LEFT($A127,LEN(A127)-1)*1,[1]Master!$D$25:$G$223,4,FALSE)</f>
        <v>Ostala lična primanja</v>
      </c>
      <c r="C127" s="516"/>
      <c r="D127" s="516"/>
      <c r="E127" s="516"/>
      <c r="F127" s="516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5">
        <f t="shared" si="20"/>
        <v>10188146.970000004</v>
      </c>
      <c r="T127" s="126">
        <f t="shared" si="21"/>
        <v>2.4047932233394712E-3</v>
      </c>
    </row>
    <row r="128" spans="1:20">
      <c r="A128" s="137" t="str">
        <f t="shared" si="17"/>
        <v>413p</v>
      </c>
      <c r="B128" s="515" t="str">
        <f>+VLOOKUP(LEFT($A128,LEN(A128)-1)*1,[1]Master!$D$25:$G$223,4,FALSE)</f>
        <v>Rashodi za materijal</v>
      </c>
      <c r="C128" s="516"/>
      <c r="D128" s="516"/>
      <c r="E128" s="516"/>
      <c r="F128" s="516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5">
        <f t="shared" si="20"/>
        <v>29597112.899999995</v>
      </c>
      <c r="T128" s="126">
        <f t="shared" si="21"/>
        <v>6.9860531794363389E-3</v>
      </c>
    </row>
    <row r="129" spans="1:20">
      <c r="A129" s="137" t="str">
        <f t="shared" si="17"/>
        <v>414p</v>
      </c>
      <c r="B129" s="515" t="str">
        <f>+VLOOKUP(LEFT($A129,LEN(A129)-1)*1,[1]Master!$D$25:$G$223,4,FALSE)</f>
        <v>Rashodi za usluge</v>
      </c>
      <c r="C129" s="516"/>
      <c r="D129" s="516"/>
      <c r="E129" s="516"/>
      <c r="F129" s="516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5">
        <f t="shared" si="20"/>
        <v>53024750.940000013</v>
      </c>
      <c r="T129" s="126">
        <f t="shared" si="21"/>
        <v>1.2515873799745081E-2</v>
      </c>
    </row>
    <row r="130" spans="1:20">
      <c r="A130" s="137" t="str">
        <f t="shared" si="17"/>
        <v>415p</v>
      </c>
      <c r="B130" s="515" t="str">
        <f>+VLOOKUP(LEFT($A130,LEN(A130)-1)*1,[1]Master!$D$25:$G$223,4,FALSE)</f>
        <v>Rashodi za tekuće održavanje</v>
      </c>
      <c r="C130" s="516"/>
      <c r="D130" s="516"/>
      <c r="E130" s="516"/>
      <c r="F130" s="516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5">
        <f t="shared" si="20"/>
        <v>21226969.68</v>
      </c>
      <c r="T130" s="126">
        <f t="shared" si="21"/>
        <v>5.0103785299532647E-3</v>
      </c>
    </row>
    <row r="131" spans="1:20">
      <c r="A131" s="137" t="str">
        <f t="shared" si="17"/>
        <v>416p</v>
      </c>
      <c r="B131" s="515" t="str">
        <f>+VLOOKUP(LEFT($A131,LEN(A131)-1)*1,[1]Master!$D$25:$G$223,4,FALSE)</f>
        <v>Kamate</v>
      </c>
      <c r="C131" s="516"/>
      <c r="D131" s="516"/>
      <c r="E131" s="516"/>
      <c r="F131" s="516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5">
        <f t="shared" si="20"/>
        <v>95363625.910000011</v>
      </c>
      <c r="T131" s="126">
        <f t="shared" si="21"/>
        <v>2.2509471252891471E-2</v>
      </c>
    </row>
    <row r="132" spans="1:20">
      <c r="A132" s="137" t="str">
        <f t="shared" si="17"/>
        <v>417p</v>
      </c>
      <c r="B132" s="515" t="str">
        <f>+VLOOKUP(LEFT($A132,LEN(A132)-1)*1,[1]Master!$D$25:$G$223,4,FALSE)</f>
        <v>Renta</v>
      </c>
      <c r="C132" s="516"/>
      <c r="D132" s="516"/>
      <c r="E132" s="516"/>
      <c r="F132" s="516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5">
        <f t="shared" si="20"/>
        <v>9323779.5200000014</v>
      </c>
      <c r="T132" s="126">
        <f t="shared" si="21"/>
        <v>2.2007693716659588E-3</v>
      </c>
    </row>
    <row r="133" spans="1:20">
      <c r="A133" s="137" t="str">
        <f t="shared" si="17"/>
        <v>418p</v>
      </c>
      <c r="B133" s="515" t="str">
        <f>+VLOOKUP(LEFT($A133,LEN(A133)-1)*1,[1]Master!$D$25:$G$223,4,FALSE)</f>
        <v>Subvencije</v>
      </c>
      <c r="C133" s="516"/>
      <c r="D133" s="516"/>
      <c r="E133" s="516"/>
      <c r="F133" s="516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5">
        <f t="shared" si="20"/>
        <v>24921799.98</v>
      </c>
      <c r="T133" s="126">
        <f t="shared" si="21"/>
        <v>5.8825001132983999E-3</v>
      </c>
    </row>
    <row r="134" spans="1:20">
      <c r="A134" s="137" t="str">
        <f t="shared" si="17"/>
        <v>419p</v>
      </c>
      <c r="B134" s="515" t="str">
        <f>+VLOOKUP(LEFT($A134,LEN(A134)-1)*1,[1]Master!$D$25:$G$223,4,FALSE)</f>
        <v>Ostali izdaci</v>
      </c>
      <c r="C134" s="516"/>
      <c r="D134" s="516"/>
      <c r="E134" s="516"/>
      <c r="F134" s="516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5">
        <f t="shared" si="20"/>
        <v>32959947.539999999</v>
      </c>
      <c r="T134" s="126">
        <f t="shared" si="21"/>
        <v>7.7798110607562665E-3</v>
      </c>
    </row>
    <row r="135" spans="1:20">
      <c r="A135" s="137" t="str">
        <f t="shared" si="17"/>
        <v>440p</v>
      </c>
      <c r="B135" s="515" t="str">
        <f>+VLOOKUP(LEFT($A135,LEN(A135)-1)*1,[1]Master!$D$25:$G$223,4,FALSE)</f>
        <v>Kapitalni izdaci u tekućem budžetu</v>
      </c>
      <c r="C135" s="516"/>
      <c r="D135" s="516"/>
      <c r="E135" s="516"/>
      <c r="F135" s="516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5">
        <f t="shared" si="20"/>
        <v>36106923.299999997</v>
      </c>
      <c r="T135" s="126">
        <f t="shared" si="21"/>
        <v>8.5226179719586452E-3</v>
      </c>
    </row>
    <row r="136" spans="1:20">
      <c r="A136" s="137" t="str">
        <f t="shared" si="17"/>
        <v>42p</v>
      </c>
      <c r="B136" s="542" t="str">
        <f>+VLOOKUP(LEFT($A136,LEN(A136)-1)*1,[1]Master!$D$25:$G$223,4,FALSE)</f>
        <v>Transferi za socijalnu zaštitu</v>
      </c>
      <c r="C136" s="543"/>
      <c r="D136" s="543"/>
      <c r="E136" s="543"/>
      <c r="F136" s="543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7">
        <f t="shared" si="20"/>
        <v>570918105</v>
      </c>
      <c r="T136" s="128">
        <f t="shared" si="21"/>
        <v>0.13475855756974933</v>
      </c>
    </row>
    <row r="137" spans="1:20">
      <c r="A137" s="137" t="str">
        <f t="shared" si="17"/>
        <v>421p</v>
      </c>
      <c r="B137" s="515" t="str">
        <f>+VLOOKUP(LEFT($A137,LEN(A137)-1)*1,[1]Master!$D$25:$G$223,4,FALSE)</f>
        <v>Prava iz oblasti socijalne zaštite</v>
      </c>
      <c r="C137" s="516"/>
      <c r="D137" s="516"/>
      <c r="E137" s="516"/>
      <c r="F137" s="516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5">
        <f t="shared" si="20"/>
        <v>114715625.00000001</v>
      </c>
      <c r="T137" s="126">
        <f t="shared" si="21"/>
        <v>2.7077284851059816E-2</v>
      </c>
    </row>
    <row r="138" spans="1:20">
      <c r="A138" s="137" t="str">
        <f t="shared" si="17"/>
        <v>422p</v>
      </c>
      <c r="B138" s="515" t="str">
        <f>+VLOOKUP(LEFT($A138,LEN(A138)-1)*1,[1]Master!$D$25:$G$223,4,FALSE)</f>
        <v>Sredstva za tehnološke viškove</v>
      </c>
      <c r="C138" s="516"/>
      <c r="D138" s="516"/>
      <c r="E138" s="516"/>
      <c r="F138" s="516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5">
        <f t="shared" si="20"/>
        <v>20596480</v>
      </c>
      <c r="T138" s="126">
        <f t="shared" si="21"/>
        <v>4.8615587971486572E-3</v>
      </c>
    </row>
    <row r="139" spans="1:20">
      <c r="A139" s="137" t="str">
        <f t="shared" si="17"/>
        <v>423p</v>
      </c>
      <c r="B139" s="515" t="str">
        <f>+VLOOKUP(LEFT($A139,LEN(A139)-1)*1,[1]Master!$D$25:$G$223,4,FALSE)</f>
        <v>Prava iz oblasti penzijskog i invalidskog osiguranja</v>
      </c>
      <c r="C139" s="516"/>
      <c r="D139" s="516"/>
      <c r="E139" s="516"/>
      <c r="F139" s="516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5">
        <f t="shared" si="20"/>
        <v>411150000</v>
      </c>
      <c r="T139" s="126">
        <f t="shared" si="21"/>
        <v>9.7047160458858514E-2</v>
      </c>
    </row>
    <row r="140" spans="1:20">
      <c r="A140" s="137" t="str">
        <f t="shared" si="17"/>
        <v>424p</v>
      </c>
      <c r="B140" s="515" t="str">
        <f>+VLOOKUP(LEFT($A140,LEN(A140)-1)*1,[1]Master!$D$25:$G$223,4,FALSE)</f>
        <v>Ostala prava iz oblasti zdravstvene zaštite</v>
      </c>
      <c r="C140" s="516"/>
      <c r="D140" s="516"/>
      <c r="E140" s="516"/>
      <c r="F140" s="516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5">
        <f t="shared" si="20"/>
        <v>15931000.000000002</v>
      </c>
      <c r="T140" s="126">
        <f t="shared" si="21"/>
        <v>3.7603266770523539E-3</v>
      </c>
    </row>
    <row r="141" spans="1:20">
      <c r="A141" s="137" t="str">
        <f t="shared" si="17"/>
        <v>425p</v>
      </c>
      <c r="B141" s="515" t="str">
        <f>+VLOOKUP(LEFT($A141,LEN(A141)-1)*1,[1]Master!$D$25:$G$223,4,FALSE)</f>
        <v>Ostala prava iz zdravstvenog osiguranja</v>
      </c>
      <c r="C141" s="516"/>
      <c r="D141" s="516"/>
      <c r="E141" s="516"/>
      <c r="F141" s="516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5">
        <f t="shared" si="20"/>
        <v>8525000.0000000019</v>
      </c>
      <c r="T141" s="126">
        <f t="shared" si="21"/>
        <v>2.0122267856299866E-3</v>
      </c>
    </row>
    <row r="142" spans="1:20">
      <c r="A142" s="137" t="str">
        <f t="shared" si="17"/>
        <v>43p</v>
      </c>
      <c r="B142" s="538" t="str">
        <f>+VLOOKUP(LEFT($A142,LEN(A142)-1)*1,[1]Master!$D$25:$G$223,4,FALSE)</f>
        <v xml:space="preserve">Transferi institucijama, pojedincima, nevladinom i javnom sektoru </v>
      </c>
      <c r="C142" s="539"/>
      <c r="D142" s="539"/>
      <c r="E142" s="539"/>
      <c r="F142" s="539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7">
        <f>+SUM(G142:R142)</f>
        <v>164300000.03999996</v>
      </c>
      <c r="T142" s="128">
        <f t="shared" si="21"/>
        <v>3.8781098059764894E-2</v>
      </c>
    </row>
    <row r="143" spans="1:20">
      <c r="A143" s="137" t="str">
        <f t="shared" si="17"/>
        <v>44p</v>
      </c>
      <c r="B143" s="538" t="str">
        <f>+VLOOKUP(LEFT($A143,LEN(A143)-1)*1,[1]Master!$D$25:$G$223,4,FALSE)</f>
        <v>Kapitalni budžet</v>
      </c>
      <c r="C143" s="539"/>
      <c r="D143" s="539"/>
      <c r="E143" s="539"/>
      <c r="F143" s="539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7">
        <f t="shared" si="20"/>
        <v>283078600.02000004</v>
      </c>
      <c r="T143" s="128">
        <f t="shared" si="21"/>
        <v>6.6817400750601913E-2</v>
      </c>
    </row>
    <row r="144" spans="1:20">
      <c r="A144" s="137" t="str">
        <f t="shared" si="17"/>
        <v>451p</v>
      </c>
      <c r="B144" s="540" t="str">
        <f>+VLOOKUP(LEFT($A144,LEN(A144)-1)*1,[1]Master!$D$25:$G$223,4,FALSE)</f>
        <v>Pozajmice i krediti</v>
      </c>
      <c r="C144" s="541"/>
      <c r="D144" s="541"/>
      <c r="E144" s="541"/>
      <c r="F144" s="541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5">
        <f t="shared" si="20"/>
        <v>2425000</v>
      </c>
      <c r="T144" s="126">
        <f t="shared" si="21"/>
        <v>5.7239295661615447E-4</v>
      </c>
    </row>
    <row r="145" spans="1:20">
      <c r="A145" s="137" t="str">
        <f t="shared" si="17"/>
        <v>47p</v>
      </c>
      <c r="B145" s="540" t="str">
        <f>+VLOOKUP(LEFT($A145,LEN(A145)-1)*1,[1]Master!$D$25:$G$223,4,FALSE)</f>
        <v>Rezerve</v>
      </c>
      <c r="C145" s="541"/>
      <c r="D145" s="541"/>
      <c r="E145" s="541"/>
      <c r="F145" s="541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5">
        <f t="shared" si="20"/>
        <v>14298673.879999997</v>
      </c>
      <c r="T145" s="126">
        <f t="shared" si="21"/>
        <v>3.3750351413869605E-3</v>
      </c>
    </row>
    <row r="146" spans="1:20">
      <c r="A146" s="137" t="str">
        <f t="shared" si="17"/>
        <v>462p</v>
      </c>
      <c r="B146" s="540" t="str">
        <f>+VLOOKUP(LEFT($A146,LEN(A146)-1)*1,[1]Master!$D$25:$G$223,4,FALSE)</f>
        <v>Otplata garancija</v>
      </c>
      <c r="C146" s="541"/>
      <c r="D146" s="541"/>
      <c r="E146" s="541"/>
      <c r="F146" s="541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5">
        <f t="shared" si="20"/>
        <v>0</v>
      </c>
      <c r="T146" s="126">
        <f t="shared" si="21"/>
        <v>0</v>
      </c>
    </row>
    <row r="147" spans="1:20" ht="13.5" thickBot="1">
      <c r="A147" s="137"/>
      <c r="B147" s="421" t="s">
        <v>699</v>
      </c>
      <c r="C147" s="422"/>
      <c r="D147" s="422"/>
      <c r="E147" s="422"/>
      <c r="F147" s="422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5">
        <f>SUM(G147:R147)</f>
        <v>0</v>
      </c>
      <c r="T147" s="136">
        <f t="shared" si="21"/>
        <v>0</v>
      </c>
    </row>
    <row r="148" spans="1:20" ht="13.5" thickBot="1">
      <c r="A148" s="138" t="str">
        <f>+CONCATENATE(A55,"p")</f>
        <v>1000p</v>
      </c>
      <c r="B148" s="548" t="str">
        <f>+VLOOKUP(LEFT($A148,LEN(A148)-1)*1,[1]Master!$D$25:$G$223,4,FALSE)</f>
        <v>Suficit / deficit</v>
      </c>
      <c r="C148" s="549"/>
      <c r="D148" s="549"/>
      <c r="E148" s="549"/>
      <c r="F148" s="549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3">
        <f t="shared" si="20"/>
        <v>-234363012.19768798</v>
      </c>
      <c r="T148" s="114">
        <f t="shared" si="21"/>
        <v>-5.5318654628165979E-2</v>
      </c>
    </row>
    <row r="149" spans="1:20" ht="13.5" thickBot="1">
      <c r="A149" s="138" t="str">
        <f>+CONCATENATE(A56,"p")</f>
        <v>1001p</v>
      </c>
      <c r="B149" s="550" t="str">
        <f>+VLOOKUP(LEFT($A149,LEN(A149)-1)*1,[1]Master!$D$25:$G$223,4,FALSE)</f>
        <v>Primarni bilans</v>
      </c>
      <c r="C149" s="551"/>
      <c r="D149" s="551"/>
      <c r="E149" s="551"/>
      <c r="F149" s="551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3">
        <f t="shared" si="20"/>
        <v>-138999386.28768796</v>
      </c>
      <c r="T149" s="114">
        <f t="shared" si="21"/>
        <v>-3.2809183375274505E-2</v>
      </c>
    </row>
    <row r="150" spans="1:20">
      <c r="A150" s="138" t="str">
        <f>+CONCATENATE(A57,"p")</f>
        <v>46p</v>
      </c>
      <c r="B150" s="542" t="str">
        <f>+VLOOKUP(LEFT($A150,LEN(A150)-1)*1,[1]Master!$D$25:$G$223,4,FALSE)</f>
        <v>Otplata dugova</v>
      </c>
      <c r="C150" s="543"/>
      <c r="D150" s="543"/>
      <c r="E150" s="543"/>
      <c r="F150" s="543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09">
        <f t="shared" si="20"/>
        <v>220415503.14999998</v>
      </c>
      <c r="T150" s="110">
        <f t="shared" si="21"/>
        <v>5.2026507848274554E-2</v>
      </c>
    </row>
    <row r="151" spans="1:20">
      <c r="A151" s="138" t="str">
        <f>+CONCATENATE(A58,"p")</f>
        <v>4611p</v>
      </c>
      <c r="B151" s="546" t="str">
        <f>+VLOOKUP(LEFT($A151,LEN(A151)-1)*1,[1]Master!$D$25:$G$223,4,FALSE)</f>
        <v>Otplata hartija od vrijednosti i kredita rezidentima</v>
      </c>
      <c r="C151" s="547"/>
      <c r="D151" s="547"/>
      <c r="E151" s="547"/>
      <c r="F151" s="547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7">
        <f t="shared" si="20"/>
        <v>51911842.149999999</v>
      </c>
      <c r="T151" s="108">
        <f t="shared" si="21"/>
        <v>1.225318466458953E-2</v>
      </c>
    </row>
    <row r="152" spans="1:20">
      <c r="A152" s="138" t="str">
        <f>+CONCATENATE(A59,"p")</f>
        <v>4612p</v>
      </c>
      <c r="B152" s="540" t="str">
        <f>+VLOOKUP(LEFT($A152,LEN(A152)-1)*1,[1]Master!$D$25:$G$223,4,FALSE)</f>
        <v>Otplata hartija od vrijednosti i kredita nerezidentima</v>
      </c>
      <c r="C152" s="541"/>
      <c r="D152" s="541"/>
      <c r="E152" s="541"/>
      <c r="F152" s="541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7">
        <f t="shared" si="20"/>
        <v>134787162.19999999</v>
      </c>
      <c r="T152" s="108">
        <f t="shared" si="21"/>
        <v>3.1814937024972852E-2</v>
      </c>
    </row>
    <row r="153" spans="1:20" ht="13.5" thickBot="1">
      <c r="A153" s="138" t="str">
        <f>+CONCATENATE(A53,"p")</f>
        <v>4630p</v>
      </c>
      <c r="B153" s="552" t="str">
        <f>+VLOOKUP(LEFT($A153,LEN(A153)-1)*1,[1]Master!$D$25:$G$223,4,FALSE)</f>
        <v>Otplata obaveza iz prethodnih godina</v>
      </c>
      <c r="C153" s="553"/>
      <c r="D153" s="553"/>
      <c r="E153" s="553"/>
      <c r="F153" s="553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7">
        <f t="shared" si="20"/>
        <v>33716498.800000004</v>
      </c>
      <c r="T153" s="108">
        <f t="shared" si="21"/>
        <v>7.9583861587121767E-3</v>
      </c>
    </row>
    <row r="154" spans="1:20" ht="13.5" thickBot="1">
      <c r="A154" s="138" t="str">
        <f t="shared" ref="A154:A159" si="30">+CONCATENATE(A60,"p")</f>
        <v>1002p</v>
      </c>
      <c r="B154" s="544" t="str">
        <f>+VLOOKUP(LEFT($A154,LEN(A154)-1)*1,[1]Master!$D$25:$G$223,4,FALSE)</f>
        <v>Nedostajuća sredstva</v>
      </c>
      <c r="C154" s="545"/>
      <c r="D154" s="545"/>
      <c r="E154" s="545"/>
      <c r="F154" s="545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7">
        <f t="shared" si="20"/>
        <v>-454778515.34768802</v>
      </c>
      <c r="T154" s="118">
        <f t="shared" si="21"/>
        <v>-0.10734516247644055</v>
      </c>
    </row>
    <row r="155" spans="1:20" ht="13.5" thickBot="1">
      <c r="A155" s="138" t="str">
        <f t="shared" si="30"/>
        <v>1003p</v>
      </c>
      <c r="B155" s="532" t="str">
        <f>+VLOOKUP(LEFT($A155,LEN(A155)-1)*1,[1]Master!$D$25:$G$223,4,FALSE)</f>
        <v>Finansiranje</v>
      </c>
      <c r="C155" s="533"/>
      <c r="D155" s="533"/>
      <c r="E155" s="533"/>
      <c r="F155" s="533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19">
        <f t="shared" si="20"/>
        <v>454778515.34768802</v>
      </c>
      <c r="T155" s="120">
        <f t="shared" si="21"/>
        <v>0.10734516247644055</v>
      </c>
    </row>
    <row r="156" spans="1:20">
      <c r="A156" s="138" t="str">
        <f t="shared" si="30"/>
        <v>7511p</v>
      </c>
      <c r="B156" s="546" t="str">
        <f>+VLOOKUP(LEFT($A156,LEN(A156)-1)*1,[1]Master!$D$25:$G$223,4,FALSE)</f>
        <v>Pozajmice i krediti od domaćih izvora</v>
      </c>
      <c r="C156" s="547"/>
      <c r="D156" s="547"/>
      <c r="E156" s="547"/>
      <c r="F156" s="547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7">
        <f t="shared" si="20"/>
        <v>99999999.999999985</v>
      </c>
      <c r="T156" s="108">
        <f t="shared" si="21"/>
        <v>2.3603833262521828E-2</v>
      </c>
    </row>
    <row r="157" spans="1:20">
      <c r="A157" s="138" t="str">
        <f t="shared" si="30"/>
        <v>7512p</v>
      </c>
      <c r="B157" s="540" t="str">
        <f>+VLOOKUP(LEFT($A157,LEN(A157)-1)*1,[1]Master!$D$25:$G$223,4,FALSE)</f>
        <v>Pozajmice i krediti od inostranih izvora</v>
      </c>
      <c r="C157" s="541"/>
      <c r="D157" s="541"/>
      <c r="E157" s="541"/>
      <c r="F157" s="541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7">
        <f t="shared" si="20"/>
        <v>354173823.63486993</v>
      </c>
      <c r="T157" s="108">
        <f t="shared" si="21"/>
        <v>8.3598598790272843E-2</v>
      </c>
    </row>
    <row r="158" spans="1:20">
      <c r="A158" s="138" t="str">
        <f t="shared" si="30"/>
        <v>72p</v>
      </c>
      <c r="B158" s="540" t="str">
        <f>+VLOOKUP(LEFT($A158,LEN(A158)-1)*1,[1]Master!$D$25:$G$223,4,FALSE)</f>
        <v>Primici od prodaje imovine</v>
      </c>
      <c r="C158" s="541"/>
      <c r="D158" s="541"/>
      <c r="E158" s="541"/>
      <c r="F158" s="541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7">
        <f t="shared" si="20"/>
        <v>0</v>
      </c>
      <c r="T158" s="108">
        <f t="shared" si="21"/>
        <v>0</v>
      </c>
    </row>
    <row r="159" spans="1:20" ht="13.5" thickBot="1">
      <c r="A159" s="138" t="str">
        <f t="shared" si="30"/>
        <v>1004p</v>
      </c>
      <c r="B159" s="102" t="str">
        <f>+VLOOKUP(LEFT($A159,LEN(A159)-1)*1,[1]Master!$D$25:$G$223,4,FALSE)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1">
        <f t="shared" si="20"/>
        <v>604691.71281802654</v>
      </c>
      <c r="T159" s="112">
        <f t="shared" si="21"/>
        <v>1.4273042364585436E-4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708</v>
      </c>
      <c r="H6" s="259" t="s">
        <v>709</v>
      </c>
      <c r="I6" s="259" t="s">
        <v>710</v>
      </c>
      <c r="J6" s="259" t="s">
        <v>711</v>
      </c>
      <c r="K6" s="259" t="s">
        <v>712</v>
      </c>
      <c r="L6" s="259" t="s">
        <v>713</v>
      </c>
      <c r="M6" s="259" t="s">
        <v>714</v>
      </c>
      <c r="N6" s="259" t="s">
        <v>715</v>
      </c>
      <c r="O6" s="259" t="s">
        <v>716</v>
      </c>
      <c r="P6" s="259" t="s">
        <v>717</v>
      </c>
      <c r="Q6" s="259" t="s">
        <v>718</v>
      </c>
      <c r="R6" s="259" t="s">
        <v>719</v>
      </c>
      <c r="S6" s="258"/>
      <c r="T6" s="258"/>
    </row>
    <row r="7" spans="1:20" ht="15" customHeight="1" thickBot="1">
      <c r="A7" s="169"/>
      <c r="B7" s="498" t="str">
        <f>+Master!G249</f>
        <v>Ostvarenje budžeta</v>
      </c>
      <c r="C7" s="479"/>
      <c r="D7" s="479"/>
      <c r="E7" s="479"/>
      <c r="F7" s="479"/>
      <c r="G7" s="487">
        <v>2016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+Master!G246</f>
        <v>BDP</v>
      </c>
      <c r="T7" s="261">
        <v>3773000000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+Master!G229</f>
        <v>Januar</v>
      </c>
      <c r="H8" s="170" t="str">
        <f>+Master!G230</f>
        <v>Februar</v>
      </c>
      <c r="I8" s="170" t="str">
        <f>+Master!G231</f>
        <v>Mart</v>
      </c>
      <c r="J8" s="170" t="str">
        <f>+Master!G232</f>
        <v>April</v>
      </c>
      <c r="K8" s="170" t="str">
        <f>+Master!G233</f>
        <v>Maj</v>
      </c>
      <c r="L8" s="170" t="str">
        <f>+Master!G234</f>
        <v>Jun</v>
      </c>
      <c r="M8" s="170" t="str">
        <f>+Master!G235</f>
        <v>Jul</v>
      </c>
      <c r="N8" s="170" t="str">
        <f>+Master!G236</f>
        <v>Avgust</v>
      </c>
      <c r="O8" s="170" t="str">
        <f>+Master!G237</f>
        <v>Septembar</v>
      </c>
      <c r="P8" s="170" t="str">
        <f>+Master!G238</f>
        <v>Oktobar</v>
      </c>
      <c r="Q8" s="170" t="str">
        <f>+Master!G239</f>
        <v>Novembar</v>
      </c>
      <c r="R8" s="170" t="str">
        <f>+Master!G240</f>
        <v>Decembar</v>
      </c>
      <c r="S8" s="487" t="str">
        <f>+Master!G243</f>
        <v>Jan - Jul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BDP</v>
      </c>
    </row>
    <row r="10" spans="1:20" ht="13.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 t="shared" ref="G10:R10" si="1">+G11+G19+SUM(G24:G28)</f>
        <v>67415694.690000013</v>
      </c>
      <c r="H10" s="176">
        <f t="shared" si="1"/>
        <v>95779987.890000001</v>
      </c>
      <c r="I10" s="176">
        <f t="shared" si="1"/>
        <v>121569715.28999998</v>
      </c>
      <c r="J10" s="176">
        <f t="shared" si="1"/>
        <v>114117602.84999999</v>
      </c>
      <c r="K10" s="176">
        <f t="shared" si="1"/>
        <v>109929481.12</v>
      </c>
      <c r="L10" s="176">
        <f t="shared" si="1"/>
        <v>124386958.85000002</v>
      </c>
      <c r="M10" s="176">
        <f t="shared" si="1"/>
        <v>126209907.60000001</v>
      </c>
      <c r="N10" s="176">
        <f t="shared" si="1"/>
        <v>190949979.51000005</v>
      </c>
      <c r="O10" s="176">
        <f t="shared" si="1"/>
        <v>132898529.40000001</v>
      </c>
      <c r="P10" s="176">
        <f t="shared" si="1"/>
        <v>120689605.48999999</v>
      </c>
      <c r="Q10" s="176">
        <f t="shared" si="1"/>
        <v>112516780.99000001</v>
      </c>
      <c r="R10" s="176">
        <f t="shared" si="1"/>
        <v>169975515</v>
      </c>
      <c r="S10" s="264">
        <f>+SUM(G10:R10)</f>
        <v>1486439758.6800003</v>
      </c>
      <c r="T10" s="265">
        <f>+S10/$T$7</f>
        <v>0.39396760102835948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f t="shared" ref="G11:R11" si="2">+SUM(G12:G18)</f>
        <v>49873109.480000012</v>
      </c>
      <c r="H11" s="182">
        <f t="shared" si="2"/>
        <v>55731541.770000003</v>
      </c>
      <c r="I11" s="182">
        <f t="shared" si="2"/>
        <v>74814586.949999973</v>
      </c>
      <c r="J11" s="182">
        <f t="shared" si="2"/>
        <v>72317902.649999976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4" si="3">+SUM(G11:R11)</f>
        <v>886526735.73000002</v>
      </c>
      <c r="T11" s="268">
        <f t="shared" ref="T11:T65" si="4">+S11/$T$7</f>
        <v>0.23496600469917839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8966879.7299999986</v>
      </c>
      <c r="I12" s="188">
        <f>+INDEX(DataEx!$1:$1048576,MATCH('2016'!$A12,DataEx!$D:$D,0),MATCH('2016'!I$6,DataEx!$7:$7,0))</f>
        <v>9924140.9199999943</v>
      </c>
      <c r="J12" s="188">
        <f>+INDEX(DataEx!$1:$1048576,MATCH('2016'!$A12,DataEx!$D:$D,0),MATCH('2016'!J$6,DataEx!$7:$7,0))</f>
        <v>8377077.2500000037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11738543.990000006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123131602.47000001</v>
      </c>
      <c r="T12" s="270">
        <f t="shared" si="4"/>
        <v>3.2634933069175726E-2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f>+INDEX(DataEx!$1:$1048576,MATCH('2016'!$A13,DataEx!$D:$D,0),MATCH('2016'!G$6,DataEx!$7:$7,0))</f>
        <v>308497.07000000007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15051954.649999999</v>
      </c>
      <c r="J13" s="188">
        <f>+INDEX(DataEx!$1:$1048576,MATCH('2016'!$A13,DataEx!$D:$D,0),MATCH('2016'!J$6,DataEx!$7:$7,0))</f>
        <v>11458551.319999997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1.199432547839915E-2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f>+INDEX(DataEx!$1:$1048576,MATCH('2016'!$A14,DataEx!$D:$D,0),MATCH('2016'!G$6,DataEx!$7:$7,0))</f>
        <v>84789.680000000008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89942.540000000008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133027.83000000002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1330049.99</v>
      </c>
      <c r="T14" s="270">
        <f t="shared" si="4"/>
        <v>3.525178876225815E-4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f>+INDEX(DataEx!$1:$1048576,MATCH('2016'!$A15,DataEx!$D:$D,0),MATCH('2016'!G$6,DataEx!$7:$7,0))</f>
        <v>33402847.570000004</v>
      </c>
      <c r="H15" s="188">
        <f>+INDEX(DataEx!$1:$1048576,MATCH('2016'!$A15,DataEx!$D:$D,0),MATCH('2016'!H$6,DataEx!$7:$7,0))</f>
        <v>32832195.190000009</v>
      </c>
      <c r="I15" s="188">
        <f>+INDEX(DataEx!$1:$1048576,MATCH('2016'!$A15,DataEx!$D:$D,0),MATCH('2016'!I$6,DataEx!$7:$7,0))</f>
        <v>34901875.719999991</v>
      </c>
      <c r="J15" s="188">
        <f>+INDEX(DataEx!$1:$1048576,MATCH('2016'!$A15,DataEx!$D:$D,0),MATCH('2016'!J$6,DataEx!$7:$7,0))</f>
        <v>36772461.839999989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55987960.809999995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0.13269454898754307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f>+INDEX(DataEx!$1:$1048576,MATCH('2016'!$A16,DataEx!$D:$D,0),MATCH('2016'!G$6,DataEx!$7:$7,0))</f>
        <v>11189049.660000002</v>
      </c>
      <c r="H16" s="188">
        <f>+INDEX(DataEx!$1:$1048576,MATCH('2016'!$A16,DataEx!$D:$D,0),MATCH('2016'!H$6,DataEx!$7:$7,0))</f>
        <v>10518357.289999988</v>
      </c>
      <c r="I16" s="188">
        <f>+INDEX(DataEx!$1:$1048576,MATCH('2016'!$A16,DataEx!$D:$D,0),MATCH('2016'!I$6,DataEx!$7:$7,0))</f>
        <v>12038089.529999997</v>
      </c>
      <c r="J16" s="188">
        <f>+INDEX(DataEx!$1:$1048576,MATCH('2016'!$A16,DataEx!$D:$D,0),MATCH('2016'!J$6,DataEx!$7:$7,0))</f>
        <v>12679799.319999993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21188493.210000016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4.8415298802014312E-2</v>
      </c>
    </row>
    <row r="17" spans="1:25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f>+INDEX(DataEx!$1:$1048576,MATCH('2016'!$A17,DataEx!$D:$D,0),MATCH('2016'!G$6,DataEx!$7:$7,0))</f>
        <v>1014140.8600000003</v>
      </c>
      <c r="H17" s="188">
        <f>+INDEX(DataEx!$1:$1048576,MATCH('2016'!$A17,DataEx!$D:$D,0),MATCH('2016'!H$6,DataEx!$7:$7,0))</f>
        <v>1540490.1699999995</v>
      </c>
      <c r="I17" s="188">
        <f>+INDEX(DataEx!$1:$1048576,MATCH('2016'!$A17,DataEx!$D:$D,0),MATCH('2016'!I$6,DataEx!$7:$7,0))</f>
        <v>1983786.9400000004</v>
      </c>
      <c r="J17" s="188">
        <f>+INDEX(DataEx!$1:$1048576,MATCH('2016'!$A17,DataEx!$D:$D,0),MATCH('2016'!J$6,DataEx!$7:$7,0))</f>
        <v>2062637.2200000002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2776408.8999999994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24283642.720000003</v>
      </c>
      <c r="T17" s="270">
        <f t="shared" si="4"/>
        <v>6.436162926053539E-3</v>
      </c>
    </row>
    <row r="18" spans="1:25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f>+INDEX(DataEx!$1:$1048576,MATCH('2016'!$A18,DataEx!$D:$D,0),MATCH('2016'!G$6,DataEx!$7:$7,0))</f>
        <v>495325.63000000006</v>
      </c>
      <c r="H18" s="188">
        <f>+INDEX(DataEx!$1:$1048576,MATCH('2016'!$A18,DataEx!$D:$D,0),MATCH('2016'!H$6,DataEx!$7:$7,0))</f>
        <v>526465.78999999992</v>
      </c>
      <c r="I18" s="188">
        <f>+INDEX(DataEx!$1:$1048576,MATCH('2016'!$A18,DataEx!$D:$D,0),MATCH('2016'!I$6,DataEx!$7:$7,0))</f>
        <v>821264.35999999952</v>
      </c>
      <c r="J18" s="188">
        <f>+INDEX(DataEx!$1:$1048576,MATCH('2016'!$A18,DataEx!$D:$D,0),MATCH('2016'!J$6,DataEx!$7:$7,0))</f>
        <v>877433.15999999992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2.4382175483699973E-3</v>
      </c>
    </row>
    <row r="19" spans="1:25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+INDEX(DataEx!$1:$1048576,MATCH('2016'!$A19,DataEx!$D:$D,0),MATCH('2016'!G$6,DataEx!$7:$7,0))</f>
        <v>13982919.930000003</v>
      </c>
      <c r="H19" s="194">
        <f>+INDEX(DataEx!$1:$1048576,MATCH('2016'!$A19,DataEx!$D:$D,0),MATCH('2016'!H$6,DataEx!$7:$7,0))</f>
        <v>36106208.00999999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34479540.670000009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37521101.960000023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462885204.29000008</v>
      </c>
      <c r="T19" s="273">
        <f t="shared" si="4"/>
        <v>0.1226835950940896</v>
      </c>
    </row>
    <row r="20" spans="1:25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21544837.749999996</v>
      </c>
      <c r="I20" s="188">
        <f>+INDEX(DataEx!$1:$1048576,MATCH('2016'!$A20,DataEx!$D:$D,0),MATCH('2016'!I$6,DataEx!$7:$7,0))</f>
        <v>24016994.959999997</v>
      </c>
      <c r="J20" s="188">
        <f>+INDEX(DataEx!$1:$1048576,MATCH('2016'!$A20,DataEx!$D:$D,0),MATCH('2016'!J$6,DataEx!$7:$7,0))</f>
        <v>20790455.370000005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21952510.280000016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273553324.41000003</v>
      </c>
      <c r="T20" s="270">
        <f t="shared" si="4"/>
        <v>7.2502868913331575E-2</v>
      </c>
    </row>
    <row r="21" spans="1:25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f>+INDEX(DataEx!$1:$1048576,MATCH('2016'!$A21,DataEx!$D:$D,0),MATCH('2016'!G$6,DataEx!$7:$7,0))</f>
        <v>4800329.5000000028</v>
      </c>
      <c r="H21" s="188">
        <f>+INDEX(DataEx!$1:$1048576,MATCH('2016'!$A21,DataEx!$D:$D,0),MATCH('2016'!H$6,DataEx!$7:$7,0))</f>
        <v>12579165.039999994</v>
      </c>
      <c r="I21" s="188">
        <f>+INDEX(DataEx!$1:$1048576,MATCH('2016'!$A21,DataEx!$D:$D,0),MATCH('2016'!I$6,DataEx!$7:$7,0))</f>
        <v>13884832.560000004</v>
      </c>
      <c r="J21" s="188">
        <f>+INDEX(DataEx!$1:$1048576,MATCH('2016'!$A21,DataEx!$D:$D,0),MATCH('2016'!J$6,DataEx!$7:$7,0))</f>
        <v>11850165.390000006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13516680.290000003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164379366.90000004</v>
      </c>
      <c r="T21" s="270">
        <f t="shared" si="4"/>
        <v>4.3567285157699455E-2</v>
      </c>
    </row>
    <row r="22" spans="1:25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f>+INDEX(DataEx!$1:$1048576,MATCH('2016'!$A22,DataEx!$D:$D,0),MATCH('2016'!G$6,DataEx!$7:$7,0))</f>
        <v>384995.72999999992</v>
      </c>
      <c r="H22" s="188">
        <f>+INDEX(DataEx!$1:$1048576,MATCH('2016'!$A22,DataEx!$D:$D,0),MATCH('2016'!H$6,DataEx!$7:$7,0))</f>
        <v>1030024.7799999996</v>
      </c>
      <c r="I22" s="188">
        <f>+INDEX(DataEx!$1:$1048576,MATCH('2016'!$A22,DataEx!$D:$D,0),MATCH('2016'!I$6,DataEx!$7:$7,0))</f>
        <v>1115430.0299999996</v>
      </c>
      <c r="J22" s="188">
        <f>+INDEX(DataEx!$1:$1048576,MATCH('2016'!$A22,DataEx!$D:$D,0),MATCH('2016'!J$6,DataEx!$7:$7,0))</f>
        <v>954928.11999999988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1052281.6200000008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3.4428599840975347E-3</v>
      </c>
    </row>
    <row r="23" spans="1:25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f>+INDEX(DataEx!$1:$1048576,MATCH('2016'!$A23,DataEx!$D:$D,0),MATCH('2016'!G$6,DataEx!$7:$7,0))</f>
        <v>355827.94999999995</v>
      </c>
      <c r="H23" s="188">
        <f>+INDEX(DataEx!$1:$1048576,MATCH('2016'!$A23,DataEx!$D:$D,0),MATCH('2016'!H$6,DataEx!$7:$7,0))</f>
        <v>952180.44000000006</v>
      </c>
      <c r="I23" s="188">
        <f>+INDEX(DataEx!$1:$1048576,MATCH('2016'!$A23,DataEx!$D:$D,0),MATCH('2016'!I$6,DataEx!$7:$7,0))</f>
        <v>1033743.2300000002</v>
      </c>
      <c r="J23" s="188">
        <f>+INDEX(DataEx!$1:$1048576,MATCH('2016'!$A23,DataEx!$D:$D,0),MATCH('2016'!J$6,DataEx!$7:$7,0))</f>
        <v>883991.79000000027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999629.77000000014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11962602.260000002</v>
      </c>
      <c r="T23" s="270">
        <f t="shared" si="4"/>
        <v>3.1705810389610393E-3</v>
      </c>
      <c r="Y23" s="379"/>
    </row>
    <row r="24" spans="1:25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965284.06</v>
      </c>
      <c r="R24" s="274">
        <f>+INDEX(DataEx!$1:$1048576,MATCH('2016'!$A24,DataEx!$D:$D,0),MATCH('2016'!R$6,DataEx!$7:$7,0))</f>
        <v>1080527.47</v>
      </c>
      <c r="S24" s="272">
        <f t="shared" si="3"/>
        <v>12928427.930000003</v>
      </c>
      <c r="T24" s="273">
        <f t="shared" si="4"/>
        <v>3.4265645189504382E-3</v>
      </c>
      <c r="Y24" s="379"/>
    </row>
    <row r="25" spans="1:25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0">
        <f>+INDEX(DataEx!$1:$1048576,MATCH('2016'!$A25,DataEx!$D:$D,0),MATCH('2016'!G$6,DataEx!$7:$7,0))</f>
        <v>1625009.9700000002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</v>
      </c>
      <c r="J25" s="200">
        <f>+INDEX(DataEx!$1:$1048576,MATCH('2016'!$A25,DataEx!$D:$D,0),MATCH('2016'!J$6,DataEx!$7:$7,0))</f>
        <v>1888588.5499999998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1.9598071110522131E-2</v>
      </c>
      <c r="W25" s="366"/>
    </row>
    <row r="26" spans="1:25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0">
        <f>+INDEX(DataEx!$1:$1048576,MATCH('2016'!$A26,DataEx!$D:$D,0),MATCH('2016'!G$6,DataEx!$7:$7,0))</f>
        <v>1022331.6999999993</v>
      </c>
      <c r="H26" s="200">
        <f>+INDEX(DataEx!$1:$1048576,MATCH('2016'!$A26,DataEx!$D:$D,0),MATCH('2016'!H$6,DataEx!$7:$7,0))</f>
        <v>1556932.7000000044</v>
      </c>
      <c r="I26" s="200">
        <f>+INDEX(DataEx!$1:$1048576,MATCH('2016'!$A26,DataEx!$D:$D,0),MATCH('2016'!I$6,DataEx!$7:$7,0))</f>
        <v>3490799.6899999976</v>
      </c>
      <c r="J26" s="200">
        <f>+INDEX(DataEx!$1:$1048576,MATCH('2016'!$A26,DataEx!$D:$D,0),MATCH('2016'!J$6,DataEx!$7:$7,0))</f>
        <v>3838235.5599999996</v>
      </c>
      <c r="K26" s="200">
        <f>+INDEX(DataEx!$1:$1048576,MATCH('2016'!$A26,DataEx!$D:$D,0),MATCH('2016'!K$6,DataEx!$7:$7,0))</f>
        <v>2337905.56</v>
      </c>
      <c r="L26" s="200">
        <f>+INDEX(DataEx!$1:$1048576,MATCH('2016'!$A26,DataEx!$D:$D,0),MATCH('2016'!L$6,DataEx!$7:$7,0))</f>
        <v>3543193.56</v>
      </c>
      <c r="M26" s="200">
        <f>+INDEX(DataEx!$1:$1048576,MATCH('2016'!$A26,DataEx!$D:$D,0),MATCH('2016'!M$6,DataEx!$7:$7,0))</f>
        <v>2504253.4</v>
      </c>
      <c r="N26" s="200">
        <f>+INDEX(DataEx!$1:$1048576,MATCH('2016'!$A26,DataEx!$D:$D,0),MATCH('2016'!N$6,DataEx!$7:$7,0))</f>
        <v>3032034.1399999983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2033246.9300000002</v>
      </c>
      <c r="Q26" s="200">
        <f>+INDEX(DataEx!$1:$1048576,MATCH('2016'!$A26,DataEx!$D:$D,0),MATCH('2016'!Q$6,DataEx!$7:$7,0))</f>
        <v>2000149.84</v>
      </c>
      <c r="R26" s="274">
        <f>+INDEX(DataEx!$1:$1048576,MATCH('2016'!$A26,DataEx!$D:$D,0),MATCH('2016'!R$6,DataEx!$7:$7,0))</f>
        <v>6818241.6999999993</v>
      </c>
      <c r="S26" s="272">
        <f t="shared" si="3"/>
        <v>34277381.699999996</v>
      </c>
      <c r="T26" s="273">
        <f t="shared" si="4"/>
        <v>9.084914312218393E-3</v>
      </c>
    </row>
    <row r="27" spans="1:25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0">
        <f>+INDEX(DataEx!$1:$1048576,MATCH('2016'!$A27,DataEx!$D:$D,0),MATCH('2016'!G$6,DataEx!$7:$7,0))</f>
        <v>148151.22999999998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119438.56999999999</v>
      </c>
      <c r="J27" s="200">
        <f>+INDEX(DataEx!$1:$1048576,MATCH('2016'!$A27,DataEx!$D:$D,0),MATCH('2016'!J$6,DataEx!$7:$7,0))</f>
        <v>103043.65999999999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79378.060000000012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1034220.21</v>
      </c>
      <c r="S27" s="272">
        <f t="shared" si="3"/>
        <v>4282946.67</v>
      </c>
      <c r="T27" s="273">
        <f t="shared" si="4"/>
        <v>1.1351568168566127E-3</v>
      </c>
    </row>
    <row r="28" spans="1:25" ht="13.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0">
        <f>+INDEX(DataEx!$1:$1048576,MATCH('2016'!$A28,DataEx!$D:$D,0),MATCH('2016'!G$6,DataEx!$7:$7,0))</f>
        <v>196891.75999999998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730633.8600000001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612720.99999999988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1303452.33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2483747.6800000002</v>
      </c>
      <c r="S28" s="275">
        <f t="shared" si="3"/>
        <v>11595540.060000001</v>
      </c>
      <c r="T28" s="276">
        <f t="shared" si="4"/>
        <v>3.0732944765438646E-3</v>
      </c>
    </row>
    <row r="29" spans="1:25" ht="13.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>+G31+G42+G48+SUM(G49:G53)</f>
        <v>87890386.810000017</v>
      </c>
      <c r="H29" s="176">
        <f t="shared" ref="H29:R29" si="5">+H31+H42+H48+SUM(H49:H53)</f>
        <v>113152264.02</v>
      </c>
      <c r="I29" s="176">
        <f t="shared" si="5"/>
        <v>155538105.88</v>
      </c>
      <c r="J29" s="176">
        <f t="shared" si="5"/>
        <v>133990002.90000001</v>
      </c>
      <c r="K29" s="176">
        <f t="shared" si="5"/>
        <v>134944778.18000001</v>
      </c>
      <c r="L29" s="176">
        <f t="shared" si="5"/>
        <v>121070053.09000002</v>
      </c>
      <c r="M29" s="176">
        <f t="shared" si="5"/>
        <v>125588768.39</v>
      </c>
      <c r="N29" s="176">
        <f t="shared" si="5"/>
        <v>115882370.00999999</v>
      </c>
      <c r="O29" s="176">
        <f t="shared" si="5"/>
        <v>123363705.22</v>
      </c>
      <c r="P29" s="176">
        <f t="shared" si="5"/>
        <v>114726572.50999999</v>
      </c>
      <c r="Q29" s="176">
        <f t="shared" si="5"/>
        <v>137352945.97000003</v>
      </c>
      <c r="R29" s="176">
        <f t="shared" si="5"/>
        <v>252373886.76000005</v>
      </c>
      <c r="S29" s="277">
        <f t="shared" si="3"/>
        <v>1615873839.74</v>
      </c>
      <c r="T29" s="278">
        <f t="shared" si="4"/>
        <v>0.42827294983832492</v>
      </c>
    </row>
    <row r="30" spans="1:25" ht="13.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6">
        <f>+G29-G49</f>
        <v>87539928.38000001</v>
      </c>
      <c r="H30" s="206">
        <f t="shared" ref="H30:R30" si="6">+H29-H49</f>
        <v>112574774.72999999</v>
      </c>
      <c r="I30" s="206">
        <f t="shared" si="6"/>
        <v>154028128.66</v>
      </c>
      <c r="J30" s="206">
        <f t="shared" si="6"/>
        <v>130295787.19000001</v>
      </c>
      <c r="K30" s="206">
        <f t="shared" si="6"/>
        <v>130219629.74000001</v>
      </c>
      <c r="L30" s="206">
        <f t="shared" si="6"/>
        <v>118700994.48000002</v>
      </c>
      <c r="M30" s="206">
        <f t="shared" si="6"/>
        <v>120641183.13</v>
      </c>
      <c r="N30" s="206">
        <f t="shared" si="6"/>
        <v>112085354.17999999</v>
      </c>
      <c r="O30" s="206">
        <f t="shared" si="6"/>
        <v>120050680</v>
      </c>
      <c r="P30" s="206">
        <f t="shared" si="6"/>
        <v>111159088.31999999</v>
      </c>
      <c r="Q30" s="206">
        <f t="shared" si="6"/>
        <v>131181664.61000003</v>
      </c>
      <c r="R30" s="206">
        <f t="shared" si="6"/>
        <v>222577181.32000005</v>
      </c>
      <c r="S30" s="279">
        <f t="shared" si="3"/>
        <v>1551054394.7400002</v>
      </c>
      <c r="T30" s="280">
        <f t="shared" si="4"/>
        <v>0.41109313404187653</v>
      </c>
    </row>
    <row r="31" spans="1:25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2">
        <f>+SUM(G32:G41)</f>
        <v>40743417.210000008</v>
      </c>
      <c r="H31" s="212">
        <f t="shared" ref="H31:R31" si="7">+SUM(H32:H41)</f>
        <v>45276492.860000014</v>
      </c>
      <c r="I31" s="212">
        <f t="shared" si="7"/>
        <v>82181919.099999979</v>
      </c>
      <c r="J31" s="212">
        <f t="shared" si="7"/>
        <v>65493909.740000002</v>
      </c>
      <c r="K31" s="212">
        <f t="shared" si="7"/>
        <v>70369968.219999999</v>
      </c>
      <c r="L31" s="212">
        <f t="shared" si="7"/>
        <v>53880996.38000001</v>
      </c>
      <c r="M31" s="212">
        <f t="shared" si="7"/>
        <v>55701472.140000008</v>
      </c>
      <c r="N31" s="212">
        <f t="shared" si="7"/>
        <v>48900392.200000003</v>
      </c>
      <c r="O31" s="212">
        <f t="shared" si="7"/>
        <v>55879510.559999995</v>
      </c>
      <c r="P31" s="212">
        <f t="shared" si="7"/>
        <v>51043161.530000001</v>
      </c>
      <c r="Q31" s="212">
        <f t="shared" si="7"/>
        <v>61349549.610000007</v>
      </c>
      <c r="R31" s="281">
        <f t="shared" si="7"/>
        <v>102401983.82000001</v>
      </c>
      <c r="S31" s="267">
        <f t="shared" si="3"/>
        <v>733222773.37</v>
      </c>
      <c r="T31" s="268">
        <f t="shared" si="4"/>
        <v>0.19433415673734428</v>
      </c>
    </row>
    <row r="32" spans="1:25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35219650.599999987</v>
      </c>
      <c r="J32" s="188">
        <f>+INDEX(DataEx!$1:$1048576,MATCH('2016'!$A32,DataEx!$D:$D,0),MATCH('2016'!J$6,DataEx!$7:$7,0))</f>
        <v>34632929.020000003</v>
      </c>
      <c r="K32" s="188">
        <f>+INDEX(DataEx!$1:$1048576,MATCH('2016'!$A32,DataEx!$D:$D,0),MATCH('2016'!K$6,DataEx!$7:$7,0))</f>
        <v>35116227.890000001</v>
      </c>
      <c r="L32" s="188">
        <f>+INDEX(DataEx!$1:$1048576,MATCH('2016'!$A32,DataEx!$D:$D,0),MATCH('2016'!L$6,DataEx!$7:$7,0))</f>
        <v>35099089.280000001</v>
      </c>
      <c r="M32" s="188">
        <f>+INDEX(DataEx!$1:$1048576,MATCH('2016'!$A32,DataEx!$D:$D,0),MATCH('2016'!M$6,DataEx!$7:$7,0))</f>
        <v>34919572.219999999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35867936.32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40453331.560000002</v>
      </c>
      <c r="S32" s="269">
        <f t="shared" si="3"/>
        <v>422565274.35999995</v>
      </c>
      <c r="T32" s="270">
        <f t="shared" si="4"/>
        <v>0.11199715726477603</v>
      </c>
    </row>
    <row r="33" spans="1:22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2.890965290219984E-3</v>
      </c>
      <c r="U33" s="367"/>
    </row>
    <row r="34" spans="1:22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8.2945552345613568E-3</v>
      </c>
      <c r="U34" s="385"/>
      <c r="V34" s="365"/>
    </row>
    <row r="35" spans="1:22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1.585661547574874E-2</v>
      </c>
    </row>
    <row r="36" spans="1:22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1501833.8</v>
      </c>
      <c r="J36" s="188">
        <f>+INDEX(DataEx!$1:$1048576,MATCH('2016'!$A36,DataEx!$D:$D,0),MATCH('2016'!J$6,DataEx!$7:$7,0))</f>
        <v>817791.18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1579324.53</v>
      </c>
      <c r="N36" s="188">
        <f>+INDEX(DataEx!$1:$1048576,MATCH('2016'!$A36,DataEx!$D:$D,0),MATCH('2016'!N$6,DataEx!$7:$7,0))</f>
        <v>1691411.27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20436434.789999999</v>
      </c>
      <c r="T36" s="270">
        <f t="shared" si="4"/>
        <v>5.4164947760402858E-3</v>
      </c>
    </row>
    <row r="37" spans="1:22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2682108.14</v>
      </c>
      <c r="S37" s="269">
        <f>+SUM(G37:R37)</f>
        <v>81326080.649999991</v>
      </c>
      <c r="T37" s="270">
        <f t="shared" si="4"/>
        <v>2.1554752358865621E-2</v>
      </c>
    </row>
    <row r="38" spans="1:22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798294.91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1865415.51</v>
      </c>
      <c r="S38" s="269">
        <f t="shared" si="3"/>
        <v>9597174.6300000008</v>
      </c>
      <c r="T38" s="270">
        <f t="shared" si="4"/>
        <v>2.5436455420090117E-3</v>
      </c>
    </row>
    <row r="39" spans="1:22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7.1881317598727814E-3</v>
      </c>
    </row>
    <row r="40" spans="1:22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9.1093441690962094E-3</v>
      </c>
    </row>
    <row r="41" spans="1:22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f>+INDEX(DataEx!$1:$1048576,MATCH('2016'!$A41,DataEx!$D:$D,0),MATCH('2016'!G$6,DataEx!$7:$7,0))</f>
        <v>574365.92000000016</v>
      </c>
      <c r="H41" s="188">
        <f>+INDEX(DataEx!$1:$1048576,MATCH('2016'!$A41,DataEx!$D:$D,0),MATCH('2016'!H$6,DataEx!$7:$7,0))</f>
        <v>2409085.69</v>
      </c>
      <c r="I41" s="188">
        <f>+INDEX(DataEx!$1:$1048576,MATCH('2016'!$A41,DataEx!$D:$D,0),MATCH('2016'!I$6,DataEx!$7:$7,0))</f>
        <v>1684769.4699999995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1143634.6399999999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1219335.0900000001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14481049.99</v>
      </c>
      <c r="S41" s="269">
        <f t="shared" si="3"/>
        <v>35777453.129999995</v>
      </c>
      <c r="T41" s="270">
        <f t="shared" si="4"/>
        <v>9.4824948661542518E-3</v>
      </c>
    </row>
    <row r="42" spans="1:22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0.14709451198780812</v>
      </c>
    </row>
    <row r="43" spans="1:22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3.0229977132255493E-2</v>
      </c>
    </row>
    <row r="44" spans="1:22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5.9815238881526633E-3</v>
      </c>
    </row>
    <row r="45" spans="1:22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0.10358219815266365</v>
      </c>
    </row>
    <row r="46" spans="1:22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4.3148025443943798E-3</v>
      </c>
    </row>
    <row r="47" spans="1:22">
      <c r="A47" s="175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2.9860102703419028E-3</v>
      </c>
    </row>
    <row r="48" spans="1:22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4.5538135626822157E-2</v>
      </c>
    </row>
    <row r="49" spans="1:22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1.717981579644845E-2</v>
      </c>
    </row>
    <row r="50" spans="1:22">
      <c r="A50" s="175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7.6016413994169096E-4</v>
      </c>
    </row>
    <row r="51" spans="1:22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5.0087500583090375E-3</v>
      </c>
    </row>
    <row r="52" spans="1:22" ht="13.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1.8357415491651208E-2</v>
      </c>
    </row>
    <row r="54" spans="1:22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-20474692.120000005</v>
      </c>
      <c r="H55" s="176">
        <f t="shared" si="9"/>
        <v>-17372276.129999995</v>
      </c>
      <c r="I55" s="176">
        <f t="shared" si="9"/>
        <v>-33968390.590000018</v>
      </c>
      <c r="J55" s="176">
        <f t="shared" si="9"/>
        <v>-19872400.050000012</v>
      </c>
      <c r="K55" s="176">
        <f t="shared" si="9"/>
        <v>-25015297.060000002</v>
      </c>
      <c r="L55" s="176">
        <f t="shared" si="9"/>
        <v>3316905.7600000054</v>
      </c>
      <c r="M55" s="176">
        <f t="shared" si="9"/>
        <v>621139.21000000834</v>
      </c>
      <c r="N55" s="176">
        <f t="shared" si="9"/>
        <v>75067609.50000006</v>
      </c>
      <c r="O55" s="176">
        <f t="shared" si="9"/>
        <v>9534824.1800000072</v>
      </c>
      <c r="P55" s="176">
        <f t="shared" si="9"/>
        <v>5963032.9800000042</v>
      </c>
      <c r="Q55" s="176">
        <f t="shared" si="9"/>
        <v>-24836164.980000019</v>
      </c>
      <c r="R55" s="176">
        <f t="shared" si="9"/>
        <v>-82398371.76000005</v>
      </c>
      <c r="S55" s="285">
        <f t="shared" si="3"/>
        <v>-129434081.06000002</v>
      </c>
      <c r="T55" s="286">
        <f t="shared" si="4"/>
        <v>-3.4305348809965552E-2</v>
      </c>
    </row>
    <row r="56" spans="1:22" ht="13.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0">
        <f>+G55+G37</f>
        <v>-16621516.100000005</v>
      </c>
      <c r="H56" s="230">
        <f t="shared" ref="H56:R56" si="10">+H55+H37</f>
        <v>-16448828.249999994</v>
      </c>
      <c r="I56" s="230">
        <f t="shared" si="10"/>
        <v>-7294849.3700000197</v>
      </c>
      <c r="J56" s="230">
        <f t="shared" si="10"/>
        <v>-3036183.8300000131</v>
      </c>
      <c r="K56" s="230">
        <f t="shared" si="10"/>
        <v>-8970633.5100000016</v>
      </c>
      <c r="L56" s="230">
        <f t="shared" si="10"/>
        <v>6249071.480000006</v>
      </c>
      <c r="M56" s="230">
        <f t="shared" si="10"/>
        <v>6952366.4500000086</v>
      </c>
      <c r="N56" s="230">
        <f t="shared" si="10"/>
        <v>76560529.030000061</v>
      </c>
      <c r="O56" s="230">
        <f t="shared" si="10"/>
        <v>12125083.240000008</v>
      </c>
      <c r="P56" s="230">
        <f t="shared" si="10"/>
        <v>6377168.0000000037</v>
      </c>
      <c r="Q56" s="230">
        <f t="shared" si="10"/>
        <v>-24283943.930000018</v>
      </c>
      <c r="R56" s="230">
        <f t="shared" si="10"/>
        <v>-79716263.620000049</v>
      </c>
      <c r="S56" s="285">
        <f t="shared" si="3"/>
        <v>-48108000.410000011</v>
      </c>
      <c r="T56" s="286">
        <f t="shared" si="4"/>
        <v>-1.2750596451099924E-2</v>
      </c>
    </row>
    <row r="57" spans="1:22">
      <c r="A57" s="169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218">
        <f t="shared" ref="G57:R57" si="11">+SUM(G58:G59)</f>
        <v>33019750.740000002</v>
      </c>
      <c r="H57" s="218">
        <f t="shared" si="11"/>
        <v>41379235.089999996</v>
      </c>
      <c r="I57" s="218">
        <f t="shared" si="11"/>
        <v>46379030.429999992</v>
      </c>
      <c r="J57" s="218">
        <f t="shared" si="11"/>
        <v>191248837.78999999</v>
      </c>
      <c r="K57" s="218">
        <f t="shared" si="11"/>
        <v>5016094.05</v>
      </c>
      <c r="L57" s="218">
        <f t="shared" si="11"/>
        <v>28817481.77</v>
      </c>
      <c r="M57" s="218">
        <f t="shared" si="11"/>
        <v>42417178.719999999</v>
      </c>
      <c r="N57" s="218">
        <f t="shared" si="11"/>
        <v>67267709.039999992</v>
      </c>
      <c r="O57" s="218">
        <f t="shared" si="11"/>
        <v>22252369.009999998</v>
      </c>
      <c r="P57" s="218">
        <f t="shared" si="11"/>
        <v>18021216.960000001</v>
      </c>
      <c r="Q57" s="218">
        <f t="shared" si="11"/>
        <v>6024562.0499999998</v>
      </c>
      <c r="R57" s="218">
        <f t="shared" si="11"/>
        <v>31272720.659999996</v>
      </c>
      <c r="S57" s="287">
        <f t="shared" si="3"/>
        <v>533116186.30999982</v>
      </c>
      <c r="T57" s="288">
        <f t="shared" si="4"/>
        <v>0.14129769051417965</v>
      </c>
      <c r="V57" s="383"/>
    </row>
    <row r="58" spans="1:22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6">
        <f>+INDEX(DataEx!$1:$1048576,MATCH('2016'!$A58,DataEx!$D:$D,0),MATCH('2016'!G$6,DataEx!$7:$7,0))</f>
        <v>16586331.92</v>
      </c>
      <c r="H58" s="236">
        <f>+INDEX(DataEx!$1:$1048576,MATCH('2016'!$A58,DataEx!$D:$D,0),MATCH('2016'!H$6,DataEx!$7:$7,0))</f>
        <v>40102784.689999998</v>
      </c>
      <c r="I58" s="236">
        <f>+INDEX(DataEx!$1:$1048576,MATCH('2016'!$A58,DataEx!$D:$D,0),MATCH('2016'!I$6,DataEx!$7:$7,0))</f>
        <v>34153922.979999997</v>
      </c>
      <c r="J58" s="236">
        <f>+INDEX(DataEx!$1:$1048576,MATCH('2016'!$A58,DataEx!$D:$D,0),MATCH('2016'!J$6,DataEx!$7:$7,0))</f>
        <v>11303919.65</v>
      </c>
      <c r="K58" s="236">
        <f>+INDEX(DataEx!$1:$1048576,MATCH('2016'!$A58,DataEx!$D:$D,0),MATCH('2016'!K$6,DataEx!$7:$7,0))</f>
        <v>104634.18</v>
      </c>
      <c r="L58" s="236">
        <f>+INDEX(DataEx!$1:$1048576,MATCH('2016'!$A58,DataEx!$D:$D,0),MATCH('2016'!L$6,DataEx!$7:$7,0))</f>
        <v>7652930.54</v>
      </c>
      <c r="M58" s="236">
        <f>+INDEX(DataEx!$1:$1048576,MATCH('2016'!$A58,DataEx!$D:$D,0),MATCH('2016'!M$6,DataEx!$7:$7,0))</f>
        <v>17783759.899999999</v>
      </c>
      <c r="N58" s="236">
        <f>+INDEX(DataEx!$1:$1048576,MATCH('2016'!$A58,DataEx!$D:$D,0),MATCH('2016'!N$6,DataEx!$7:$7,0))</f>
        <v>65876428.729999997</v>
      </c>
      <c r="O58" s="236">
        <f>+INDEX(DataEx!$1:$1048576,MATCH('2016'!$A58,DataEx!$D:$D,0),MATCH('2016'!O$6,DataEx!$7:$7,0))</f>
        <v>9291204.8200000003</v>
      </c>
      <c r="P58" s="236">
        <f>+INDEX(DataEx!$1:$1048576,MATCH('2016'!$A58,DataEx!$D:$D,0),MATCH('2016'!P$6,DataEx!$7:$7,0))</f>
        <v>13507697.57</v>
      </c>
      <c r="Q58" s="236">
        <f>+INDEX(DataEx!$1:$1048576,MATCH('2016'!$A58,DataEx!$D:$D,0),MATCH('2016'!Q$6,DataEx!$7:$7,0))</f>
        <v>108168.99</v>
      </c>
      <c r="R58" s="236">
        <f>+INDEX(DataEx!$1:$1048576,MATCH('2016'!$A58,DataEx!$D:$D,0),MATCH('2016'!R$6,DataEx!$7:$7,0))</f>
        <v>8974836.0099999998</v>
      </c>
      <c r="S58" s="289">
        <f t="shared" si="3"/>
        <v>225446619.97999999</v>
      </c>
      <c r="T58" s="290">
        <f t="shared" si="4"/>
        <v>5.9752615950172276E-2</v>
      </c>
    </row>
    <row r="59" spans="1:22" ht="13.5" thickBot="1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6">
        <f>+INDEX(DataEx!$1:$1048576,MATCH('2016'!$A59,DataEx!$D:$D,0),MATCH('2016'!G$6,DataEx!$7:$7,0))</f>
        <v>16433418.82</v>
      </c>
      <c r="H59" s="236">
        <f>+INDEX(DataEx!$1:$1048576,MATCH('2016'!$A59,DataEx!$D:$D,0),MATCH('2016'!H$6,DataEx!$7:$7,0))</f>
        <v>1276450.3999999999</v>
      </c>
      <c r="I59" s="236">
        <f>+INDEX(DataEx!$1:$1048576,MATCH('2016'!$A59,DataEx!$D:$D,0),MATCH('2016'!I$6,DataEx!$7:$7,0))</f>
        <v>12225107.449999999</v>
      </c>
      <c r="J59" s="236">
        <f>+INDEX(DataEx!$1:$1048576,MATCH('2016'!$A59,DataEx!$D:$D,0),MATCH('2016'!J$6,DataEx!$7:$7,0))</f>
        <v>179944918.13999999</v>
      </c>
      <c r="K59" s="236">
        <f>+INDEX(DataEx!$1:$1048576,MATCH('2016'!$A59,DataEx!$D:$D,0),MATCH('2016'!K$6,DataEx!$7:$7,0))</f>
        <v>4911459.87</v>
      </c>
      <c r="L59" s="236">
        <f>+INDEX(DataEx!$1:$1048576,MATCH('2016'!$A59,DataEx!$D:$D,0),MATCH('2016'!L$6,DataEx!$7:$7,0))</f>
        <v>21164551.23</v>
      </c>
      <c r="M59" s="236">
        <f>+INDEX(DataEx!$1:$1048576,MATCH('2016'!$A59,DataEx!$D:$D,0),MATCH('2016'!M$6,DataEx!$7:$7,0))</f>
        <v>24633418.82</v>
      </c>
      <c r="N59" s="236">
        <f>+INDEX(DataEx!$1:$1048576,MATCH('2016'!$A59,DataEx!$D:$D,0),MATCH('2016'!N$6,DataEx!$7:$7,0))</f>
        <v>1391280.31</v>
      </c>
      <c r="O59" s="236">
        <f>+INDEX(DataEx!$1:$1048576,MATCH('2016'!$A59,DataEx!$D:$D,0),MATCH('2016'!O$6,DataEx!$7:$7,0))</f>
        <v>12961164.189999999</v>
      </c>
      <c r="P59" s="236">
        <f>+INDEX(DataEx!$1:$1048576,MATCH('2016'!$A59,DataEx!$D:$D,0),MATCH('2016'!P$6,DataEx!$7:$7,0))</f>
        <v>4513519.3899999997</v>
      </c>
      <c r="Q59" s="236">
        <f>+INDEX(DataEx!$1:$1048576,MATCH('2016'!$A59,DataEx!$D:$D,0),MATCH('2016'!Q$6,DataEx!$7:$7,0))</f>
        <v>5916393.0599999996</v>
      </c>
      <c r="R59" s="236">
        <f>+INDEX(DataEx!$1:$1048576,MATCH('2016'!$A59,DataEx!$D:$D,0),MATCH('2016'!R$6,DataEx!$7:$7,0))</f>
        <v>22297884.649999999</v>
      </c>
      <c r="S59" s="289">
        <f t="shared" si="3"/>
        <v>307669566.32999992</v>
      </c>
      <c r="T59" s="290">
        <f t="shared" si="4"/>
        <v>8.1545074564007405E-2</v>
      </c>
    </row>
    <row r="60" spans="1:22" ht="13.5" thickBot="1">
      <c r="A60" s="169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2">
        <f t="shared" ref="G60:R60" si="12">+G55-G57</f>
        <v>-53494442.860000007</v>
      </c>
      <c r="H60" s="242">
        <f t="shared" si="12"/>
        <v>-58751511.219999991</v>
      </c>
      <c r="I60" s="242">
        <f t="shared" si="12"/>
        <v>-80347421.020000011</v>
      </c>
      <c r="J60" s="242">
        <f t="shared" si="12"/>
        <v>-211121237.84</v>
      </c>
      <c r="K60" s="242">
        <f t="shared" si="12"/>
        <v>-30031391.110000003</v>
      </c>
      <c r="L60" s="242">
        <f t="shared" si="12"/>
        <v>-25500576.009999994</v>
      </c>
      <c r="M60" s="242">
        <f t="shared" si="12"/>
        <v>-41796039.50999999</v>
      </c>
      <c r="N60" s="242">
        <f t="shared" si="12"/>
        <v>7799900.4600000679</v>
      </c>
      <c r="O60" s="242">
        <f t="shared" si="12"/>
        <v>-12717544.829999991</v>
      </c>
      <c r="P60" s="242">
        <f t="shared" si="12"/>
        <v>-12058183.979999997</v>
      </c>
      <c r="Q60" s="242">
        <f t="shared" si="12"/>
        <v>-30860727.03000002</v>
      </c>
      <c r="R60" s="242">
        <f t="shared" si="12"/>
        <v>-113671092.42000005</v>
      </c>
      <c r="S60" s="291">
        <f t="shared" si="3"/>
        <v>-662550267.37000012</v>
      </c>
      <c r="T60" s="292">
        <f t="shared" si="4"/>
        <v>-0.17560303932414528</v>
      </c>
    </row>
    <row r="61" spans="1:22" ht="13.5" thickBot="1">
      <c r="A61" s="169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6">
        <f>+SUM(G62:G65)</f>
        <v>53494442.860000014</v>
      </c>
      <c r="H61" s="176">
        <f t="shared" ref="H61:R61" si="13">+SUM(H62:H65)</f>
        <v>58751511.219999991</v>
      </c>
      <c r="I61" s="176">
        <f t="shared" si="13"/>
        <v>80347421.020000011</v>
      </c>
      <c r="J61" s="176">
        <f t="shared" si="13"/>
        <v>211121237.84</v>
      </c>
      <c r="K61" s="176">
        <f t="shared" si="13"/>
        <v>30031391.110000003</v>
      </c>
      <c r="L61" s="176">
        <f t="shared" si="13"/>
        <v>25500576.009999994</v>
      </c>
      <c r="M61" s="176">
        <f t="shared" si="13"/>
        <v>41796039.50999999</v>
      </c>
      <c r="N61" s="176">
        <f t="shared" si="13"/>
        <v>-7799900.4600000754</v>
      </c>
      <c r="O61" s="176">
        <f t="shared" si="13"/>
        <v>12717544.829999991</v>
      </c>
      <c r="P61" s="176">
        <f t="shared" si="13"/>
        <v>12058183.979999997</v>
      </c>
      <c r="Q61" s="176">
        <f t="shared" si="13"/>
        <v>30860727.030000016</v>
      </c>
      <c r="R61" s="176">
        <f t="shared" si="13"/>
        <v>113671092.42000005</v>
      </c>
      <c r="S61" s="293">
        <f t="shared" si="3"/>
        <v>662550267.37</v>
      </c>
      <c r="T61" s="294">
        <f t="shared" si="4"/>
        <v>0.17560303932414525</v>
      </c>
    </row>
    <row r="62" spans="1:22">
      <c r="A62" s="169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6">
        <f>+INDEX(DataEx!$1:$1048576,MATCH('2016'!$A62,DataEx!$D:$D,0),MATCH('2016'!G$6,DataEx!$7:$7,0))</f>
        <v>16400000</v>
      </c>
      <c r="H62" s="236">
        <f>+INDEX(DataEx!$1:$1048576,MATCH('2016'!$A62,DataEx!$D:$D,0),MATCH('2016'!H$6,DataEx!$7:$7,0))</f>
        <v>51250217.07</v>
      </c>
      <c r="I62" s="236">
        <f>+INDEX(DataEx!$1:$1048576,MATCH('2016'!$A62,DataEx!$D:$D,0),MATCH('2016'!I$6,DataEx!$7:$7,0))</f>
        <v>25719782.93</v>
      </c>
      <c r="J62" s="236">
        <f>+INDEX(DataEx!$1:$1048576,MATCH('2016'!$A62,DataEx!$D:$D,0),MATCH('2016'!J$6,DataEx!$7:$7,0))</f>
        <v>13400000</v>
      </c>
      <c r="K62" s="236">
        <f>+INDEX(DataEx!$1:$1048576,MATCH('2016'!$A62,DataEx!$D:$D,0),MATCH('2016'!K$6,DataEx!$7:$7,0))</f>
        <v>0</v>
      </c>
      <c r="L62" s="236">
        <f>+INDEX(DataEx!$1:$1048576,MATCH('2016'!$A62,DataEx!$D:$D,0),MATCH('2016'!L$6,DataEx!$7:$7,0))</f>
        <v>15000000</v>
      </c>
      <c r="M62" s="236">
        <f>+INDEX(DataEx!$1:$1048576,MATCH('2016'!$A62,DataEx!$D:$D,0),MATCH('2016'!M$6,DataEx!$7:$7,0))</f>
        <v>26400000</v>
      </c>
      <c r="N62" s="236">
        <f>+INDEX(DataEx!$1:$1048576,MATCH('2016'!$A62,DataEx!$D:$D,0),MATCH('2016'!N$6,DataEx!$7:$7,0))</f>
        <v>61314300</v>
      </c>
      <c r="O62" s="236">
        <f>+INDEX(DataEx!$1:$1048576,MATCH('2016'!$A62,DataEx!$D:$D,0),MATCH('2016'!O$6,DataEx!$7:$7,0))</f>
        <v>0</v>
      </c>
      <c r="P62" s="236">
        <f>+INDEX(DataEx!$1:$1048576,MATCH('2016'!$A62,DataEx!$D:$D,0),MATCH('2016'!P$6,DataEx!$7:$7,0))</f>
        <v>0</v>
      </c>
      <c r="Q62" s="236">
        <f>+INDEX(DataEx!$1:$1048576,MATCH('2016'!$A62,DataEx!$D:$D,0),MATCH('2016'!Q$6,DataEx!$7:$7,0))</f>
        <v>80410000</v>
      </c>
      <c r="R62" s="236">
        <f>+INDEX(DataEx!$1:$1048576,MATCH('2016'!$A62,DataEx!$D:$D,0),MATCH('2016'!R$6,DataEx!$7:$7,0))</f>
        <v>27890000</v>
      </c>
      <c r="S62" s="289">
        <f t="shared" si="3"/>
        <v>317784300</v>
      </c>
      <c r="T62" s="290">
        <f t="shared" si="4"/>
        <v>8.4225894513649618E-2</v>
      </c>
    </row>
    <row r="63" spans="1:22">
      <c r="A63" s="169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6">
        <f>+INDEX(DataEx!$1:$1048576,MATCH('2016'!$A63,DataEx!$D:$D,0),MATCH('2016'!G$6,DataEx!$7:$7,0))</f>
        <v>329243.48</v>
      </c>
      <c r="H63" s="236">
        <f>+INDEX(DataEx!$1:$1048576,MATCH('2016'!$A63,DataEx!$D:$D,0),MATCH('2016'!H$6,DataEx!$7:$7,0))</f>
        <v>1028135.44</v>
      </c>
      <c r="I63" s="236">
        <f>+INDEX(DataEx!$1:$1048576,MATCH('2016'!$A63,DataEx!$D:$D,0),MATCH('2016'!I$6,DataEx!$7:$7,0))</f>
        <v>305578933.99000001</v>
      </c>
      <c r="J63" s="236">
        <f>+INDEX(DataEx!$1:$1048576,MATCH('2016'!$A63,DataEx!$D:$D,0),MATCH('2016'!J$6,DataEx!$7:$7,0))</f>
        <v>611208.74</v>
      </c>
      <c r="K63" s="236">
        <f>+INDEX(DataEx!$1:$1048576,MATCH('2016'!$A63,DataEx!$D:$D,0),MATCH('2016'!K$6,DataEx!$7:$7,0))</f>
        <v>680920.6100000001</v>
      </c>
      <c r="L63" s="236">
        <f>+INDEX(DataEx!$1:$1048576,MATCH('2016'!$A63,DataEx!$D:$D,0),MATCH('2016'!L$6,DataEx!$7:$7,0))</f>
        <v>805822.66</v>
      </c>
      <c r="M63" s="236">
        <f>+INDEX(DataEx!$1:$1048576,MATCH('2016'!$A63,DataEx!$D:$D,0),MATCH('2016'!M$6,DataEx!$7:$7,0))</f>
        <v>466534.34</v>
      </c>
      <c r="N63" s="236">
        <f>+INDEX(DataEx!$1:$1048576,MATCH('2016'!$A63,DataEx!$D:$D,0),MATCH('2016'!N$6,DataEx!$7:$7,0))</f>
        <v>319243.06</v>
      </c>
      <c r="O63" s="236">
        <f>+INDEX(DataEx!$1:$1048576,MATCH('2016'!$A63,DataEx!$D:$D,0),MATCH('2016'!O$6,DataEx!$7:$7,0))</f>
        <v>584698.59</v>
      </c>
      <c r="P63" s="236">
        <f>+INDEX(DataEx!$1:$1048576,MATCH('2016'!$A63,DataEx!$D:$D,0),MATCH('2016'!P$6,DataEx!$7:$7,0))</f>
        <v>713462.32</v>
      </c>
      <c r="Q63" s="236">
        <f>+INDEX(DataEx!$1:$1048576,MATCH('2016'!$A63,DataEx!$D:$D,0),MATCH('2016'!Q$6,DataEx!$7:$7,0))</f>
        <v>2120376.2599999998</v>
      </c>
      <c r="R63" s="236">
        <f>+INDEX(DataEx!$1:$1048576,MATCH('2016'!$A63,DataEx!$D:$D,0),MATCH('2016'!R$6,DataEx!$7:$7,0))</f>
        <v>11974834.460000001</v>
      </c>
      <c r="S63" s="289">
        <f t="shared" si="3"/>
        <v>325213413.94999999</v>
      </c>
      <c r="T63" s="290">
        <f t="shared" si="4"/>
        <v>8.6194914908560821E-2</v>
      </c>
    </row>
    <row r="64" spans="1:22">
      <c r="A64" s="169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6">
        <f>+INDEX(DataEx!$1:$1048576,MATCH('2016'!$A64,DataEx!$D:$D,0),MATCH('2016'!G$6,DataEx!$7:$7,0))</f>
        <v>32341.5</v>
      </c>
      <c r="H64" s="236">
        <f>+INDEX(DataEx!$1:$1048576,MATCH('2016'!$A64,DataEx!$D:$D,0),MATCH('2016'!H$6,DataEx!$7:$7,0))</f>
        <v>691978.88</v>
      </c>
      <c r="I64" s="236">
        <f>+INDEX(DataEx!$1:$1048576,MATCH('2016'!$A64,DataEx!$D:$D,0),MATCH('2016'!I$6,DataEx!$7:$7,0))</f>
        <v>24390.81</v>
      </c>
      <c r="J64" s="236">
        <f>+INDEX(DataEx!$1:$1048576,MATCH('2016'!$A64,DataEx!$D:$D,0),MATCH('2016'!J$6,DataEx!$7:$7,0))</f>
        <v>112253.6</v>
      </c>
      <c r="K64" s="236">
        <f>+INDEX(DataEx!$1:$1048576,MATCH('2016'!$A64,DataEx!$D:$D,0),MATCH('2016'!K$6,DataEx!$7:$7,0))</f>
        <v>103090.11</v>
      </c>
      <c r="L64" s="236">
        <f>+INDEX(DataEx!$1:$1048576,MATCH('2016'!$A64,DataEx!$D:$D,0),MATCH('2016'!L$6,DataEx!$7:$7,0))</f>
        <v>83178.69</v>
      </c>
      <c r="M64" s="236">
        <f>+INDEX(DataEx!$1:$1048576,MATCH('2016'!$A64,DataEx!$D:$D,0),MATCH('2016'!M$6,DataEx!$7:$7,0))</f>
        <v>504334.47</v>
      </c>
      <c r="N64" s="236">
        <f>+INDEX(DataEx!$1:$1048576,MATCH('2016'!$A64,DataEx!$D:$D,0),MATCH('2016'!N$6,DataEx!$7:$7,0))</f>
        <v>89093.46</v>
      </c>
      <c r="O64" s="236">
        <f>+INDEX(DataEx!$1:$1048576,MATCH('2016'!$A64,DataEx!$D:$D,0),MATCH('2016'!O$6,DataEx!$7:$7,0))</f>
        <v>551429.85</v>
      </c>
      <c r="P64" s="236">
        <f>+INDEX(DataEx!$1:$1048576,MATCH('2016'!$A64,DataEx!$D:$D,0),MATCH('2016'!P$6,DataEx!$7:$7,0))</f>
        <v>54505.3</v>
      </c>
      <c r="Q64" s="236">
        <f>+INDEX(DataEx!$1:$1048576,MATCH('2016'!$A64,DataEx!$D:$D,0),MATCH('2016'!Q$6,DataEx!$7:$7,0))</f>
        <v>1206435.3</v>
      </c>
      <c r="R64" s="236">
        <f>+INDEX(DataEx!$1:$1048576,MATCH('2016'!$A64,DataEx!$D:$D,0),MATCH('2016'!R$6,DataEx!$7:$7,0))</f>
        <v>766535.54</v>
      </c>
      <c r="S64" s="289">
        <f t="shared" si="3"/>
        <v>4219567.51</v>
      </c>
      <c r="T64" s="290">
        <f t="shared" si="4"/>
        <v>1.1183587357540417E-3</v>
      </c>
    </row>
    <row r="65" spans="1:20" ht="13.5" thickBot="1">
      <c r="A65" s="169">
        <v>1004</v>
      </c>
      <c r="B65" s="248" t="str">
        <f>+VLOOKUP($A65,Master!$D$25:$G$223,4,FALSE)</f>
        <v>Povećanje / smanjenje depozita</v>
      </c>
      <c r="C65" s="249"/>
      <c r="D65" s="249"/>
      <c r="E65" s="249"/>
      <c r="F65" s="249"/>
      <c r="G65" s="250">
        <f>-G60-SUM(G62:G64)</f>
        <v>36732857.88000001</v>
      </c>
      <c r="H65" s="250">
        <f t="shared" ref="H65:R65" si="14">-H60-SUM(H62:H64)</f>
        <v>5781179.8299999908</v>
      </c>
      <c r="I65" s="250">
        <f t="shared" si="14"/>
        <v>-250975686.71000001</v>
      </c>
      <c r="J65" s="250">
        <f t="shared" si="14"/>
        <v>196997775.5</v>
      </c>
      <c r="K65" s="250">
        <f t="shared" si="14"/>
        <v>29247380.390000004</v>
      </c>
      <c r="L65" s="250">
        <f t="shared" si="14"/>
        <v>9611574.6599999946</v>
      </c>
      <c r="M65" s="250">
        <f t="shared" si="14"/>
        <v>14425170.699999992</v>
      </c>
      <c r="N65" s="250">
        <f t="shared" si="14"/>
        <v>-69522536.980000079</v>
      </c>
      <c r="O65" s="250">
        <f t="shared" si="14"/>
        <v>11581416.389999991</v>
      </c>
      <c r="P65" s="250">
        <f t="shared" si="14"/>
        <v>11290216.359999998</v>
      </c>
      <c r="Q65" s="250">
        <f t="shared" si="14"/>
        <v>-52876084.529999986</v>
      </c>
      <c r="R65" s="250">
        <f t="shared" si="14"/>
        <v>73039722.420000046</v>
      </c>
      <c r="S65" s="295">
        <f>+SUM(G65:R65)</f>
        <v>15332985.909999952</v>
      </c>
      <c r="T65" s="296">
        <f t="shared" si="4"/>
        <v>4.0638711661807455E-3</v>
      </c>
    </row>
    <row r="66" spans="1:20">
      <c r="R66" s="388"/>
    </row>
    <row r="71" spans="1:20">
      <c r="R71" s="359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2016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5" t="str">
        <f>+S7</f>
        <v>BDP</v>
      </c>
      <c r="T101" s="116">
        <f>+T7</f>
        <v>3773000000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1">
        <f>+SUM(G104:R104)</f>
        <v>1458466803.7734396</v>
      </c>
      <c r="T104" s="122">
        <f>+S104/$T$7</f>
        <v>0.38655361881087719</v>
      </c>
    </row>
    <row r="105" spans="1:21">
      <c r="A105" s="137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3">
        <f t="shared" ref="S105:S159" si="20">+SUM(G105:R105)</f>
        <v>848250392.06641626</v>
      </c>
      <c r="T105" s="124">
        <f t="shared" ref="T105:T159" si="21">+S105/$T$7</f>
        <v>0.22482120118378379</v>
      </c>
      <c r="U105" s="302"/>
    </row>
    <row r="106" spans="1:21">
      <c r="A106" s="137" t="str">
        <f t="shared" si="17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+INDEX(DataEx!$1:$1048576,MATCH('2016'!$A106,DataEx!$D:$D,0),MATCH('2016'!G$100,DataEx!$216:$216,0))</f>
        <v>3256274.170259011</v>
      </c>
      <c r="H106" s="91">
        <f>+INDEX(DataEx!$1:$1048576,MATCH('2016'!$A106,DataEx!$D:$D,0),MATCH('2016'!H$100,DataEx!$216:$216,0))</f>
        <v>6307067.1265346296</v>
      </c>
      <c r="I106" s="91">
        <f>+INDEX(DataEx!$1:$1048576,MATCH('2016'!$A106,DataEx!$D:$D,0),MATCH('2016'!I$100,DataEx!$216:$216,0))</f>
        <v>7185867.0962893497</v>
      </c>
      <c r="J106" s="91">
        <f>+INDEX(DataEx!$1:$1048576,MATCH('2016'!$A106,DataEx!$D:$D,0),MATCH('2016'!J$100,DataEx!$216:$216,0))</f>
        <v>7337843.0794201987</v>
      </c>
      <c r="K106" s="91">
        <f>+INDEX(DataEx!$1:$1048576,MATCH('2016'!$A106,DataEx!$D:$D,0),MATCH('2016'!K$100,DataEx!$216:$216,0))</f>
        <v>7549134.215325322</v>
      </c>
      <c r="L106" s="91">
        <f>+INDEX(DataEx!$1:$1048576,MATCH('2016'!$A106,DataEx!$D:$D,0),MATCH('2016'!L$100,DataEx!$216:$216,0))</f>
        <v>7983088.0958320322</v>
      </c>
      <c r="M106" s="91">
        <f>+INDEX(DataEx!$1:$1048576,MATCH('2016'!$A106,DataEx!$D:$D,0),MATCH('2016'!M$100,DataEx!$216:$216,0))</f>
        <v>8209438.0719818696</v>
      </c>
      <c r="N106" s="91">
        <f>+INDEX(DataEx!$1:$1048576,MATCH('2016'!$A106,DataEx!$D:$D,0),MATCH('2016'!N$100,DataEx!$216:$216,0))</f>
        <v>8656256.586545825</v>
      </c>
      <c r="O106" s="91">
        <f>+INDEX(DataEx!$1:$1048576,MATCH('2016'!$A106,DataEx!$D:$D,0),MATCH('2016'!O$100,DataEx!$216:$216,0))</f>
        <v>8265680.3878533607</v>
      </c>
      <c r="P106" s="91">
        <f>+INDEX(DataEx!$1:$1048576,MATCH('2016'!$A106,DataEx!$D:$D,0),MATCH('2016'!P$100,DataEx!$216:$216,0))</f>
        <v>10422468.304093841</v>
      </c>
      <c r="Q106" s="91">
        <f>+INDEX(DataEx!$1:$1048576,MATCH('2016'!$A106,DataEx!$D:$D,0),MATCH('2016'!Q$100,DataEx!$216:$216,0))</f>
        <v>9053001.7482958268</v>
      </c>
      <c r="R106" s="91">
        <f>+INDEX(DataEx!$1:$1048576,MATCH('2016'!$A106,DataEx!$D:$D,0),MATCH('2016'!R$100,DataEx!$216:$216,0))</f>
        <v>14496765.94178308</v>
      </c>
      <c r="S106" s="125">
        <f t="shared" si="20"/>
        <v>98722884.824214354</v>
      </c>
      <c r="T106" s="126">
        <f t="shared" si="21"/>
        <v>2.6165620149539982E-2</v>
      </c>
    </row>
    <row r="107" spans="1:21">
      <c r="A107" s="137" t="str">
        <f t="shared" si="17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+INDEX(DataEx!$1:$1048576,MATCH('2016'!$A107,DataEx!$D:$D,0),MATCH('2016'!G$100,DataEx!$216:$216,0))</f>
        <v>879216.6252275107</v>
      </c>
      <c r="H107" s="91">
        <f>+INDEX(DataEx!$1:$1048576,MATCH('2016'!$A107,DataEx!$D:$D,0),MATCH('2016'!H$100,DataEx!$216:$216,0))</f>
        <v>978704.97459082201</v>
      </c>
      <c r="I107" s="91">
        <f>+INDEX(DataEx!$1:$1048576,MATCH('2016'!$A107,DataEx!$D:$D,0),MATCH('2016'!I$100,DataEx!$216:$216,0))</f>
        <v>9565619.7261311747</v>
      </c>
      <c r="J107" s="91">
        <f>+INDEX(DataEx!$1:$1048576,MATCH('2016'!$A107,DataEx!$D:$D,0),MATCH('2016'!J$100,DataEx!$216:$216,0))</f>
        <v>14480647.367470991</v>
      </c>
      <c r="K107" s="91">
        <f>+INDEX(DataEx!$1:$1048576,MATCH('2016'!$A107,DataEx!$D:$D,0),MATCH('2016'!K$100,DataEx!$216:$216,0))</f>
        <v>2750731.3293431252</v>
      </c>
      <c r="L107" s="91">
        <f>+INDEX(DataEx!$1:$1048576,MATCH('2016'!$A107,DataEx!$D:$D,0),MATCH('2016'!L$100,DataEx!$216:$216,0))</f>
        <v>3704741.9987834813</v>
      </c>
      <c r="M107" s="91">
        <f>+INDEX(DataEx!$1:$1048576,MATCH('2016'!$A107,DataEx!$D:$D,0),MATCH('2016'!M$100,DataEx!$216:$216,0))</f>
        <v>4542486.8831950836</v>
      </c>
      <c r="N107" s="91">
        <f>+INDEX(DataEx!$1:$1048576,MATCH('2016'!$A107,DataEx!$D:$D,0),MATCH('2016'!N$100,DataEx!$216:$216,0))</f>
        <v>2539403.2975392533</v>
      </c>
      <c r="O107" s="91">
        <f>+INDEX(DataEx!$1:$1048576,MATCH('2016'!$A107,DataEx!$D:$D,0),MATCH('2016'!O$100,DataEx!$216:$216,0))</f>
        <v>2385044.0612207768</v>
      </c>
      <c r="P107" s="91">
        <f>+INDEX(DataEx!$1:$1048576,MATCH('2016'!$A107,DataEx!$D:$D,0),MATCH('2016'!P$100,DataEx!$216:$216,0))</f>
        <v>1382622.7151631019</v>
      </c>
      <c r="Q107" s="91">
        <f>+INDEX(DataEx!$1:$1048576,MATCH('2016'!$A107,DataEx!$D:$D,0),MATCH('2016'!Q$100,DataEx!$216:$216,0))</f>
        <v>718783.39737050491</v>
      </c>
      <c r="R107" s="91">
        <f>+INDEX(DataEx!$1:$1048576,MATCH('2016'!$A107,DataEx!$D:$D,0),MATCH('2016'!R$100,DataEx!$216:$216,0))</f>
        <v>1297842.5948828864</v>
      </c>
      <c r="S107" s="125">
        <f t="shared" si="20"/>
        <v>45225844.970918715</v>
      </c>
      <c r="T107" s="126">
        <f t="shared" si="21"/>
        <v>1.1986706856856271E-2</v>
      </c>
    </row>
    <row r="108" spans="1:21">
      <c r="A108" s="137" t="str">
        <f t="shared" si="17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+INDEX(DataEx!$1:$1048576,MATCH('2016'!$A108,DataEx!$D:$D,0),MATCH('2016'!G$100,DataEx!$216:$216,0))</f>
        <v>89812.337994626199</v>
      </c>
      <c r="H108" s="91">
        <f>+INDEX(DataEx!$1:$1048576,MATCH('2016'!$A108,DataEx!$D:$D,0),MATCH('2016'!H$100,DataEx!$216:$216,0))</f>
        <v>125605.87790916764</v>
      </c>
      <c r="I108" s="91">
        <f>+INDEX(DataEx!$1:$1048576,MATCH('2016'!$A108,DataEx!$D:$D,0),MATCH('2016'!I$100,DataEx!$216:$216,0))</f>
        <v>126382.3151345364</v>
      </c>
      <c r="J108" s="91">
        <f>+INDEX(DataEx!$1:$1048576,MATCH('2016'!$A108,DataEx!$D:$D,0),MATCH('2016'!J$100,DataEx!$216:$216,0))</f>
        <v>113339.33642942409</v>
      </c>
      <c r="K108" s="91">
        <f>+INDEX(DataEx!$1:$1048576,MATCH('2016'!$A108,DataEx!$D:$D,0),MATCH('2016'!K$100,DataEx!$216:$216,0))</f>
        <v>81752.089929508642</v>
      </c>
      <c r="L108" s="91">
        <f>+INDEX(DataEx!$1:$1048576,MATCH('2016'!$A108,DataEx!$D:$D,0),MATCH('2016'!L$100,DataEx!$216:$216,0))</f>
        <v>109588.60372302438</v>
      </c>
      <c r="M108" s="91">
        <f>+INDEX(DataEx!$1:$1048576,MATCH('2016'!$A108,DataEx!$D:$D,0),MATCH('2016'!M$100,DataEx!$216:$216,0))</f>
        <v>122410.08849255976</v>
      </c>
      <c r="N108" s="91">
        <f>+INDEX(DataEx!$1:$1048576,MATCH('2016'!$A108,DataEx!$D:$D,0),MATCH('2016'!N$100,DataEx!$216:$216,0))</f>
        <v>122577.82624468152</v>
      </c>
      <c r="O108" s="91">
        <f>+INDEX(DataEx!$1:$1048576,MATCH('2016'!$A108,DataEx!$D:$D,0),MATCH('2016'!O$100,DataEx!$216:$216,0))</f>
        <v>122631.24943535826</v>
      </c>
      <c r="P108" s="91">
        <f>+INDEX(DataEx!$1:$1048576,MATCH('2016'!$A108,DataEx!$D:$D,0),MATCH('2016'!P$100,DataEx!$216:$216,0))</f>
        <v>142176.60213635428</v>
      </c>
      <c r="Q108" s="91">
        <f>+INDEX(DataEx!$1:$1048576,MATCH('2016'!$A108,DataEx!$D:$D,0),MATCH('2016'!Q$100,DataEx!$216:$216,0))</f>
        <v>111230.89453217729</v>
      </c>
      <c r="R108" s="91">
        <f>+INDEX(DataEx!$1:$1048576,MATCH('2016'!$A108,DataEx!$D:$D,0),MATCH('2016'!R$100,DataEx!$216:$216,0))</f>
        <v>166744.30114189265</v>
      </c>
      <c r="S108" s="125">
        <f t="shared" si="20"/>
        <v>1434251.523103311</v>
      </c>
      <c r="T108" s="126">
        <f t="shared" si="21"/>
        <v>3.8013557463644604E-4</v>
      </c>
    </row>
    <row r="109" spans="1:21">
      <c r="A109" s="137" t="str">
        <f t="shared" si="17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+INDEX(DataEx!$1:$1048576,MATCH('2016'!$A109,DataEx!$D:$D,0),MATCH('2016'!G$100,DataEx!$216:$216,0))</f>
        <v>31679573.180653565</v>
      </c>
      <c r="H109" s="91">
        <f>+INDEX(DataEx!$1:$1048576,MATCH('2016'!$A109,DataEx!$D:$D,0),MATCH('2016'!H$100,DataEx!$216:$216,0))</f>
        <v>31928103.158560321</v>
      </c>
      <c r="I109" s="91">
        <f>+INDEX(DataEx!$1:$1048576,MATCH('2016'!$A109,DataEx!$D:$D,0),MATCH('2016'!I$100,DataEx!$216:$216,0))</f>
        <v>34104565.830024712</v>
      </c>
      <c r="J109" s="91">
        <f>+INDEX(DataEx!$1:$1048576,MATCH('2016'!$A109,DataEx!$D:$D,0),MATCH('2016'!J$100,DataEx!$216:$216,0))</f>
        <v>37842157.867834173</v>
      </c>
      <c r="K109" s="91">
        <f>+INDEX(DataEx!$1:$1048576,MATCH('2016'!$A109,DataEx!$D:$D,0),MATCH('2016'!K$100,DataEx!$216:$216,0))</f>
        <v>37499397.053443842</v>
      </c>
      <c r="L109" s="91">
        <f>+INDEX(DataEx!$1:$1048576,MATCH('2016'!$A109,DataEx!$D:$D,0),MATCH('2016'!L$100,DataEx!$216:$216,0))</f>
        <v>40999614.220945761</v>
      </c>
      <c r="M109" s="91">
        <f>+INDEX(DataEx!$1:$1048576,MATCH('2016'!$A109,DataEx!$D:$D,0),MATCH('2016'!M$100,DataEx!$216:$216,0))</f>
        <v>49404174.365267023</v>
      </c>
      <c r="N109" s="91">
        <f>+INDEX(DataEx!$1:$1048576,MATCH('2016'!$A109,DataEx!$D:$D,0),MATCH('2016'!N$100,DataEx!$216:$216,0))</f>
        <v>50808197.54559686</v>
      </c>
      <c r="O109" s="91">
        <f>+INDEX(DataEx!$1:$1048576,MATCH('2016'!$A109,DataEx!$D:$D,0),MATCH('2016'!O$100,DataEx!$216:$216,0))</f>
        <v>48941259.772591494</v>
      </c>
      <c r="P109" s="91">
        <f>+INDEX(DataEx!$1:$1048576,MATCH('2016'!$A109,DataEx!$D:$D,0),MATCH('2016'!P$100,DataEx!$216:$216,0))</f>
        <v>50674252.604080558</v>
      </c>
      <c r="Q109" s="91">
        <f>+INDEX(DataEx!$1:$1048576,MATCH('2016'!$A109,DataEx!$D:$D,0),MATCH('2016'!Q$100,DataEx!$216:$216,0))</f>
        <v>34472392.733843513</v>
      </c>
      <c r="R109" s="91">
        <f>+INDEX(DataEx!$1:$1048576,MATCH('2016'!$A109,DataEx!$D:$D,0),MATCH('2016'!R$100,DataEx!$216:$216,0))</f>
        <v>39750004.058720417</v>
      </c>
      <c r="S109" s="125">
        <f t="shared" si="20"/>
        <v>488103692.39156222</v>
      </c>
      <c r="T109" s="126">
        <f t="shared" si="21"/>
        <v>0.1293675304509839</v>
      </c>
    </row>
    <row r="110" spans="1:21">
      <c r="A110" s="137" t="str">
        <f t="shared" si="17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+INDEX(DataEx!$1:$1048576,MATCH('2016'!$A110,DataEx!$D:$D,0),MATCH('2016'!G$100,DataEx!$216:$216,0))</f>
        <v>11120032.514063414</v>
      </c>
      <c r="H110" s="91">
        <f>+INDEX(DataEx!$1:$1048576,MATCH('2016'!$A110,DataEx!$D:$D,0),MATCH('2016'!H$100,DataEx!$216:$216,0))</f>
        <v>10159884.393436292</v>
      </c>
      <c r="I110" s="91">
        <f>+INDEX(DataEx!$1:$1048576,MATCH('2016'!$A110,DataEx!$D:$D,0),MATCH('2016'!I$100,DataEx!$216:$216,0))</f>
        <v>11541404.231549168</v>
      </c>
      <c r="J110" s="91">
        <f>+INDEX(DataEx!$1:$1048576,MATCH('2016'!$A110,DataEx!$D:$D,0),MATCH('2016'!J$100,DataEx!$216:$216,0))</f>
        <v>12686872.226631973</v>
      </c>
      <c r="K110" s="91">
        <f>+INDEX(DataEx!$1:$1048576,MATCH('2016'!$A110,DataEx!$D:$D,0),MATCH('2016'!K$100,DataEx!$216:$216,0))</f>
        <v>13828107.792372638</v>
      </c>
      <c r="L110" s="91">
        <f>+INDEX(DataEx!$1:$1048576,MATCH('2016'!$A110,DataEx!$D:$D,0),MATCH('2016'!L$100,DataEx!$216:$216,0))</f>
        <v>16174553.418030523</v>
      </c>
      <c r="M110" s="91">
        <f>+INDEX(DataEx!$1:$1048576,MATCH('2016'!$A110,DataEx!$D:$D,0),MATCH('2016'!M$100,DataEx!$216:$216,0))</f>
        <v>18497907.983898904</v>
      </c>
      <c r="N110" s="91">
        <f>+INDEX(DataEx!$1:$1048576,MATCH('2016'!$A110,DataEx!$D:$D,0),MATCH('2016'!N$100,DataEx!$216:$216,0))</f>
        <v>22949187.355199177</v>
      </c>
      <c r="O110" s="91">
        <f>+INDEX(DataEx!$1:$1048576,MATCH('2016'!$A110,DataEx!$D:$D,0),MATCH('2016'!O$100,DataEx!$216:$216,0))</f>
        <v>19735591.308796823</v>
      </c>
      <c r="P110" s="91">
        <f>+INDEX(DataEx!$1:$1048576,MATCH('2016'!$A110,DataEx!$D:$D,0),MATCH('2016'!P$100,DataEx!$216:$216,0))</f>
        <v>16832757.074621882</v>
      </c>
      <c r="Q110" s="91">
        <f>+INDEX(DataEx!$1:$1048576,MATCH('2016'!$A110,DataEx!$D:$D,0),MATCH('2016'!Q$100,DataEx!$216:$216,0))</f>
        <v>14338219.799717059</v>
      </c>
      <c r="R110" s="91">
        <f>+INDEX(DataEx!$1:$1048576,MATCH('2016'!$A110,DataEx!$D:$D,0),MATCH('2016'!R$100,DataEx!$216:$216,0))</f>
        <v>15239347.412479252</v>
      </c>
      <c r="S110" s="125">
        <f t="shared" si="20"/>
        <v>183103865.51079711</v>
      </c>
      <c r="T110" s="126">
        <f t="shared" si="21"/>
        <v>4.8530046517571458E-2</v>
      </c>
    </row>
    <row r="111" spans="1:21">
      <c r="A111" s="137" t="str">
        <f t="shared" si="17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+INDEX(DataEx!$1:$1048576,MATCH('2016'!$A111,DataEx!$D:$D,0),MATCH('2016'!G$100,DataEx!$216:$216,0))</f>
        <v>1044333.5847040946</v>
      </c>
      <c r="H111" s="91">
        <f>+INDEX(DataEx!$1:$1048576,MATCH('2016'!$A111,DataEx!$D:$D,0),MATCH('2016'!H$100,DataEx!$216:$216,0))</f>
        <v>1372829.090518791</v>
      </c>
      <c r="I111" s="91">
        <f>+INDEX(DataEx!$1:$1048576,MATCH('2016'!$A111,DataEx!$D:$D,0),MATCH('2016'!I$100,DataEx!$216:$216,0))</f>
        <v>1899074.8246946216</v>
      </c>
      <c r="J111" s="91">
        <f>+INDEX(DataEx!$1:$1048576,MATCH('2016'!$A111,DataEx!$D:$D,0),MATCH('2016'!J$100,DataEx!$216:$216,0))</f>
        <v>1934618.6277946457</v>
      </c>
      <c r="K111" s="91">
        <f>+INDEX(DataEx!$1:$1048576,MATCH('2016'!$A111,DataEx!$D:$D,0),MATCH('2016'!K$100,DataEx!$216:$216,0))</f>
        <v>1937428.4331486213</v>
      </c>
      <c r="L111" s="91">
        <f>+INDEX(DataEx!$1:$1048576,MATCH('2016'!$A111,DataEx!$D:$D,0),MATCH('2016'!L$100,DataEx!$216:$216,0))</f>
        <v>2127170.3374280212</v>
      </c>
      <c r="M111" s="91">
        <f>+INDEX(DataEx!$1:$1048576,MATCH('2016'!$A111,DataEx!$D:$D,0),MATCH('2016'!M$100,DataEx!$216:$216,0))</f>
        <v>2549323.2677289024</v>
      </c>
      <c r="N111" s="91">
        <f>+INDEX(DataEx!$1:$1048576,MATCH('2016'!$A111,DataEx!$D:$D,0),MATCH('2016'!N$100,DataEx!$216:$216,0))</f>
        <v>2367849.4282178474</v>
      </c>
      <c r="O111" s="91">
        <f>+INDEX(DataEx!$1:$1048576,MATCH('2016'!$A111,DataEx!$D:$D,0),MATCH('2016'!O$100,DataEx!$216:$216,0))</f>
        <v>2194114.3691908875</v>
      </c>
      <c r="P111" s="91">
        <f>+INDEX(DataEx!$1:$1048576,MATCH('2016'!$A111,DataEx!$D:$D,0),MATCH('2016'!P$100,DataEx!$216:$216,0))</f>
        <v>2276435.1122387154</v>
      </c>
      <c r="Q111" s="91">
        <f>+INDEX(DataEx!$1:$1048576,MATCH('2016'!$A111,DataEx!$D:$D,0),MATCH('2016'!Q$100,DataEx!$216:$216,0))</f>
        <v>1500993.7865445174</v>
      </c>
      <c r="R111" s="91">
        <f>+INDEX(DataEx!$1:$1048576,MATCH('2016'!$A111,DataEx!$D:$D,0),MATCH('2016'!R$100,DataEx!$216:$216,0))</f>
        <v>1773412.2815320112</v>
      </c>
      <c r="S111" s="125">
        <f t="shared" si="20"/>
        <v>22977583.143741678</v>
      </c>
      <c r="T111" s="126">
        <f t="shared" si="21"/>
        <v>6.0900034836315073E-3</v>
      </c>
    </row>
    <row r="112" spans="1:21">
      <c r="A112" s="137" t="str">
        <f t="shared" si="17"/>
        <v>7118p</v>
      </c>
      <c r="B112" s="515" t="str">
        <f>+VLOOKUP(LEFT($A112,LEN(A112)-1)*1,Master!$D$25:$G$223,4,FALSE)</f>
        <v>Ostali državni porezi</v>
      </c>
      <c r="C112" s="516"/>
      <c r="D112" s="516"/>
      <c r="E112" s="516"/>
      <c r="F112" s="516"/>
      <c r="G112" s="91">
        <f>+INDEX(DataEx!$1:$1048576,MATCH('2016'!$A112,DataEx!$D:$D,0),MATCH('2016'!G$100,DataEx!$216:$216,0))</f>
        <v>450053.61458020721</v>
      </c>
      <c r="H112" s="91">
        <f>+INDEX(DataEx!$1:$1048576,MATCH('2016'!$A112,DataEx!$D:$D,0),MATCH('2016'!H$100,DataEx!$216:$216,0))</f>
        <v>475038.28260860743</v>
      </c>
      <c r="I112" s="91">
        <f>+INDEX(DataEx!$1:$1048576,MATCH('2016'!$A112,DataEx!$D:$D,0),MATCH('2016'!I$100,DataEx!$216:$216,0))</f>
        <v>588186.946081153</v>
      </c>
      <c r="J112" s="91">
        <f>+INDEX(DataEx!$1:$1048576,MATCH('2016'!$A112,DataEx!$D:$D,0),MATCH('2016'!J$100,DataEx!$216:$216,0))</f>
        <v>697774.7752861263</v>
      </c>
      <c r="K112" s="91">
        <f>+INDEX(DataEx!$1:$1048576,MATCH('2016'!$A112,DataEx!$D:$D,0),MATCH('2016'!K$100,DataEx!$216:$216,0))</f>
        <v>729966.03511176899</v>
      </c>
      <c r="L112" s="91">
        <f>+INDEX(DataEx!$1:$1048576,MATCH('2016'!$A112,DataEx!$D:$D,0),MATCH('2016'!L$100,DataEx!$216:$216,0))</f>
        <v>808032.03012700868</v>
      </c>
      <c r="M112" s="91">
        <f>+INDEX(DataEx!$1:$1048576,MATCH('2016'!$A112,DataEx!$D:$D,0),MATCH('2016'!M$100,DataEx!$216:$216,0))</f>
        <v>898577.82161147927</v>
      </c>
      <c r="N112" s="91">
        <f>+INDEX(DataEx!$1:$1048576,MATCH('2016'!$A112,DataEx!$D:$D,0),MATCH('2016'!N$100,DataEx!$216:$216,0))</f>
        <v>890271.03364985739</v>
      </c>
      <c r="O112" s="91">
        <f>+INDEX(DataEx!$1:$1048576,MATCH('2016'!$A112,DataEx!$D:$D,0),MATCH('2016'!O$100,DataEx!$216:$216,0))</f>
        <v>850550.63426379242</v>
      </c>
      <c r="P112" s="91">
        <f>+INDEX(DataEx!$1:$1048576,MATCH('2016'!$A112,DataEx!$D:$D,0),MATCH('2016'!P$100,DataEx!$216:$216,0))</f>
        <v>780569.87598601193</v>
      </c>
      <c r="Q112" s="91">
        <f>+INDEX(DataEx!$1:$1048576,MATCH('2016'!$A112,DataEx!$D:$D,0),MATCH('2016'!Q$100,DataEx!$216:$216,0))</f>
        <v>684662.88608948409</v>
      </c>
      <c r="R112" s="91">
        <f>+INDEX(DataEx!$1:$1048576,MATCH('2016'!$A112,DataEx!$D:$D,0),MATCH('2016'!R$100,DataEx!$216:$216,0))</f>
        <v>828585.76668335497</v>
      </c>
      <c r="S112" s="125">
        <f t="shared" si="20"/>
        <v>8682269.7020788509</v>
      </c>
      <c r="T112" s="126">
        <f t="shared" si="21"/>
        <v>2.3011581505642332E-3</v>
      </c>
    </row>
    <row r="113" spans="1:20">
      <c r="A113" s="137" t="str">
        <f t="shared" si="17"/>
        <v>712p</v>
      </c>
      <c r="B113" s="528" t="str">
        <f>+VLOOKUP(LEFT($A113,LEN(A113)-1)*1,Master!$D$25:$G$223,4,FALSE)</f>
        <v>Doprinosi</v>
      </c>
      <c r="C113" s="529"/>
      <c r="D113" s="529"/>
      <c r="E113" s="529"/>
      <c r="F113" s="529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7">
        <f t="shared" si="20"/>
        <v>483156218.11086082</v>
      </c>
      <c r="T113" s="128">
        <f t="shared" si="21"/>
        <v>0.12805624651758835</v>
      </c>
    </row>
    <row r="114" spans="1:20">
      <c r="A114" s="137" t="str">
        <f t="shared" si="17"/>
        <v>7121p</v>
      </c>
      <c r="B114" s="515" t="str">
        <f>+VLOOKUP(LEFT($A114,LEN(A114)-1)*1,Master!$D$25:$G$223,4,FALSE)</f>
        <v>Doprinosi za penzijsko i invalidsko osiguranje</v>
      </c>
      <c r="C114" s="516"/>
      <c r="D114" s="516"/>
      <c r="E114" s="516"/>
      <c r="F114" s="516"/>
      <c r="G114" s="91">
        <f>+INDEX(DataEx!$1:$1048576,MATCH('2016'!$A114,DataEx!$D:$D,0),MATCH('2016'!G$100,DataEx!$216:$216,0))</f>
        <v>11085421.334241258</v>
      </c>
      <c r="H114" s="91">
        <f>+INDEX(DataEx!$1:$1048576,MATCH('2016'!$A114,DataEx!$D:$D,0),MATCH('2016'!H$100,DataEx!$216:$216,0))</f>
        <v>19390616.050749641</v>
      </c>
      <c r="I114" s="91">
        <f>+INDEX(DataEx!$1:$1048576,MATCH('2016'!$A114,DataEx!$D:$D,0),MATCH('2016'!I$100,DataEx!$216:$216,0))</f>
        <v>20800888.666321442</v>
      </c>
      <c r="J114" s="91">
        <f>+INDEX(DataEx!$1:$1048576,MATCH('2016'!$A114,DataEx!$D:$D,0),MATCH('2016'!J$100,DataEx!$216:$216,0))</f>
        <v>21481603.2962908</v>
      </c>
      <c r="K114" s="91">
        <f>+INDEX(DataEx!$1:$1048576,MATCH('2016'!$A114,DataEx!$D:$D,0),MATCH('2016'!K$100,DataEx!$216:$216,0))</f>
        <v>21730009.656220071</v>
      </c>
      <c r="L114" s="91">
        <f>+INDEX(DataEx!$1:$1048576,MATCH('2016'!$A114,DataEx!$D:$D,0),MATCH('2016'!L$100,DataEx!$216:$216,0))</f>
        <v>24013249.966546282</v>
      </c>
      <c r="M114" s="91">
        <f>+INDEX(DataEx!$1:$1048576,MATCH('2016'!$A114,DataEx!$D:$D,0),MATCH('2016'!M$100,DataEx!$216:$216,0))</f>
        <v>25276026.550293617</v>
      </c>
      <c r="N114" s="91">
        <f>+INDEX(DataEx!$1:$1048576,MATCH('2016'!$A114,DataEx!$D:$D,0),MATCH('2016'!N$100,DataEx!$216:$216,0))</f>
        <v>24832266.431256961</v>
      </c>
      <c r="O114" s="91">
        <f>+INDEX(DataEx!$1:$1048576,MATCH('2016'!$A114,DataEx!$D:$D,0),MATCH('2016'!O$100,DataEx!$216:$216,0))</f>
        <v>24767047.400017716</v>
      </c>
      <c r="P114" s="91">
        <f>+INDEX(DataEx!$1:$1048576,MATCH('2016'!$A114,DataEx!$D:$D,0),MATCH('2016'!P$100,DataEx!$216:$216,0))</f>
        <v>29750626.17076052</v>
      </c>
      <c r="Q114" s="91">
        <f>+INDEX(DataEx!$1:$1048576,MATCH('2016'!$A114,DataEx!$D:$D,0),MATCH('2016'!Q$100,DataEx!$216:$216,0))</f>
        <v>20838978.405508582</v>
      </c>
      <c r="R114" s="91">
        <f>+INDEX(DataEx!$1:$1048576,MATCH('2016'!$A114,DataEx!$D:$D,0),MATCH('2016'!R$100,DataEx!$216:$216,0))</f>
        <v>45626445.851901822</v>
      </c>
      <c r="S114" s="125">
        <f t="shared" si="20"/>
        <v>289593179.78010869</v>
      </c>
      <c r="T114" s="126">
        <f t="shared" si="21"/>
        <v>7.6754089525605265E-2</v>
      </c>
    </row>
    <row r="115" spans="1:20">
      <c r="A115" s="137" t="str">
        <f t="shared" si="17"/>
        <v>7122p</v>
      </c>
      <c r="B115" s="515" t="str">
        <f>+VLOOKUP(LEFT($A115,LEN(A115)-1)*1,Master!$D$25:$G$223,4,FALSE)</f>
        <v>Doprinosi za zdravstveno osiguranje</v>
      </c>
      <c r="C115" s="516"/>
      <c r="D115" s="516"/>
      <c r="E115" s="516"/>
      <c r="F115" s="516"/>
      <c r="G115" s="91">
        <f>+INDEX(DataEx!$1:$1048576,MATCH('2016'!$A115,DataEx!$D:$D,0),MATCH('2016'!G$100,DataEx!$216:$216,0))</f>
        <v>6336000.2739841603</v>
      </c>
      <c r="H115" s="91">
        <f>+INDEX(DataEx!$1:$1048576,MATCH('2016'!$A115,DataEx!$D:$D,0),MATCH('2016'!H$100,DataEx!$216:$216,0))</f>
        <v>11085374.864924161</v>
      </c>
      <c r="I115" s="91">
        <f>+INDEX(DataEx!$1:$1048576,MATCH('2016'!$A115,DataEx!$D:$D,0),MATCH('2016'!I$100,DataEx!$216:$216,0))</f>
        <v>12503494.771613788</v>
      </c>
      <c r="J115" s="91">
        <f>+INDEX(DataEx!$1:$1048576,MATCH('2016'!$A115,DataEx!$D:$D,0),MATCH('2016'!J$100,DataEx!$216:$216,0))</f>
        <v>12513053.180853466</v>
      </c>
      <c r="K115" s="91">
        <f>+INDEX(DataEx!$1:$1048576,MATCH('2016'!$A115,DataEx!$D:$D,0),MATCH('2016'!K$100,DataEx!$216:$216,0))</f>
        <v>12781508.834290098</v>
      </c>
      <c r="L115" s="91">
        <f>+INDEX(DataEx!$1:$1048576,MATCH('2016'!$A115,DataEx!$D:$D,0),MATCH('2016'!L$100,DataEx!$216:$216,0))</f>
        <v>13647407.540884396</v>
      </c>
      <c r="M115" s="91">
        <f>+INDEX(DataEx!$1:$1048576,MATCH('2016'!$A115,DataEx!$D:$D,0),MATCH('2016'!M$100,DataEx!$216:$216,0))</f>
        <v>14167187.436191265</v>
      </c>
      <c r="N115" s="91">
        <f>+INDEX(DataEx!$1:$1048576,MATCH('2016'!$A115,DataEx!$D:$D,0),MATCH('2016'!N$100,DataEx!$216:$216,0))</f>
        <v>14617983.144756434</v>
      </c>
      <c r="O115" s="91">
        <f>+INDEX(DataEx!$1:$1048576,MATCH('2016'!$A115,DataEx!$D:$D,0),MATCH('2016'!O$100,DataEx!$216:$216,0))</f>
        <v>13735412.757885324</v>
      </c>
      <c r="P115" s="91">
        <f>+INDEX(DataEx!$1:$1048576,MATCH('2016'!$A115,DataEx!$D:$D,0),MATCH('2016'!P$100,DataEx!$216:$216,0))</f>
        <v>17526894.880343959</v>
      </c>
      <c r="Q115" s="91">
        <f>+INDEX(DataEx!$1:$1048576,MATCH('2016'!$A115,DataEx!$D:$D,0),MATCH('2016'!Q$100,DataEx!$216:$216,0))</f>
        <v>12402384.494983494</v>
      </c>
      <c r="R115" s="91">
        <f>+INDEX(DataEx!$1:$1048576,MATCH('2016'!$A115,DataEx!$D:$D,0),MATCH('2016'!R$100,DataEx!$216:$216,0))</f>
        <v>25778282.913810931</v>
      </c>
      <c r="S115" s="125">
        <f t="shared" si="20"/>
        <v>167094985.09452149</v>
      </c>
      <c r="T115" s="126">
        <f t="shared" si="21"/>
        <v>4.4287035540556983E-2</v>
      </c>
    </row>
    <row r="116" spans="1:20">
      <c r="A116" s="137" t="str">
        <f t="shared" si="17"/>
        <v>7123p</v>
      </c>
      <c r="B116" s="515" t="str">
        <f>+VLOOKUP(LEFT($A116,LEN(A116)-1)*1,Master!$D$25:$G$223,4,FALSE)</f>
        <v>Doprinosi za osiguranje od nezaposlenosti</v>
      </c>
      <c r="C116" s="516"/>
      <c r="D116" s="516"/>
      <c r="E116" s="516"/>
      <c r="F116" s="516"/>
      <c r="G116" s="91">
        <f>+INDEX(DataEx!$1:$1048576,MATCH('2016'!$A116,DataEx!$D:$D,0),MATCH('2016'!G$100,DataEx!$216:$216,0))</f>
        <v>501823.54251431441</v>
      </c>
      <c r="H116" s="91">
        <f>+INDEX(DataEx!$1:$1048576,MATCH('2016'!$A116,DataEx!$D:$D,0),MATCH('2016'!H$100,DataEx!$216:$216,0))</f>
        <v>950234.13294904761</v>
      </c>
      <c r="I116" s="91">
        <f>+INDEX(DataEx!$1:$1048576,MATCH('2016'!$A116,DataEx!$D:$D,0),MATCH('2016'!I$100,DataEx!$216:$216,0))</f>
        <v>1014200.5696253183</v>
      </c>
      <c r="J116" s="91">
        <f>+INDEX(DataEx!$1:$1048576,MATCH('2016'!$A116,DataEx!$D:$D,0),MATCH('2016'!J$100,DataEx!$216:$216,0))</f>
        <v>1034570.7033292244</v>
      </c>
      <c r="K116" s="91">
        <f>+INDEX(DataEx!$1:$1048576,MATCH('2016'!$A116,DataEx!$D:$D,0),MATCH('2016'!K$100,DataEx!$216:$216,0))</f>
        <v>1048079.1771939988</v>
      </c>
      <c r="L116" s="91">
        <f>+INDEX(DataEx!$1:$1048576,MATCH('2016'!$A116,DataEx!$D:$D,0),MATCH('2016'!L$100,DataEx!$216:$216,0))</f>
        <v>1121096.2953115944</v>
      </c>
      <c r="M116" s="91">
        <f>+INDEX(DataEx!$1:$1048576,MATCH('2016'!$A116,DataEx!$D:$D,0),MATCH('2016'!M$100,DataEx!$216:$216,0))</f>
        <v>1161121.5995876256</v>
      </c>
      <c r="N116" s="91">
        <f>+INDEX(DataEx!$1:$1048576,MATCH('2016'!$A116,DataEx!$D:$D,0),MATCH('2016'!N$100,DataEx!$216:$216,0))</f>
        <v>1201695.8976089575</v>
      </c>
      <c r="O116" s="91">
        <f>+INDEX(DataEx!$1:$1048576,MATCH('2016'!$A116,DataEx!$D:$D,0),MATCH('2016'!O$100,DataEx!$216:$216,0))</f>
        <v>1141500.9175202574</v>
      </c>
      <c r="P116" s="91">
        <f>+INDEX(DataEx!$1:$1048576,MATCH('2016'!$A116,DataEx!$D:$D,0),MATCH('2016'!P$100,DataEx!$216:$216,0))</f>
        <v>1429884.1677832296</v>
      </c>
      <c r="Q116" s="91">
        <f>+INDEX(DataEx!$1:$1048576,MATCH('2016'!$A116,DataEx!$D:$D,0),MATCH('2016'!Q$100,DataEx!$216:$216,0))</f>
        <v>1002399.8788701226</v>
      </c>
      <c r="R116" s="91">
        <f>+INDEX(DataEx!$1:$1048576,MATCH('2016'!$A116,DataEx!$D:$D,0),MATCH('2016'!R$100,DataEx!$216:$216,0))</f>
        <v>2162740.4812991857</v>
      </c>
      <c r="S116" s="125">
        <f t="shared" si="20"/>
        <v>13769347.363592876</v>
      </c>
      <c r="T116" s="126">
        <f t="shared" si="21"/>
        <v>3.649442714972933E-3</v>
      </c>
    </row>
    <row r="117" spans="1:20">
      <c r="A117" s="137" t="str">
        <f t="shared" si="17"/>
        <v>7124p</v>
      </c>
      <c r="B117" s="515" t="str">
        <f>+VLOOKUP(LEFT($A117,LEN(A117)-1)*1,Master!$D$25:$G$223,4,FALSE)</f>
        <v>Ostali doprinosi</v>
      </c>
      <c r="C117" s="516"/>
      <c r="D117" s="516"/>
      <c r="E117" s="516"/>
      <c r="F117" s="516"/>
      <c r="G117" s="91">
        <f>+INDEX(DataEx!$1:$1048576,MATCH('2016'!$A117,DataEx!$D:$D,0),MATCH('2016'!G$100,DataEx!$216:$216,0))</f>
        <v>430815.43413543771</v>
      </c>
      <c r="H117" s="91">
        <f>+INDEX(DataEx!$1:$1048576,MATCH('2016'!$A117,DataEx!$D:$D,0),MATCH('2016'!H$100,DataEx!$216:$216,0))</f>
        <v>825759.26037527679</v>
      </c>
      <c r="I117" s="91">
        <f>+INDEX(DataEx!$1:$1048576,MATCH('2016'!$A117,DataEx!$D:$D,0),MATCH('2016'!I$100,DataEx!$216:$216,0))</f>
        <v>934196.40371895151</v>
      </c>
      <c r="J117" s="91">
        <f>+INDEX(DataEx!$1:$1048576,MATCH('2016'!$A117,DataEx!$D:$D,0),MATCH('2016'!J$100,DataEx!$216:$216,0))</f>
        <v>1019395.2618986784</v>
      </c>
      <c r="K117" s="91">
        <f>+INDEX(DataEx!$1:$1048576,MATCH('2016'!$A117,DataEx!$D:$D,0),MATCH('2016'!K$100,DataEx!$216:$216,0))</f>
        <v>907449.23986721074</v>
      </c>
      <c r="L117" s="91">
        <f>+INDEX(DataEx!$1:$1048576,MATCH('2016'!$A117,DataEx!$D:$D,0),MATCH('2016'!L$100,DataEx!$216:$216,0))</f>
        <v>1180652.819728754</v>
      </c>
      <c r="M117" s="91">
        <f>+INDEX(DataEx!$1:$1048576,MATCH('2016'!$A117,DataEx!$D:$D,0),MATCH('2016'!M$100,DataEx!$216:$216,0))</f>
        <v>1149946.2732095311</v>
      </c>
      <c r="N117" s="91">
        <f>+INDEX(DataEx!$1:$1048576,MATCH('2016'!$A117,DataEx!$D:$D,0),MATCH('2016'!N$100,DataEx!$216:$216,0))</f>
        <v>1126825.2655337546</v>
      </c>
      <c r="O117" s="91">
        <f>+INDEX(DataEx!$1:$1048576,MATCH('2016'!$A117,DataEx!$D:$D,0),MATCH('2016'!O$100,DataEx!$216:$216,0))</f>
        <v>1034256.0999327494</v>
      </c>
      <c r="P117" s="91">
        <f>+INDEX(DataEx!$1:$1048576,MATCH('2016'!$A117,DataEx!$D:$D,0),MATCH('2016'!P$100,DataEx!$216:$216,0))</f>
        <v>1379763.7604042704</v>
      </c>
      <c r="Q117" s="91">
        <f>+INDEX(DataEx!$1:$1048576,MATCH('2016'!$A117,DataEx!$D:$D,0),MATCH('2016'!Q$100,DataEx!$216:$216,0))</f>
        <v>860704.04582604812</v>
      </c>
      <c r="R117" s="91">
        <f>+INDEX(DataEx!$1:$1048576,MATCH('2016'!$A117,DataEx!$D:$D,0),MATCH('2016'!R$100,DataEx!$216:$216,0))</f>
        <v>1848942.0080071224</v>
      </c>
      <c r="S117" s="125">
        <f t="shared" si="20"/>
        <v>12698705.872637784</v>
      </c>
      <c r="T117" s="126">
        <f t="shared" si="21"/>
        <v>3.3656787364531632E-3</v>
      </c>
    </row>
    <row r="118" spans="1:20">
      <c r="A118" s="137" t="str">
        <f t="shared" si="17"/>
        <v>713p</v>
      </c>
      <c r="B118" s="526" t="str">
        <f>+VLOOKUP(LEFT($A118,LEN(A118)-1)*1,Master!$D$25:$G$223,4,FALSE)</f>
        <v>Takse</v>
      </c>
      <c r="C118" s="527"/>
      <c r="D118" s="527"/>
      <c r="E118" s="527"/>
      <c r="F118" s="527"/>
      <c r="G118" s="85">
        <f>+INDEX(DataEx!$1:$1048576,MATCH('2016'!$A118,DataEx!$D:$D,0),MATCH('2016'!G$100,DataEx!$216:$216,0))</f>
        <v>723207.81855982868</v>
      </c>
      <c r="H118" s="85">
        <f>+INDEX(DataEx!$1:$1048576,MATCH('2016'!$A118,DataEx!$D:$D,0),MATCH('2016'!H$100,DataEx!$216:$216,0))</f>
        <v>1375936.6828377536</v>
      </c>
      <c r="I118" s="85">
        <f>+INDEX(DataEx!$1:$1048576,MATCH('2016'!$A118,DataEx!$D:$D,0),MATCH('2016'!I$100,DataEx!$216:$216,0))</f>
        <v>1085048.6732404828</v>
      </c>
      <c r="J118" s="85">
        <f>+INDEX(DataEx!$1:$1048576,MATCH('2016'!$A118,DataEx!$D:$D,0),MATCH('2016'!J$100,DataEx!$216:$216,0))</f>
        <v>1135307.1677424815</v>
      </c>
      <c r="K118" s="85">
        <f>+INDEX(DataEx!$1:$1048576,MATCH('2016'!$A118,DataEx!$D:$D,0),MATCH('2016'!K$100,DataEx!$216:$216,0))</f>
        <v>1038831.7010082075</v>
      </c>
      <c r="L118" s="85">
        <f>+INDEX(DataEx!$1:$1048576,MATCH('2016'!$A118,DataEx!$D:$D,0),MATCH('2016'!L$100,DataEx!$216:$216,0))</f>
        <v>1185196.3988510575</v>
      </c>
      <c r="M118" s="85">
        <f>+INDEX(DataEx!$1:$1048576,MATCH('2016'!$A118,DataEx!$D:$D,0),MATCH('2016'!M$100,DataEx!$216:$216,0))</f>
        <v>1392519.4702588716</v>
      </c>
      <c r="N118" s="85">
        <f>+INDEX(DataEx!$1:$1048576,MATCH('2016'!$A118,DataEx!$D:$D,0),MATCH('2016'!N$100,DataEx!$216:$216,0))</f>
        <v>1336120.0015746492</v>
      </c>
      <c r="O118" s="85">
        <f>+INDEX(DataEx!$1:$1048576,MATCH('2016'!$A118,DataEx!$D:$D,0),MATCH('2016'!O$100,DataEx!$216:$216,0))</f>
        <v>1100943.0740307707</v>
      </c>
      <c r="P118" s="85">
        <f>+INDEX(DataEx!$1:$1048576,MATCH('2016'!$A118,DataEx!$D:$D,0),MATCH('2016'!P$100,DataEx!$216:$216,0))</f>
        <v>1348017.839179961</v>
      </c>
      <c r="Q118" s="85">
        <f>+INDEX(DataEx!$1:$1048576,MATCH('2016'!$A118,DataEx!$D:$D,0),MATCH('2016'!Q$100,DataEx!$216:$216,0))</f>
        <v>1208363.2775689771</v>
      </c>
      <c r="R118" s="86">
        <f>+INDEX(DataEx!$1:$1048576,MATCH('2016'!$A118,DataEx!$D:$D,0),MATCH('2016'!R$100,DataEx!$216:$216,0))</f>
        <v>1458355.2073679506</v>
      </c>
      <c r="S118" s="127">
        <f t="shared" si="20"/>
        <v>14387847.312220991</v>
      </c>
      <c r="T118" s="128">
        <f t="shared" si="21"/>
        <v>3.8133706101831409E-3</v>
      </c>
    </row>
    <row r="119" spans="1:20">
      <c r="A119" s="137" t="str">
        <f t="shared" si="17"/>
        <v>714p</v>
      </c>
      <c r="B119" s="526" t="str">
        <f>+VLOOKUP(LEFT($A119,LEN(A119)-1)*1,Master!$D$25:$G$223,4,FALSE)</f>
        <v>Naknade</v>
      </c>
      <c r="C119" s="527"/>
      <c r="D119" s="527"/>
      <c r="E119" s="527"/>
      <c r="F119" s="527"/>
      <c r="G119" s="85">
        <f>+INDEX(DataEx!$1:$1048576,MATCH('2016'!$A119,DataEx!$D:$D,0),MATCH('2016'!G$100,DataEx!$216:$216,0))</f>
        <v>830622.45977962902</v>
      </c>
      <c r="H119" s="85">
        <f>+INDEX(DataEx!$1:$1048576,MATCH('2016'!$A119,DataEx!$D:$D,0),MATCH('2016'!H$100,DataEx!$216:$216,0))</f>
        <v>841675.37717694405</v>
      </c>
      <c r="I119" s="85">
        <f>+INDEX(DataEx!$1:$1048576,MATCH('2016'!$A119,DataEx!$D:$D,0),MATCH('2016'!I$100,DataEx!$216:$216,0))</f>
        <v>1095886.2838292783</v>
      </c>
      <c r="J119" s="85">
        <f>+INDEX(DataEx!$1:$1048576,MATCH('2016'!$A119,DataEx!$D:$D,0),MATCH('2016'!J$100,DataEx!$216:$216,0))</f>
        <v>803106.60353358404</v>
      </c>
      <c r="K119" s="85">
        <f>+INDEX(DataEx!$1:$1048576,MATCH('2016'!$A119,DataEx!$D:$D,0),MATCH('2016'!K$100,DataEx!$216:$216,0))</f>
        <v>1197017.3724938135</v>
      </c>
      <c r="L119" s="85">
        <f>+INDEX(DataEx!$1:$1048576,MATCH('2016'!$A119,DataEx!$D:$D,0),MATCH('2016'!L$100,DataEx!$216:$216,0))</f>
        <v>1645191.7465731674</v>
      </c>
      <c r="M119" s="85">
        <f>+INDEX(DataEx!$1:$1048576,MATCH('2016'!$A119,DataEx!$D:$D,0),MATCH('2016'!M$100,DataEx!$216:$216,0))</f>
        <v>1914614.876306891</v>
      </c>
      <c r="N119" s="85">
        <f>+INDEX(DataEx!$1:$1048576,MATCH('2016'!$A119,DataEx!$D:$D,0),MATCH('2016'!N$100,DataEx!$216:$216,0))</f>
        <v>1757103.5644707002</v>
      </c>
      <c r="O119" s="85">
        <f>+INDEX(DataEx!$1:$1048576,MATCH('2016'!$A119,DataEx!$D:$D,0),MATCH('2016'!O$100,DataEx!$216:$216,0))</f>
        <v>1998291.5618472034</v>
      </c>
      <c r="P119" s="85">
        <f>+INDEX(DataEx!$1:$1048576,MATCH('2016'!$A119,DataEx!$D:$D,0),MATCH('2016'!P$100,DataEx!$216:$216,0))</f>
        <v>2181977.5553072984</v>
      </c>
      <c r="Q119" s="85">
        <f>+INDEX(DataEx!$1:$1048576,MATCH('2016'!$A119,DataEx!$D:$D,0),MATCH('2016'!Q$100,DataEx!$216:$216,0))</f>
        <v>1508780.0698249615</v>
      </c>
      <c r="R119" s="86">
        <f>+INDEX(DataEx!$1:$1048576,MATCH('2016'!$A119,DataEx!$D:$D,0),MATCH('2016'!R$100,DataEx!$216:$216,0))</f>
        <v>1535340.0887295473</v>
      </c>
      <c r="S119" s="127">
        <f t="shared" si="20"/>
        <v>17309607.559873022</v>
      </c>
      <c r="T119" s="128">
        <f t="shared" si="21"/>
        <v>4.5877571057177371E-3</v>
      </c>
    </row>
    <row r="120" spans="1:20">
      <c r="A120" s="137" t="str">
        <f t="shared" si="17"/>
        <v>715p</v>
      </c>
      <c r="B120" s="526" t="str">
        <f>+VLOOKUP(LEFT($A120,LEN(A120)-1)*1,Master!$D$25:$G$223,4,FALSE)</f>
        <v>Ostali prihodi</v>
      </c>
      <c r="C120" s="527"/>
      <c r="D120" s="527"/>
      <c r="E120" s="527"/>
      <c r="F120" s="527"/>
      <c r="G120" s="85">
        <f>+INDEX(DataEx!$1:$1048576,MATCH('2016'!$A120,DataEx!$D:$D,0),MATCH('2016'!G$100,DataEx!$216:$216,0))</f>
        <v>3695677.3428100054</v>
      </c>
      <c r="H120" s="85">
        <f>+INDEX(DataEx!$1:$1048576,MATCH('2016'!$A120,DataEx!$D:$D,0),MATCH('2016'!H$100,DataEx!$216:$216,0))</f>
        <v>2748948.1269429871</v>
      </c>
      <c r="I120" s="85">
        <f>+INDEX(DataEx!$1:$1048576,MATCH('2016'!$A120,DataEx!$D:$D,0),MATCH('2016'!I$100,DataEx!$216:$216,0))</f>
        <v>3437534.4688711073</v>
      </c>
      <c r="J120" s="85">
        <f>+INDEX(DataEx!$1:$1048576,MATCH('2016'!$A120,DataEx!$D:$D,0),MATCH('2016'!J$100,DataEx!$216:$216,0))</f>
        <v>4310053.4851114023</v>
      </c>
      <c r="K120" s="85">
        <f>+INDEX(DataEx!$1:$1048576,MATCH('2016'!$A120,DataEx!$D:$D,0),MATCH('2016'!K$100,DataEx!$216:$216,0))</f>
        <v>4691720.2243610416</v>
      </c>
      <c r="L120" s="85">
        <f>+INDEX(DataEx!$1:$1048576,MATCH('2016'!$A120,DataEx!$D:$D,0),MATCH('2016'!L$100,DataEx!$216:$216,0))</f>
        <v>7347424.3207463743</v>
      </c>
      <c r="M120" s="85">
        <f>+INDEX(DataEx!$1:$1048576,MATCH('2016'!$A120,DataEx!$D:$D,0),MATCH('2016'!M$100,DataEx!$216:$216,0))</f>
        <v>7513005.0166636882</v>
      </c>
      <c r="N120" s="85">
        <f>+INDEX(DataEx!$1:$1048576,MATCH('2016'!$A120,DataEx!$D:$D,0),MATCH('2016'!N$100,DataEx!$216:$216,0))</f>
        <v>7727362.0985374814</v>
      </c>
      <c r="O120" s="85">
        <f>+INDEX(DataEx!$1:$1048576,MATCH('2016'!$A120,DataEx!$D:$D,0),MATCH('2016'!O$100,DataEx!$216:$216,0))</f>
        <v>3713024.1621761573</v>
      </c>
      <c r="P120" s="85">
        <f>+INDEX(DataEx!$1:$1048576,MATCH('2016'!$A120,DataEx!$D:$D,0),MATCH('2016'!P$100,DataEx!$216:$216,0))</f>
        <v>3090680.5408276808</v>
      </c>
      <c r="Q120" s="85">
        <f>+INDEX(DataEx!$1:$1048576,MATCH('2016'!$A120,DataEx!$D:$D,0),MATCH('2016'!Q$100,DataEx!$216:$216,0))</f>
        <v>3793073.2615852021</v>
      </c>
      <c r="R120" s="86">
        <f>+INDEX(DataEx!$1:$1048576,MATCH('2016'!$A120,DataEx!$D:$D,0),MATCH('2016'!R$100,DataEx!$216:$216,0))</f>
        <v>6660284.6574711353</v>
      </c>
      <c r="S120" s="127">
        <f t="shared" si="20"/>
        <v>58728787.706104264</v>
      </c>
      <c r="T120" s="128">
        <f t="shared" si="21"/>
        <v>1.5565541401034791E-2</v>
      </c>
    </row>
    <row r="121" spans="1:20">
      <c r="A121" s="137" t="str">
        <f t="shared" si="17"/>
        <v>73p</v>
      </c>
      <c r="B121" s="526" t="str">
        <f>+VLOOKUP(LEFT($A121,LEN(A121)-1)*1,Master!$D$25:$G$223,4,FALSE)</f>
        <v>Primici od otplate kredita i sredstva prenesena iz prethodne godine</v>
      </c>
      <c r="C121" s="527"/>
      <c r="D121" s="527"/>
      <c r="E121" s="527"/>
      <c r="F121" s="527"/>
      <c r="G121" s="85">
        <f>+INDEX(DataEx!$1:$1048576,MATCH('2016'!$A121,DataEx!$D:$D,0),MATCH('2016'!G$100,DataEx!$216:$216,0))</f>
        <v>253250.30057727409</v>
      </c>
      <c r="H121" s="85">
        <f>+INDEX(DataEx!$1:$1048576,MATCH('2016'!$A121,DataEx!$D:$D,0),MATCH('2016'!H$100,DataEx!$216:$216,0))</f>
        <v>695838.96268096345</v>
      </c>
      <c r="I121" s="85">
        <f>+INDEX(DataEx!$1:$1048576,MATCH('2016'!$A121,DataEx!$D:$D,0),MATCH('2016'!I$100,DataEx!$216:$216,0))</f>
        <v>349250.65446083574</v>
      </c>
      <c r="J121" s="85">
        <f>+INDEX(DataEx!$1:$1048576,MATCH('2016'!$A121,DataEx!$D:$D,0),MATCH('2016'!J$100,DataEx!$216:$216,0))</f>
        <v>328188.56365903834</v>
      </c>
      <c r="K121" s="85">
        <f>+INDEX(DataEx!$1:$1048576,MATCH('2016'!$A121,DataEx!$D:$D,0),MATCH('2016'!K$100,DataEx!$216:$216,0))</f>
        <v>234734.25312116489</v>
      </c>
      <c r="L121" s="85">
        <f>+INDEX(DataEx!$1:$1048576,MATCH('2016'!$A121,DataEx!$D:$D,0),MATCH('2016'!L$100,DataEx!$216:$216,0))</f>
        <v>745592.50489778304</v>
      </c>
      <c r="M121" s="85">
        <f>+INDEX(DataEx!$1:$1048576,MATCH('2016'!$A121,DataEx!$D:$D,0),MATCH('2016'!M$100,DataEx!$216:$216,0))</f>
        <v>1162897.8060049608</v>
      </c>
      <c r="N121" s="85">
        <f>+INDEX(DataEx!$1:$1048576,MATCH('2016'!$A121,DataEx!$D:$D,0),MATCH('2016'!N$100,DataEx!$216:$216,0))</f>
        <v>314798.40965867613</v>
      </c>
      <c r="O121" s="85">
        <f>+INDEX(DataEx!$1:$1048576,MATCH('2016'!$A121,DataEx!$D:$D,0),MATCH('2016'!O$100,DataEx!$216:$216,0))</f>
        <v>306801.39412826992</v>
      </c>
      <c r="P121" s="85">
        <f>+INDEX(DataEx!$1:$1048576,MATCH('2016'!$A121,DataEx!$D:$D,0),MATCH('2016'!P$100,DataEx!$216:$216,0))</f>
        <v>407546.83241463639</v>
      </c>
      <c r="Q121" s="85">
        <f>+INDEX(DataEx!$1:$1048576,MATCH('2016'!$A121,DataEx!$D:$D,0),MATCH('2016'!Q$100,DataEx!$216:$216,0))</f>
        <v>761665.66094479046</v>
      </c>
      <c r="R121" s="86">
        <f>+INDEX(DataEx!$1:$1048576,MATCH('2016'!$A121,DataEx!$D:$D,0),MATCH('2016'!R$100,DataEx!$216:$216,0))</f>
        <v>1818172.3466734623</v>
      </c>
      <c r="S121" s="127">
        <f t="shared" si="20"/>
        <v>7378737.6892218553</v>
      </c>
      <c r="T121" s="128">
        <f t="shared" si="21"/>
        <v>1.9556686162793147E-3</v>
      </c>
    </row>
    <row r="122" spans="1:20" ht="13.5" thickBot="1">
      <c r="A122" s="137" t="str">
        <f t="shared" si="17"/>
        <v>74p</v>
      </c>
      <c r="B122" s="530" t="str">
        <f>+VLOOKUP(LEFT($A122,LEN(A122)-1)*1,Master!$D$25:$G$223,4,FALSE)</f>
        <v>Donacije i transferi</v>
      </c>
      <c r="C122" s="531"/>
      <c r="D122" s="531"/>
      <c r="E122" s="531"/>
      <c r="F122" s="531"/>
      <c r="G122" s="85">
        <f>+INDEX(DataEx!$1:$1048576,MATCH('2016'!$A122,DataEx!$D:$D,0),MATCH('2016'!G$100,DataEx!$216:$216,0))</f>
        <v>878692.97446426435</v>
      </c>
      <c r="H122" s="85">
        <f>+INDEX(DataEx!$1:$1048576,MATCH('2016'!$A122,DataEx!$D:$D,0),MATCH('2016'!H$100,DataEx!$216:$216,0))</f>
        <v>1757032.3136169473</v>
      </c>
      <c r="I122" s="85">
        <f>+INDEX(DataEx!$1:$1048576,MATCH('2016'!$A122,DataEx!$D:$D,0),MATCH('2016'!I$100,DataEx!$216:$216,0))</f>
        <v>1641296.3253875526</v>
      </c>
      <c r="J122" s="85">
        <f>+INDEX(DataEx!$1:$1048576,MATCH('2016'!$A122,DataEx!$D:$D,0),MATCH('2016'!J$100,DataEx!$216:$216,0))</f>
        <v>2057251.9562577028</v>
      </c>
      <c r="K122" s="85">
        <f>+INDEX(DataEx!$1:$1048576,MATCH('2016'!$A122,DataEx!$D:$D,0),MATCH('2016'!K$100,DataEx!$216:$216,0))</f>
        <v>1165798.2124013356</v>
      </c>
      <c r="L122" s="85">
        <f>+INDEX(DataEx!$1:$1048576,MATCH('2016'!$A122,DataEx!$D:$D,0),MATCH('2016'!L$100,DataEx!$216:$216,0))</f>
        <v>1626226.367012884</v>
      </c>
      <c r="M122" s="85">
        <f>+INDEX(DataEx!$1:$1048576,MATCH('2016'!$A122,DataEx!$D:$D,0),MATCH('2016'!M$100,DataEx!$216:$216,0))</f>
        <v>2268437.1611972838</v>
      </c>
      <c r="N122" s="85">
        <f>+INDEX(DataEx!$1:$1048576,MATCH('2016'!$A122,DataEx!$D:$D,0),MATCH('2016'!N$100,DataEx!$216:$216,0))</f>
        <v>1088287.2617470617</v>
      </c>
      <c r="O122" s="85">
        <f>+INDEX(DataEx!$1:$1048576,MATCH('2016'!$A122,DataEx!$D:$D,0),MATCH('2016'!O$100,DataEx!$216:$216,0))</f>
        <v>2354336.3073598729</v>
      </c>
      <c r="P122" s="85">
        <f>+INDEX(DataEx!$1:$1048576,MATCH('2016'!$A122,DataEx!$D:$D,0),MATCH('2016'!P$100,DataEx!$216:$216,0))</f>
        <v>3603761.2068113876</v>
      </c>
      <c r="Q122" s="85">
        <f>+INDEX(DataEx!$1:$1048576,MATCH('2016'!$A122,DataEx!$D:$D,0),MATCH('2016'!Q$100,DataEx!$216:$216,0))</f>
        <v>3267998.0201318627</v>
      </c>
      <c r="R122" s="86">
        <f>+INDEX(DataEx!$1:$1048576,MATCH('2016'!$A122,DataEx!$D:$D,0),MATCH('2016'!R$100,DataEx!$216:$216,0))</f>
        <v>7546095.2223542193</v>
      </c>
      <c r="S122" s="129">
        <f t="shared" si="20"/>
        <v>29255213.328742377</v>
      </c>
      <c r="T122" s="130">
        <f t="shared" si="21"/>
        <v>7.7538333762900546E-3</v>
      </c>
    </row>
    <row r="123" spans="1:20" ht="13.5" thickBot="1">
      <c r="A123" s="137" t="str">
        <f t="shared" si="17"/>
        <v>4p</v>
      </c>
      <c r="B123" s="532" t="str">
        <f>+VLOOKUP(LEFT($A123,LEN(A123)-1)*1,Master!$D$25:$G$223,4,FALSE)</f>
        <v>Budžetski izdaci</v>
      </c>
      <c r="C123" s="533"/>
      <c r="D123" s="533"/>
      <c r="E123" s="533"/>
      <c r="F123" s="533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1">
        <f t="shared" si="20"/>
        <v>1732392493.3199997</v>
      </c>
      <c r="T123" s="132">
        <f t="shared" si="21"/>
        <v>0.45915517978266623</v>
      </c>
    </row>
    <row r="124" spans="1:20" ht="13.5" thickBot="1">
      <c r="A124" s="137" t="str">
        <f t="shared" si="17"/>
        <v>41p</v>
      </c>
      <c r="B124" s="534" t="str">
        <f>+VLOOKUP(LEFT($A124,LEN(A124)-1)*1,Master!$D$25:$G$223,4,FALSE)</f>
        <v>Tekući izdaci</v>
      </c>
      <c r="C124" s="535"/>
      <c r="D124" s="535"/>
      <c r="E124" s="535"/>
      <c r="F124" s="535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3">
        <f t="shared" si="20"/>
        <v>1397534693.3199997</v>
      </c>
      <c r="T124" s="134">
        <f t="shared" si="21"/>
        <v>0.37040410636628668</v>
      </c>
    </row>
    <row r="125" spans="1:20">
      <c r="A125" s="137" t="str">
        <f t="shared" si="17"/>
        <v>40p</v>
      </c>
      <c r="B125" s="536" t="str">
        <f>+VLOOKUP(LEFT($A125,LEN(A125)-1)*1,Master!$D$25:$G$223,4,FALSE)</f>
        <v>Tekući budžetski izdaci</v>
      </c>
      <c r="C125" s="537"/>
      <c r="D125" s="537"/>
      <c r="E125" s="537"/>
      <c r="F125" s="537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3">
        <f t="shared" si="20"/>
        <v>702003655.03999996</v>
      </c>
      <c r="T125" s="124">
        <f t="shared" si="21"/>
        <v>0.18605980785581763</v>
      </c>
    </row>
    <row r="126" spans="1:20">
      <c r="A126" s="137" t="str">
        <f t="shared" si="17"/>
        <v>411p</v>
      </c>
      <c r="B126" s="515" t="str">
        <f>+VLOOKUP(LEFT($A126,LEN(A126)-1)*1,Master!$D$25:$G$223,4,FALSE)</f>
        <v>Bruto zarade i doprinosi na teret poslodavca</v>
      </c>
      <c r="C126" s="516"/>
      <c r="D126" s="516"/>
      <c r="E126" s="516"/>
      <c r="F126" s="516"/>
      <c r="G126" s="91">
        <f>+INDEX(DataEx!$1:$1048576,MATCH('2016'!$A126,DataEx!$D:$D,0),MATCH('2016'!G$100,DataEx!$216:$216,0))</f>
        <v>34652899.586666666</v>
      </c>
      <c r="H126" s="91">
        <f>+INDEX(DataEx!$1:$1048576,MATCH('2016'!$A126,DataEx!$D:$D,0),MATCH('2016'!H$100,DataEx!$216:$216,0))</f>
        <v>34652899.586666666</v>
      </c>
      <c r="I126" s="91">
        <f>+INDEX(DataEx!$1:$1048576,MATCH('2016'!$A126,DataEx!$D:$D,0),MATCH('2016'!I$100,DataEx!$216:$216,0))</f>
        <v>34652899.586666666</v>
      </c>
      <c r="J126" s="91">
        <f>+INDEX(DataEx!$1:$1048576,MATCH('2016'!$A126,DataEx!$D:$D,0),MATCH('2016'!J$100,DataEx!$216:$216,0))</f>
        <v>34652899.586666666</v>
      </c>
      <c r="K126" s="91">
        <f>+INDEX(DataEx!$1:$1048576,MATCH('2016'!$A126,DataEx!$D:$D,0),MATCH('2016'!K$100,DataEx!$216:$216,0))</f>
        <v>34652899.586666666</v>
      </c>
      <c r="L126" s="91">
        <f>+INDEX(DataEx!$1:$1048576,MATCH('2016'!$A126,DataEx!$D:$D,0),MATCH('2016'!L$100,DataEx!$216:$216,0))</f>
        <v>34652899.586666666</v>
      </c>
      <c r="M126" s="91">
        <f>+INDEX(DataEx!$1:$1048576,MATCH('2016'!$A126,DataEx!$D:$D,0),MATCH('2016'!M$100,DataEx!$216:$216,0))</f>
        <v>34652899.586666666</v>
      </c>
      <c r="N126" s="91">
        <f>+INDEX(DataEx!$1:$1048576,MATCH('2016'!$A126,DataEx!$D:$D,0),MATCH('2016'!N$100,DataEx!$216:$216,0))</f>
        <v>34652899.586666666</v>
      </c>
      <c r="O126" s="91">
        <f>+INDEX(DataEx!$1:$1048576,MATCH('2016'!$A126,DataEx!$D:$D,0),MATCH('2016'!O$100,DataEx!$216:$216,0))</f>
        <v>34652899.586666666</v>
      </c>
      <c r="P126" s="91">
        <f>+INDEX(DataEx!$1:$1048576,MATCH('2016'!$A126,DataEx!$D:$D,0),MATCH('2016'!P$100,DataEx!$216:$216,0))</f>
        <v>34652899.586666666</v>
      </c>
      <c r="Q126" s="91">
        <f>+INDEX(DataEx!$1:$1048576,MATCH('2016'!$A126,DataEx!$D:$D,0),MATCH('2016'!Q$100,DataEx!$216:$216,0))</f>
        <v>34652899.586666666</v>
      </c>
      <c r="R126" s="91">
        <f>+INDEX(DataEx!$1:$1048576,MATCH('2016'!$A126,DataEx!$D:$D,0),MATCH('2016'!R$100,DataEx!$216:$216,0))</f>
        <v>34652899.586666703</v>
      </c>
      <c r="S126" s="125">
        <f t="shared" si="20"/>
        <v>415834795.03999996</v>
      </c>
      <c r="T126" s="126">
        <f t="shared" si="21"/>
        <v>0.11021330374768087</v>
      </c>
    </row>
    <row r="127" spans="1:20">
      <c r="A127" s="137" t="str">
        <f t="shared" si="17"/>
        <v>412p</v>
      </c>
      <c r="B127" s="515" t="str">
        <f>+VLOOKUP(LEFT($A127,LEN(A127)-1)*1,Master!$D$25:$G$223,4,FALSE)</f>
        <v>Ostala lična primanja</v>
      </c>
      <c r="C127" s="516"/>
      <c r="D127" s="516"/>
      <c r="E127" s="516"/>
      <c r="F127" s="516"/>
      <c r="G127" s="91">
        <f>+INDEX(DataEx!$1:$1048576,MATCH('2016'!$A127,DataEx!$D:$D,0),MATCH('2016'!G$100,DataEx!$216:$216,0))</f>
        <v>832657.85499999998</v>
      </c>
      <c r="H127" s="91">
        <f>+INDEX(DataEx!$1:$1048576,MATCH('2016'!$A127,DataEx!$D:$D,0),MATCH('2016'!H$100,DataEx!$216:$216,0))</f>
        <v>832657.85499999998</v>
      </c>
      <c r="I127" s="91">
        <f>+INDEX(DataEx!$1:$1048576,MATCH('2016'!$A127,DataEx!$D:$D,0),MATCH('2016'!I$100,DataEx!$216:$216,0))</f>
        <v>832657.85499999998</v>
      </c>
      <c r="J127" s="91">
        <f>+INDEX(DataEx!$1:$1048576,MATCH('2016'!$A127,DataEx!$D:$D,0),MATCH('2016'!J$100,DataEx!$216:$216,0))</f>
        <v>832657.85499999998</v>
      </c>
      <c r="K127" s="91">
        <f>+INDEX(DataEx!$1:$1048576,MATCH('2016'!$A127,DataEx!$D:$D,0),MATCH('2016'!K$100,DataEx!$216:$216,0))</f>
        <v>832657.85499999998</v>
      </c>
      <c r="L127" s="91">
        <f>+INDEX(DataEx!$1:$1048576,MATCH('2016'!$A127,DataEx!$D:$D,0),MATCH('2016'!L$100,DataEx!$216:$216,0))</f>
        <v>832657.85499999998</v>
      </c>
      <c r="M127" s="91">
        <f>+INDEX(DataEx!$1:$1048576,MATCH('2016'!$A127,DataEx!$D:$D,0),MATCH('2016'!M$100,DataEx!$216:$216,0))</f>
        <v>832657.85499999998</v>
      </c>
      <c r="N127" s="91">
        <f>+INDEX(DataEx!$1:$1048576,MATCH('2016'!$A127,DataEx!$D:$D,0),MATCH('2016'!N$100,DataEx!$216:$216,0))</f>
        <v>832657.85499999998</v>
      </c>
      <c r="O127" s="91">
        <f>+INDEX(DataEx!$1:$1048576,MATCH('2016'!$A127,DataEx!$D:$D,0),MATCH('2016'!O$100,DataEx!$216:$216,0))</f>
        <v>832657.85499999998</v>
      </c>
      <c r="P127" s="91">
        <f>+INDEX(DataEx!$1:$1048576,MATCH('2016'!$A127,DataEx!$D:$D,0),MATCH('2016'!P$100,DataEx!$216:$216,0))</f>
        <v>832657.85499999998</v>
      </c>
      <c r="Q127" s="91">
        <f>+INDEX(DataEx!$1:$1048576,MATCH('2016'!$A127,DataEx!$D:$D,0),MATCH('2016'!Q$100,DataEx!$216:$216,0))</f>
        <v>832657.85499999998</v>
      </c>
      <c r="R127" s="91">
        <f>+INDEX(DataEx!$1:$1048576,MATCH('2016'!$A127,DataEx!$D:$D,0),MATCH('2016'!R$100,DataEx!$216:$216,0))</f>
        <v>832657.85499999998</v>
      </c>
      <c r="S127" s="125">
        <f t="shared" si="20"/>
        <v>9991894.2600000016</v>
      </c>
      <c r="T127" s="126">
        <f t="shared" si="21"/>
        <v>2.6482624595812357E-3</v>
      </c>
    </row>
    <row r="128" spans="1:20">
      <c r="A128" s="137" t="str">
        <f t="shared" si="17"/>
        <v>413p</v>
      </c>
      <c r="B128" s="515" t="str">
        <f>+VLOOKUP(LEFT($A128,LEN(A128)-1)*1,Master!$D$25:$G$223,4,FALSE)</f>
        <v>Rashodi za materijal</v>
      </c>
      <c r="C128" s="516"/>
      <c r="D128" s="516"/>
      <c r="E128" s="516"/>
      <c r="F128" s="516"/>
      <c r="G128" s="91">
        <f>+INDEX(DataEx!$1:$1048576,MATCH('2016'!$A128,DataEx!$D:$D,0),MATCH('2016'!G$100,DataEx!$216:$216,0))</f>
        <v>2552421.9891666668</v>
      </c>
      <c r="H128" s="91">
        <f>+INDEX(DataEx!$1:$1048576,MATCH('2016'!$A128,DataEx!$D:$D,0),MATCH('2016'!H$100,DataEx!$216:$216,0))</f>
        <v>2552421.9891666668</v>
      </c>
      <c r="I128" s="91">
        <f>+INDEX(DataEx!$1:$1048576,MATCH('2016'!$A128,DataEx!$D:$D,0),MATCH('2016'!I$100,DataEx!$216:$216,0))</f>
        <v>2552421.9891666668</v>
      </c>
      <c r="J128" s="91">
        <f>+INDEX(DataEx!$1:$1048576,MATCH('2016'!$A128,DataEx!$D:$D,0),MATCH('2016'!J$100,DataEx!$216:$216,0))</f>
        <v>2552421.9891666668</v>
      </c>
      <c r="K128" s="91">
        <f>+INDEX(DataEx!$1:$1048576,MATCH('2016'!$A128,DataEx!$D:$D,0),MATCH('2016'!K$100,DataEx!$216:$216,0))</f>
        <v>2552421.9891666668</v>
      </c>
      <c r="L128" s="91">
        <f>+INDEX(DataEx!$1:$1048576,MATCH('2016'!$A128,DataEx!$D:$D,0),MATCH('2016'!L$100,DataEx!$216:$216,0))</f>
        <v>2552421.9891666668</v>
      </c>
      <c r="M128" s="91">
        <f>+INDEX(DataEx!$1:$1048576,MATCH('2016'!$A128,DataEx!$D:$D,0),MATCH('2016'!M$100,DataEx!$216:$216,0))</f>
        <v>2552421.9891666668</v>
      </c>
      <c r="N128" s="91">
        <f>+INDEX(DataEx!$1:$1048576,MATCH('2016'!$A128,DataEx!$D:$D,0),MATCH('2016'!N$100,DataEx!$216:$216,0))</f>
        <v>2552421.9891666668</v>
      </c>
      <c r="O128" s="91">
        <f>+INDEX(DataEx!$1:$1048576,MATCH('2016'!$A128,DataEx!$D:$D,0),MATCH('2016'!O$100,DataEx!$216:$216,0))</f>
        <v>2552421.9891666668</v>
      </c>
      <c r="P128" s="91">
        <f>+INDEX(DataEx!$1:$1048576,MATCH('2016'!$A128,DataEx!$D:$D,0),MATCH('2016'!P$100,DataEx!$216:$216,0))</f>
        <v>2552421.9891666668</v>
      </c>
      <c r="Q128" s="91">
        <f>+INDEX(DataEx!$1:$1048576,MATCH('2016'!$A128,DataEx!$D:$D,0),MATCH('2016'!Q$100,DataEx!$216:$216,0))</f>
        <v>2552421.9891666668</v>
      </c>
      <c r="R128" s="91">
        <f>+INDEX(DataEx!$1:$1048576,MATCH('2016'!$A128,DataEx!$D:$D,0),MATCH('2016'!R$100,DataEx!$216:$216,0))</f>
        <v>2552421.9891666668</v>
      </c>
      <c r="S128" s="125">
        <f t="shared" si="20"/>
        <v>30629063.869999994</v>
      </c>
      <c r="T128" s="126">
        <f t="shared" si="21"/>
        <v>8.1179602093824528E-3</v>
      </c>
    </row>
    <row r="129" spans="1:20">
      <c r="A129" s="137" t="str">
        <f t="shared" si="17"/>
        <v>414p</v>
      </c>
      <c r="B129" s="515" t="str">
        <f>+VLOOKUP(LEFT($A129,LEN(A129)-1)*1,Master!$D$25:$G$223,4,FALSE)</f>
        <v>Rashodi za usluge</v>
      </c>
      <c r="C129" s="516"/>
      <c r="D129" s="516"/>
      <c r="E129" s="516"/>
      <c r="F129" s="516"/>
      <c r="G129" s="91">
        <f>+INDEX(DataEx!$1:$1048576,MATCH('2016'!$A129,DataEx!$D:$D,0),MATCH('2016'!G$100,DataEx!$216:$216,0))</f>
        <v>3780934.8033333328</v>
      </c>
      <c r="H129" s="91">
        <f>+INDEX(DataEx!$1:$1048576,MATCH('2016'!$A129,DataEx!$D:$D,0),MATCH('2016'!H$100,DataEx!$216:$216,0))</f>
        <v>3780934.8033333328</v>
      </c>
      <c r="I129" s="91">
        <f>+INDEX(DataEx!$1:$1048576,MATCH('2016'!$A129,DataEx!$D:$D,0),MATCH('2016'!I$100,DataEx!$216:$216,0))</f>
        <v>3780934.8033333328</v>
      </c>
      <c r="J129" s="91">
        <f>+INDEX(DataEx!$1:$1048576,MATCH('2016'!$A129,DataEx!$D:$D,0),MATCH('2016'!J$100,DataEx!$216:$216,0))</f>
        <v>3780934.8033333328</v>
      </c>
      <c r="K129" s="91">
        <f>+INDEX(DataEx!$1:$1048576,MATCH('2016'!$A129,DataEx!$D:$D,0),MATCH('2016'!K$100,DataEx!$216:$216,0))</f>
        <v>3780934.8033333328</v>
      </c>
      <c r="L129" s="91">
        <f>+INDEX(DataEx!$1:$1048576,MATCH('2016'!$A129,DataEx!$D:$D,0),MATCH('2016'!L$100,DataEx!$216:$216,0))</f>
        <v>3780934.8033333328</v>
      </c>
      <c r="M129" s="91">
        <f>+INDEX(DataEx!$1:$1048576,MATCH('2016'!$A129,DataEx!$D:$D,0),MATCH('2016'!M$100,DataEx!$216:$216,0))</f>
        <v>3780934.8033333328</v>
      </c>
      <c r="N129" s="91">
        <f>+INDEX(DataEx!$1:$1048576,MATCH('2016'!$A129,DataEx!$D:$D,0),MATCH('2016'!N$100,DataEx!$216:$216,0))</f>
        <v>3780934.8033333328</v>
      </c>
      <c r="O129" s="91">
        <f>+INDEX(DataEx!$1:$1048576,MATCH('2016'!$A129,DataEx!$D:$D,0),MATCH('2016'!O$100,DataEx!$216:$216,0))</f>
        <v>3780934.8033333328</v>
      </c>
      <c r="P129" s="91">
        <f>+INDEX(DataEx!$1:$1048576,MATCH('2016'!$A129,DataEx!$D:$D,0),MATCH('2016'!P$100,DataEx!$216:$216,0))</f>
        <v>3780934.8033333328</v>
      </c>
      <c r="Q129" s="91">
        <f>+INDEX(DataEx!$1:$1048576,MATCH('2016'!$A129,DataEx!$D:$D,0),MATCH('2016'!Q$100,DataEx!$216:$216,0))</f>
        <v>3780934.8033333328</v>
      </c>
      <c r="R129" s="91">
        <f>+INDEX(DataEx!$1:$1048576,MATCH('2016'!$A129,DataEx!$D:$D,0),MATCH('2016'!R$100,DataEx!$216:$216,0))</f>
        <v>3780934.8033333328</v>
      </c>
      <c r="S129" s="125">
        <f t="shared" si="20"/>
        <v>45371217.640000008</v>
      </c>
      <c r="T129" s="126">
        <f t="shared" si="21"/>
        <v>1.2025236586270874E-2</v>
      </c>
    </row>
    <row r="130" spans="1:20">
      <c r="A130" s="137" t="str">
        <f t="shared" si="17"/>
        <v>415p</v>
      </c>
      <c r="B130" s="515" t="str">
        <f>+VLOOKUP(LEFT($A130,LEN(A130)-1)*1,Master!$D$25:$G$223,4,FALSE)</f>
        <v>Rashodi za tekuće održavanje</v>
      </c>
      <c r="C130" s="516"/>
      <c r="D130" s="516"/>
      <c r="E130" s="516"/>
      <c r="F130" s="516"/>
      <c r="G130" s="91">
        <f>+INDEX(DataEx!$1:$1048576,MATCH('2016'!$A130,DataEx!$D:$D,0),MATCH('2016'!G$100,DataEx!$216:$216,0))</f>
        <v>1778023.41</v>
      </c>
      <c r="H130" s="91">
        <f>+INDEX(DataEx!$1:$1048576,MATCH('2016'!$A130,DataEx!$D:$D,0),MATCH('2016'!H$100,DataEx!$216:$216,0))</f>
        <v>1778023.41</v>
      </c>
      <c r="I130" s="91">
        <f>+INDEX(DataEx!$1:$1048576,MATCH('2016'!$A130,DataEx!$D:$D,0),MATCH('2016'!I$100,DataEx!$216:$216,0))</f>
        <v>1778023.41</v>
      </c>
      <c r="J130" s="91">
        <f>+INDEX(DataEx!$1:$1048576,MATCH('2016'!$A130,DataEx!$D:$D,0),MATCH('2016'!J$100,DataEx!$216:$216,0))</f>
        <v>1778023.41</v>
      </c>
      <c r="K130" s="91">
        <f>+INDEX(DataEx!$1:$1048576,MATCH('2016'!$A130,DataEx!$D:$D,0),MATCH('2016'!K$100,DataEx!$216:$216,0))</f>
        <v>1778023.41</v>
      </c>
      <c r="L130" s="91">
        <f>+INDEX(DataEx!$1:$1048576,MATCH('2016'!$A130,DataEx!$D:$D,0),MATCH('2016'!L$100,DataEx!$216:$216,0))</f>
        <v>1778023.41</v>
      </c>
      <c r="M130" s="91">
        <f>+INDEX(DataEx!$1:$1048576,MATCH('2016'!$A130,DataEx!$D:$D,0),MATCH('2016'!M$100,DataEx!$216:$216,0))</f>
        <v>1778023.41</v>
      </c>
      <c r="N130" s="91">
        <f>+INDEX(DataEx!$1:$1048576,MATCH('2016'!$A130,DataEx!$D:$D,0),MATCH('2016'!N$100,DataEx!$216:$216,0))</f>
        <v>1778023.41</v>
      </c>
      <c r="O130" s="91">
        <f>+INDEX(DataEx!$1:$1048576,MATCH('2016'!$A130,DataEx!$D:$D,0),MATCH('2016'!O$100,DataEx!$216:$216,0))</f>
        <v>1778023.41</v>
      </c>
      <c r="P130" s="91">
        <f>+INDEX(DataEx!$1:$1048576,MATCH('2016'!$A130,DataEx!$D:$D,0),MATCH('2016'!P$100,DataEx!$216:$216,0))</f>
        <v>1778023.41</v>
      </c>
      <c r="Q130" s="91">
        <f>+INDEX(DataEx!$1:$1048576,MATCH('2016'!$A130,DataEx!$D:$D,0),MATCH('2016'!Q$100,DataEx!$216:$216,0))</f>
        <v>1778023.41</v>
      </c>
      <c r="R130" s="91">
        <f>+INDEX(DataEx!$1:$1048576,MATCH('2016'!$A130,DataEx!$D:$D,0),MATCH('2016'!R$100,DataEx!$216:$216,0))</f>
        <v>1778023.41</v>
      </c>
      <c r="S130" s="125">
        <f t="shared" si="20"/>
        <v>21336280.919999998</v>
      </c>
      <c r="T130" s="126">
        <f t="shared" si="21"/>
        <v>5.6549909673999461E-3</v>
      </c>
    </row>
    <row r="131" spans="1:20">
      <c r="A131" s="137" t="str">
        <f t="shared" si="17"/>
        <v>416p</v>
      </c>
      <c r="B131" s="515" t="str">
        <f>+VLOOKUP(LEFT($A131,LEN(A131)-1)*1,Master!$D$25:$G$223,4,FALSE)</f>
        <v>Kamate</v>
      </c>
      <c r="C131" s="516"/>
      <c r="D131" s="516"/>
      <c r="E131" s="516"/>
      <c r="F131" s="516"/>
      <c r="G131" s="91">
        <f>+INDEX(DataEx!$1:$1048576,MATCH('2016'!$A131,DataEx!$D:$D,0),MATCH('2016'!G$100,DataEx!$216:$216,0))</f>
        <v>6374029.6833333336</v>
      </c>
      <c r="H131" s="91">
        <f>+INDEX(DataEx!$1:$1048576,MATCH('2016'!$A131,DataEx!$D:$D,0),MATCH('2016'!H$100,DataEx!$216:$216,0))</f>
        <v>6374029.6833333336</v>
      </c>
      <c r="I131" s="91">
        <f>+INDEX(DataEx!$1:$1048576,MATCH('2016'!$A131,DataEx!$D:$D,0),MATCH('2016'!I$100,DataEx!$216:$216,0))</f>
        <v>6374029.6833333336</v>
      </c>
      <c r="J131" s="91">
        <f>+INDEX(DataEx!$1:$1048576,MATCH('2016'!$A131,DataEx!$D:$D,0),MATCH('2016'!J$100,DataEx!$216:$216,0))</f>
        <v>6374029.6833333336</v>
      </c>
      <c r="K131" s="91">
        <f>+INDEX(DataEx!$1:$1048576,MATCH('2016'!$A131,DataEx!$D:$D,0),MATCH('2016'!K$100,DataEx!$216:$216,0))</f>
        <v>6374029.6833333336</v>
      </c>
      <c r="L131" s="91">
        <f>+INDEX(DataEx!$1:$1048576,MATCH('2016'!$A131,DataEx!$D:$D,0),MATCH('2016'!L$100,DataEx!$216:$216,0))</f>
        <v>6374029.6833333336</v>
      </c>
      <c r="M131" s="91">
        <f>+INDEX(DataEx!$1:$1048576,MATCH('2016'!$A131,DataEx!$D:$D,0),MATCH('2016'!M$100,DataEx!$216:$216,0))</f>
        <v>6374029.6833333336</v>
      </c>
      <c r="N131" s="91">
        <f>+INDEX(DataEx!$1:$1048576,MATCH('2016'!$A131,DataEx!$D:$D,0),MATCH('2016'!N$100,DataEx!$216:$216,0))</f>
        <v>6374029.6833333336</v>
      </c>
      <c r="O131" s="91">
        <f>+INDEX(DataEx!$1:$1048576,MATCH('2016'!$A131,DataEx!$D:$D,0),MATCH('2016'!O$100,DataEx!$216:$216,0))</f>
        <v>6374029.6833333336</v>
      </c>
      <c r="P131" s="91">
        <f>+INDEX(DataEx!$1:$1048576,MATCH('2016'!$A131,DataEx!$D:$D,0),MATCH('2016'!P$100,DataEx!$216:$216,0))</f>
        <v>6374029.6833333336</v>
      </c>
      <c r="Q131" s="91">
        <f>+INDEX(DataEx!$1:$1048576,MATCH('2016'!$A131,DataEx!$D:$D,0),MATCH('2016'!Q$100,DataEx!$216:$216,0))</f>
        <v>6374029.6833333336</v>
      </c>
      <c r="R131" s="91">
        <f>+INDEX(DataEx!$1:$1048576,MATCH('2016'!$A131,DataEx!$D:$D,0),MATCH('2016'!R$100,DataEx!$216:$216,0))</f>
        <v>6374029.6833333336</v>
      </c>
      <c r="S131" s="125">
        <f t="shared" si="20"/>
        <v>76488356.200000018</v>
      </c>
      <c r="T131" s="126">
        <f t="shared" si="21"/>
        <v>2.0272556639279092E-2</v>
      </c>
    </row>
    <row r="132" spans="1:20">
      <c r="A132" s="137" t="str">
        <f t="shared" si="17"/>
        <v>417p</v>
      </c>
      <c r="B132" s="515" t="str">
        <f>+VLOOKUP(LEFT($A132,LEN(A132)-1)*1,Master!$D$25:$G$223,4,FALSE)</f>
        <v>Renta</v>
      </c>
      <c r="C132" s="516"/>
      <c r="D132" s="516"/>
      <c r="E132" s="516"/>
      <c r="F132" s="516"/>
      <c r="G132" s="91">
        <f>+INDEX(DataEx!$1:$1048576,MATCH('2016'!$A132,DataEx!$D:$D,0),MATCH('2016'!G$100,DataEx!$216:$216,0))</f>
        <v>677038.21083333332</v>
      </c>
      <c r="H132" s="91">
        <f>+INDEX(DataEx!$1:$1048576,MATCH('2016'!$A132,DataEx!$D:$D,0),MATCH('2016'!H$100,DataEx!$216:$216,0))</f>
        <v>677038.21083333332</v>
      </c>
      <c r="I132" s="91">
        <f>+INDEX(DataEx!$1:$1048576,MATCH('2016'!$A132,DataEx!$D:$D,0),MATCH('2016'!I$100,DataEx!$216:$216,0))</f>
        <v>677038.21083333332</v>
      </c>
      <c r="J132" s="91">
        <f>+INDEX(DataEx!$1:$1048576,MATCH('2016'!$A132,DataEx!$D:$D,0),MATCH('2016'!J$100,DataEx!$216:$216,0))</f>
        <v>677038.21083333332</v>
      </c>
      <c r="K132" s="91">
        <f>+INDEX(DataEx!$1:$1048576,MATCH('2016'!$A132,DataEx!$D:$D,0),MATCH('2016'!K$100,DataEx!$216:$216,0))</f>
        <v>677038.21083333332</v>
      </c>
      <c r="L132" s="91">
        <f>+INDEX(DataEx!$1:$1048576,MATCH('2016'!$A132,DataEx!$D:$D,0),MATCH('2016'!L$100,DataEx!$216:$216,0))</f>
        <v>677038.21083333332</v>
      </c>
      <c r="M132" s="91">
        <f>+INDEX(DataEx!$1:$1048576,MATCH('2016'!$A132,DataEx!$D:$D,0),MATCH('2016'!M$100,DataEx!$216:$216,0))</f>
        <v>677038.21083333332</v>
      </c>
      <c r="N132" s="91">
        <f>+INDEX(DataEx!$1:$1048576,MATCH('2016'!$A132,DataEx!$D:$D,0),MATCH('2016'!N$100,DataEx!$216:$216,0))</f>
        <v>677038.21083333332</v>
      </c>
      <c r="O132" s="91">
        <f>+INDEX(DataEx!$1:$1048576,MATCH('2016'!$A132,DataEx!$D:$D,0),MATCH('2016'!O$100,DataEx!$216:$216,0))</f>
        <v>677038.21083333332</v>
      </c>
      <c r="P132" s="91">
        <f>+INDEX(DataEx!$1:$1048576,MATCH('2016'!$A132,DataEx!$D:$D,0),MATCH('2016'!P$100,DataEx!$216:$216,0))</f>
        <v>677038.21083333332</v>
      </c>
      <c r="Q132" s="91">
        <f>+INDEX(DataEx!$1:$1048576,MATCH('2016'!$A132,DataEx!$D:$D,0),MATCH('2016'!Q$100,DataEx!$216:$216,0))</f>
        <v>677038.21083333332</v>
      </c>
      <c r="R132" s="91">
        <f>+INDEX(DataEx!$1:$1048576,MATCH('2016'!$A132,DataEx!$D:$D,0),MATCH('2016'!R$100,DataEx!$216:$216,0))</f>
        <v>677038.21083333332</v>
      </c>
      <c r="S132" s="125">
        <f t="shared" si="20"/>
        <v>8124458.5300000003</v>
      </c>
      <c r="T132" s="126">
        <f t="shared" si="21"/>
        <v>2.1533152743175195E-3</v>
      </c>
    </row>
    <row r="133" spans="1:20">
      <c r="A133" s="137" t="str">
        <f t="shared" si="17"/>
        <v>418p</v>
      </c>
      <c r="B133" s="515" t="str">
        <f>+VLOOKUP(LEFT($A133,LEN(A133)-1)*1,Master!$D$25:$G$223,4,FALSE)</f>
        <v>Subvencije</v>
      </c>
      <c r="C133" s="516"/>
      <c r="D133" s="516"/>
      <c r="E133" s="516"/>
      <c r="F133" s="516"/>
      <c r="G133" s="91">
        <f>+INDEX(DataEx!$1:$1048576,MATCH('2016'!$A133,DataEx!$D:$D,0),MATCH('2016'!G$100,DataEx!$216:$216,0))</f>
        <v>1707816.6666666667</v>
      </c>
      <c r="H133" s="91">
        <f>+INDEX(DataEx!$1:$1048576,MATCH('2016'!$A133,DataEx!$D:$D,0),MATCH('2016'!H$100,DataEx!$216:$216,0))</f>
        <v>1707816.6666666667</v>
      </c>
      <c r="I133" s="91">
        <f>+INDEX(DataEx!$1:$1048576,MATCH('2016'!$A133,DataEx!$D:$D,0),MATCH('2016'!I$100,DataEx!$216:$216,0))</f>
        <v>1707816.6666666667</v>
      </c>
      <c r="J133" s="91">
        <f>+INDEX(DataEx!$1:$1048576,MATCH('2016'!$A133,DataEx!$D:$D,0),MATCH('2016'!J$100,DataEx!$216:$216,0))</f>
        <v>1707816.6666666667</v>
      </c>
      <c r="K133" s="91">
        <f>+INDEX(DataEx!$1:$1048576,MATCH('2016'!$A133,DataEx!$D:$D,0),MATCH('2016'!K$100,DataEx!$216:$216,0))</f>
        <v>1707816.6666666667</v>
      </c>
      <c r="L133" s="91">
        <f>+INDEX(DataEx!$1:$1048576,MATCH('2016'!$A133,DataEx!$D:$D,0),MATCH('2016'!L$100,DataEx!$216:$216,0))</f>
        <v>1707816.6666666667</v>
      </c>
      <c r="M133" s="91">
        <f>+INDEX(DataEx!$1:$1048576,MATCH('2016'!$A133,DataEx!$D:$D,0),MATCH('2016'!M$100,DataEx!$216:$216,0))</f>
        <v>1707816.6666666667</v>
      </c>
      <c r="N133" s="91">
        <f>+INDEX(DataEx!$1:$1048576,MATCH('2016'!$A133,DataEx!$D:$D,0),MATCH('2016'!N$100,DataEx!$216:$216,0))</f>
        <v>1707816.6666666667</v>
      </c>
      <c r="O133" s="91">
        <f>+INDEX(DataEx!$1:$1048576,MATCH('2016'!$A133,DataEx!$D:$D,0),MATCH('2016'!O$100,DataEx!$216:$216,0))</f>
        <v>1707816.6666666667</v>
      </c>
      <c r="P133" s="91">
        <f>+INDEX(DataEx!$1:$1048576,MATCH('2016'!$A133,DataEx!$D:$D,0),MATCH('2016'!P$100,DataEx!$216:$216,0))</f>
        <v>1707816.6666666667</v>
      </c>
      <c r="Q133" s="91">
        <f>+INDEX(DataEx!$1:$1048576,MATCH('2016'!$A133,DataEx!$D:$D,0),MATCH('2016'!Q$100,DataEx!$216:$216,0))</f>
        <v>1707816.6666666667</v>
      </c>
      <c r="R133" s="91">
        <f>+INDEX(DataEx!$1:$1048576,MATCH('2016'!$A133,DataEx!$D:$D,0),MATCH('2016'!R$100,DataEx!$216:$216,0))</f>
        <v>1707816.6666666667</v>
      </c>
      <c r="S133" s="125">
        <f t="shared" si="20"/>
        <v>20493800</v>
      </c>
      <c r="T133" s="126">
        <f t="shared" si="21"/>
        <v>5.4316989133315662E-3</v>
      </c>
    </row>
    <row r="134" spans="1:20">
      <c r="A134" s="137" t="str">
        <f t="shared" si="17"/>
        <v>419p</v>
      </c>
      <c r="B134" s="515" t="str">
        <f>+VLOOKUP(LEFT($A134,LEN(A134)-1)*1,Master!$D$25:$G$223,4,FALSE)</f>
        <v>Ostali izdaci</v>
      </c>
      <c r="C134" s="516"/>
      <c r="D134" s="516"/>
      <c r="E134" s="516"/>
      <c r="F134" s="516"/>
      <c r="G134" s="91">
        <f>+INDEX(DataEx!$1:$1048576,MATCH('2016'!$A134,DataEx!$D:$D,0),MATCH('2016'!G$100,DataEx!$216:$216,0))</f>
        <v>2775123.1733333333</v>
      </c>
      <c r="H134" s="91">
        <f>+INDEX(DataEx!$1:$1048576,MATCH('2016'!$A134,DataEx!$D:$D,0),MATCH('2016'!H$100,DataEx!$216:$216,0))</f>
        <v>2775123.1733333333</v>
      </c>
      <c r="I134" s="91">
        <f>+INDEX(DataEx!$1:$1048576,MATCH('2016'!$A134,DataEx!$D:$D,0),MATCH('2016'!I$100,DataEx!$216:$216,0))</f>
        <v>2775123.1733333333</v>
      </c>
      <c r="J134" s="91">
        <f>+INDEX(DataEx!$1:$1048576,MATCH('2016'!$A134,DataEx!$D:$D,0),MATCH('2016'!J$100,DataEx!$216:$216,0))</f>
        <v>2775123.1733333333</v>
      </c>
      <c r="K134" s="91">
        <f>+INDEX(DataEx!$1:$1048576,MATCH('2016'!$A134,DataEx!$D:$D,0),MATCH('2016'!K$100,DataEx!$216:$216,0))</f>
        <v>2775123.1733333333</v>
      </c>
      <c r="L134" s="91">
        <f>+INDEX(DataEx!$1:$1048576,MATCH('2016'!$A134,DataEx!$D:$D,0),MATCH('2016'!L$100,DataEx!$216:$216,0))</f>
        <v>2775123.1733333333</v>
      </c>
      <c r="M134" s="91">
        <f>+INDEX(DataEx!$1:$1048576,MATCH('2016'!$A134,DataEx!$D:$D,0),MATCH('2016'!M$100,DataEx!$216:$216,0))</f>
        <v>2775123.1733333333</v>
      </c>
      <c r="N134" s="91">
        <f>+INDEX(DataEx!$1:$1048576,MATCH('2016'!$A134,DataEx!$D:$D,0),MATCH('2016'!N$100,DataEx!$216:$216,0))</f>
        <v>2775123.1733333333</v>
      </c>
      <c r="O134" s="91">
        <f>+INDEX(DataEx!$1:$1048576,MATCH('2016'!$A134,DataEx!$D:$D,0),MATCH('2016'!O$100,DataEx!$216:$216,0))</f>
        <v>2775123.1733333333</v>
      </c>
      <c r="P134" s="91">
        <f>+INDEX(DataEx!$1:$1048576,MATCH('2016'!$A134,DataEx!$D:$D,0),MATCH('2016'!P$100,DataEx!$216:$216,0))</f>
        <v>2775123.1733333333</v>
      </c>
      <c r="Q134" s="91">
        <f>+INDEX(DataEx!$1:$1048576,MATCH('2016'!$A134,DataEx!$D:$D,0),MATCH('2016'!Q$100,DataEx!$216:$216,0))</f>
        <v>2775123.1733333333</v>
      </c>
      <c r="R134" s="91">
        <f>+INDEX(DataEx!$1:$1048576,MATCH('2016'!$A134,DataEx!$D:$D,0),MATCH('2016'!R$100,DataEx!$216:$216,0))</f>
        <v>2775123.1733333333</v>
      </c>
      <c r="S134" s="125">
        <f t="shared" si="20"/>
        <v>33301478.079999994</v>
      </c>
      <c r="T134" s="126">
        <f t="shared" si="21"/>
        <v>8.8262597614630258E-3</v>
      </c>
    </row>
    <row r="135" spans="1:20">
      <c r="A135" s="137" t="str">
        <f t="shared" si="17"/>
        <v>440p</v>
      </c>
      <c r="B135" s="515" t="str">
        <f>+VLOOKUP(LEFT($A135,LEN(A135)-1)*1,Master!$D$25:$G$223,4,FALSE)</f>
        <v>Kapitalni izdaci u tekućem budžetu</v>
      </c>
      <c r="C135" s="516"/>
      <c r="D135" s="516"/>
      <c r="E135" s="516"/>
      <c r="F135" s="516"/>
      <c r="G135" s="91">
        <f>+INDEX(DataEx!$1:$1048576,MATCH('2016'!$A135,DataEx!$D:$D,0),MATCH('2016'!G$100,DataEx!$216:$216,0))</f>
        <v>3369359.2083333335</v>
      </c>
      <c r="H135" s="91">
        <f>+INDEX(DataEx!$1:$1048576,MATCH('2016'!$A135,DataEx!$D:$D,0),MATCH('2016'!H$100,DataEx!$216:$216,0))</f>
        <v>3369359.2083333335</v>
      </c>
      <c r="I135" s="91">
        <f>+INDEX(DataEx!$1:$1048576,MATCH('2016'!$A135,DataEx!$D:$D,0),MATCH('2016'!I$100,DataEx!$216:$216,0))</f>
        <v>3369359.2083333335</v>
      </c>
      <c r="J135" s="91">
        <f>+INDEX(DataEx!$1:$1048576,MATCH('2016'!$A135,DataEx!$D:$D,0),MATCH('2016'!J$100,DataEx!$216:$216,0))</f>
        <v>3369359.2083333335</v>
      </c>
      <c r="K135" s="91">
        <f>+INDEX(DataEx!$1:$1048576,MATCH('2016'!$A135,DataEx!$D:$D,0),MATCH('2016'!K$100,DataEx!$216:$216,0))</f>
        <v>3369359.2083333335</v>
      </c>
      <c r="L135" s="91">
        <f>+INDEX(DataEx!$1:$1048576,MATCH('2016'!$A135,DataEx!$D:$D,0),MATCH('2016'!L$100,DataEx!$216:$216,0))</f>
        <v>3369359.2083333335</v>
      </c>
      <c r="M135" s="91">
        <f>+INDEX(DataEx!$1:$1048576,MATCH('2016'!$A135,DataEx!$D:$D,0),MATCH('2016'!M$100,DataEx!$216:$216,0))</f>
        <v>3369359.2083333335</v>
      </c>
      <c r="N135" s="91">
        <f>+INDEX(DataEx!$1:$1048576,MATCH('2016'!$A135,DataEx!$D:$D,0),MATCH('2016'!N$100,DataEx!$216:$216,0))</f>
        <v>3369359.2083333335</v>
      </c>
      <c r="O135" s="91">
        <f>+INDEX(DataEx!$1:$1048576,MATCH('2016'!$A135,DataEx!$D:$D,0),MATCH('2016'!O$100,DataEx!$216:$216,0))</f>
        <v>3369359.2083333335</v>
      </c>
      <c r="P135" s="91">
        <f>+INDEX(DataEx!$1:$1048576,MATCH('2016'!$A135,DataEx!$D:$D,0),MATCH('2016'!P$100,DataEx!$216:$216,0))</f>
        <v>3369359.2083333335</v>
      </c>
      <c r="Q135" s="91">
        <f>+INDEX(DataEx!$1:$1048576,MATCH('2016'!$A135,DataEx!$D:$D,0),MATCH('2016'!Q$100,DataEx!$216:$216,0))</f>
        <v>3369359.2083333335</v>
      </c>
      <c r="R135" s="91">
        <f>+INDEX(DataEx!$1:$1048576,MATCH('2016'!$A135,DataEx!$D:$D,0),MATCH('2016'!R$100,DataEx!$216:$216,0))</f>
        <v>3369359.2083333335</v>
      </c>
      <c r="S135" s="125">
        <f t="shared" si="20"/>
        <v>40432310.5</v>
      </c>
      <c r="T135" s="126">
        <f t="shared" si="21"/>
        <v>1.0716223297111051E-2</v>
      </c>
    </row>
    <row r="136" spans="1:20">
      <c r="A136" s="137" t="str">
        <f t="shared" si="17"/>
        <v>42p</v>
      </c>
      <c r="B136" s="542" t="str">
        <f>+VLOOKUP(LEFT($A136,LEN(A136)-1)*1,Master!$D$25:$G$223,4,FALSE)</f>
        <v>Transferi za socijalnu zaštitu</v>
      </c>
      <c r="C136" s="543"/>
      <c r="D136" s="543"/>
      <c r="E136" s="543"/>
      <c r="F136" s="543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7">
        <f t="shared" si="20"/>
        <v>532392220.37000006</v>
      </c>
      <c r="T136" s="128">
        <f t="shared" si="21"/>
        <v>0.14110580979856879</v>
      </c>
    </row>
    <row r="137" spans="1:20">
      <c r="A137" s="137" t="str">
        <f t="shared" si="17"/>
        <v>421p</v>
      </c>
      <c r="B137" s="515" t="str">
        <f>+VLOOKUP(LEFT($A137,LEN(A137)-1)*1,Master!$D$25:$G$223,4,FALSE)</f>
        <v>Prava iz oblasti socijalne zaštite</v>
      </c>
      <c r="C137" s="516"/>
      <c r="D137" s="516"/>
      <c r="E137" s="516"/>
      <c r="F137" s="516"/>
      <c r="G137" s="91">
        <f>+INDEX(DataEx!$1:$1048576,MATCH('2016'!$A137,DataEx!$D:$D,0),MATCH('2016'!G$100,DataEx!$216:$216,0))</f>
        <v>6050468.75</v>
      </c>
      <c r="H137" s="91">
        <f>+INDEX(DataEx!$1:$1048576,MATCH('2016'!$A137,DataEx!$D:$D,0),MATCH('2016'!H$100,DataEx!$216:$216,0))</f>
        <v>6050468.75</v>
      </c>
      <c r="I137" s="91">
        <f>+INDEX(DataEx!$1:$1048576,MATCH('2016'!$A137,DataEx!$D:$D,0),MATCH('2016'!I$100,DataEx!$216:$216,0))</f>
        <v>6050468.75</v>
      </c>
      <c r="J137" s="91">
        <f>+INDEX(DataEx!$1:$1048576,MATCH('2016'!$A137,DataEx!$D:$D,0),MATCH('2016'!J$100,DataEx!$216:$216,0))</f>
        <v>6050468.75</v>
      </c>
      <c r="K137" s="91">
        <f>+INDEX(DataEx!$1:$1048576,MATCH('2016'!$A137,DataEx!$D:$D,0),MATCH('2016'!K$100,DataEx!$216:$216,0))</f>
        <v>6050468.75</v>
      </c>
      <c r="L137" s="91">
        <f>+INDEX(DataEx!$1:$1048576,MATCH('2016'!$A137,DataEx!$D:$D,0),MATCH('2016'!L$100,DataEx!$216:$216,0))</f>
        <v>6050468.75</v>
      </c>
      <c r="M137" s="91">
        <f>+INDEX(DataEx!$1:$1048576,MATCH('2016'!$A137,DataEx!$D:$D,0),MATCH('2016'!M$100,DataEx!$216:$216,0))</f>
        <v>6050468.75</v>
      </c>
      <c r="N137" s="91">
        <f>+INDEX(DataEx!$1:$1048576,MATCH('2016'!$A137,DataEx!$D:$D,0),MATCH('2016'!N$100,DataEx!$216:$216,0))</f>
        <v>6050468.75</v>
      </c>
      <c r="O137" s="91">
        <f>+INDEX(DataEx!$1:$1048576,MATCH('2016'!$A137,DataEx!$D:$D,0),MATCH('2016'!O$100,DataEx!$216:$216,0))</f>
        <v>6050468.75</v>
      </c>
      <c r="P137" s="91">
        <f>+INDEX(DataEx!$1:$1048576,MATCH('2016'!$A137,DataEx!$D:$D,0),MATCH('2016'!P$100,DataEx!$216:$216,0))</f>
        <v>6050468.75</v>
      </c>
      <c r="Q137" s="91">
        <f>+INDEX(DataEx!$1:$1048576,MATCH('2016'!$A137,DataEx!$D:$D,0),MATCH('2016'!Q$100,DataEx!$216:$216,0))</f>
        <v>6050468.75</v>
      </c>
      <c r="R137" s="91">
        <f>+INDEX(DataEx!$1:$1048576,MATCH('2016'!$A137,DataEx!$D:$D,0),MATCH('2016'!R$100,DataEx!$216:$216,0))</f>
        <v>6050468.75</v>
      </c>
      <c r="S137" s="125">
        <f t="shared" si="20"/>
        <v>72605625</v>
      </c>
      <c r="T137" s="126">
        <f t="shared" si="21"/>
        <v>1.9243473363371323E-2</v>
      </c>
    </row>
    <row r="138" spans="1:20">
      <c r="A138" s="137" t="str">
        <f t="shared" si="17"/>
        <v>422p</v>
      </c>
      <c r="B138" s="515" t="str">
        <f>+VLOOKUP(LEFT($A138,LEN(A138)-1)*1,Master!$D$25:$G$223,4,FALSE)</f>
        <v>Sredstva za tehnološke viškove</v>
      </c>
      <c r="C138" s="516"/>
      <c r="D138" s="516"/>
      <c r="E138" s="516"/>
      <c r="F138" s="516"/>
      <c r="G138" s="91">
        <f>+INDEX(DataEx!$1:$1048576,MATCH('2016'!$A138,DataEx!$D:$D,0),MATCH('2016'!G$100,DataEx!$216:$216,0))</f>
        <v>1900841.6666666667</v>
      </c>
      <c r="H138" s="91">
        <f>+INDEX(DataEx!$1:$1048576,MATCH('2016'!$A138,DataEx!$D:$D,0),MATCH('2016'!H$100,DataEx!$216:$216,0))</f>
        <v>1900841.6666666667</v>
      </c>
      <c r="I138" s="91">
        <f>+INDEX(DataEx!$1:$1048576,MATCH('2016'!$A138,DataEx!$D:$D,0),MATCH('2016'!I$100,DataEx!$216:$216,0))</f>
        <v>1900841.6666666667</v>
      </c>
      <c r="J138" s="91">
        <f>+INDEX(DataEx!$1:$1048576,MATCH('2016'!$A138,DataEx!$D:$D,0),MATCH('2016'!J$100,DataEx!$216:$216,0))</f>
        <v>1900841.6666666667</v>
      </c>
      <c r="K138" s="91">
        <f>+INDEX(DataEx!$1:$1048576,MATCH('2016'!$A138,DataEx!$D:$D,0),MATCH('2016'!K$100,DataEx!$216:$216,0))</f>
        <v>1900841.6666666667</v>
      </c>
      <c r="L138" s="91">
        <f>+INDEX(DataEx!$1:$1048576,MATCH('2016'!$A138,DataEx!$D:$D,0),MATCH('2016'!L$100,DataEx!$216:$216,0))</f>
        <v>1900841.6666666667</v>
      </c>
      <c r="M138" s="91">
        <f>+INDEX(DataEx!$1:$1048576,MATCH('2016'!$A138,DataEx!$D:$D,0),MATCH('2016'!M$100,DataEx!$216:$216,0))</f>
        <v>1900841.6666666667</v>
      </c>
      <c r="N138" s="91">
        <f>+INDEX(DataEx!$1:$1048576,MATCH('2016'!$A138,DataEx!$D:$D,0),MATCH('2016'!N$100,DataEx!$216:$216,0))</f>
        <v>1900841.6666666667</v>
      </c>
      <c r="O138" s="91">
        <f>+INDEX(DataEx!$1:$1048576,MATCH('2016'!$A138,DataEx!$D:$D,0),MATCH('2016'!O$100,DataEx!$216:$216,0))</f>
        <v>1900841.6666666667</v>
      </c>
      <c r="P138" s="91">
        <f>+INDEX(DataEx!$1:$1048576,MATCH('2016'!$A138,DataEx!$D:$D,0),MATCH('2016'!P$100,DataEx!$216:$216,0))</f>
        <v>1900841.6666666667</v>
      </c>
      <c r="Q138" s="91">
        <f>+INDEX(DataEx!$1:$1048576,MATCH('2016'!$A138,DataEx!$D:$D,0),MATCH('2016'!Q$100,DataEx!$216:$216,0))</f>
        <v>1900841.6666666667</v>
      </c>
      <c r="R138" s="91">
        <f>+INDEX(DataEx!$1:$1048576,MATCH('2016'!$A138,DataEx!$D:$D,0),MATCH('2016'!R$100,DataEx!$216:$216,0))</f>
        <v>1900841.6666666667</v>
      </c>
      <c r="S138" s="125">
        <f t="shared" si="20"/>
        <v>22810100.000000004</v>
      </c>
      <c r="T138" s="126">
        <f t="shared" si="21"/>
        <v>6.0456135701033673E-3</v>
      </c>
    </row>
    <row r="139" spans="1:20">
      <c r="A139" s="137" t="str">
        <f t="shared" si="17"/>
        <v>423p</v>
      </c>
      <c r="B139" s="515" t="str">
        <f>+VLOOKUP(LEFT($A139,LEN(A139)-1)*1,Master!$D$25:$G$223,4,FALSE)</f>
        <v>Prava iz oblasti penzijskog i invalidskog osiguranja</v>
      </c>
      <c r="C139" s="516"/>
      <c r="D139" s="516"/>
      <c r="E139" s="516"/>
      <c r="F139" s="516"/>
      <c r="G139" s="91">
        <f>+INDEX(DataEx!$1:$1048576,MATCH('2016'!$A139,DataEx!$D:$D,0),MATCH('2016'!G$100,DataEx!$216:$216,0))</f>
        <v>34500752.947499998</v>
      </c>
      <c r="H139" s="91">
        <f>+INDEX(DataEx!$1:$1048576,MATCH('2016'!$A139,DataEx!$D:$D,0),MATCH('2016'!H$100,DataEx!$216:$216,0))</f>
        <v>34500752.947499998</v>
      </c>
      <c r="I139" s="91">
        <f>+INDEX(DataEx!$1:$1048576,MATCH('2016'!$A139,DataEx!$D:$D,0),MATCH('2016'!I$100,DataEx!$216:$216,0))</f>
        <v>34500752.947499998</v>
      </c>
      <c r="J139" s="91">
        <f>+INDEX(DataEx!$1:$1048576,MATCH('2016'!$A139,DataEx!$D:$D,0),MATCH('2016'!J$100,DataEx!$216:$216,0))</f>
        <v>34500752.947499998</v>
      </c>
      <c r="K139" s="91">
        <f>+INDEX(DataEx!$1:$1048576,MATCH('2016'!$A139,DataEx!$D:$D,0),MATCH('2016'!K$100,DataEx!$216:$216,0))</f>
        <v>34500752.947499998</v>
      </c>
      <c r="L139" s="91">
        <f>+INDEX(DataEx!$1:$1048576,MATCH('2016'!$A139,DataEx!$D:$D,0),MATCH('2016'!L$100,DataEx!$216:$216,0))</f>
        <v>34500752.947499998</v>
      </c>
      <c r="M139" s="91">
        <f>+INDEX(DataEx!$1:$1048576,MATCH('2016'!$A139,DataEx!$D:$D,0),MATCH('2016'!M$100,DataEx!$216:$216,0))</f>
        <v>34500752.947499998</v>
      </c>
      <c r="N139" s="91">
        <f>+INDEX(DataEx!$1:$1048576,MATCH('2016'!$A139,DataEx!$D:$D,0),MATCH('2016'!N$100,DataEx!$216:$216,0))</f>
        <v>34500752.947499998</v>
      </c>
      <c r="O139" s="91">
        <f>+INDEX(DataEx!$1:$1048576,MATCH('2016'!$A139,DataEx!$D:$D,0),MATCH('2016'!O$100,DataEx!$216:$216,0))</f>
        <v>34500752.947499998</v>
      </c>
      <c r="P139" s="91">
        <f>+INDEX(DataEx!$1:$1048576,MATCH('2016'!$A139,DataEx!$D:$D,0),MATCH('2016'!P$100,DataEx!$216:$216,0))</f>
        <v>34500752.947499998</v>
      </c>
      <c r="Q139" s="91">
        <f>+INDEX(DataEx!$1:$1048576,MATCH('2016'!$A139,DataEx!$D:$D,0),MATCH('2016'!Q$100,DataEx!$216:$216,0))</f>
        <v>34500752.947499998</v>
      </c>
      <c r="R139" s="91">
        <f>+INDEX(DataEx!$1:$1048576,MATCH('2016'!$A139,DataEx!$D:$D,0),MATCH('2016'!R$100,DataEx!$216:$216,0))</f>
        <v>34500752.947499998</v>
      </c>
      <c r="S139" s="125">
        <f t="shared" si="20"/>
        <v>414009035.36999995</v>
      </c>
      <c r="T139" s="126">
        <f t="shared" si="21"/>
        <v>0.1097294024304267</v>
      </c>
    </row>
    <row r="140" spans="1:20">
      <c r="A140" s="137" t="str">
        <f t="shared" si="17"/>
        <v>424p</v>
      </c>
      <c r="B140" s="515" t="str">
        <f>+VLOOKUP(LEFT($A140,LEN(A140)-1)*1,Master!$D$25:$G$223,4,FALSE)</f>
        <v>Ostala prava iz oblasti zdravstvene zaštite</v>
      </c>
      <c r="C140" s="516"/>
      <c r="D140" s="516"/>
      <c r="E140" s="516"/>
      <c r="F140" s="516"/>
      <c r="G140" s="91">
        <f>+INDEX(DataEx!$1:$1048576,MATCH('2016'!$A140,DataEx!$D:$D,0),MATCH('2016'!G$100,DataEx!$216:$216,0))</f>
        <v>1250083.3333333333</v>
      </c>
      <c r="H140" s="91">
        <f>+INDEX(DataEx!$1:$1048576,MATCH('2016'!$A140,DataEx!$D:$D,0),MATCH('2016'!H$100,DataEx!$216:$216,0))</f>
        <v>1250083.3333333333</v>
      </c>
      <c r="I140" s="91">
        <f>+INDEX(DataEx!$1:$1048576,MATCH('2016'!$A140,DataEx!$D:$D,0),MATCH('2016'!I$100,DataEx!$216:$216,0))</f>
        <v>1250083.3333333333</v>
      </c>
      <c r="J140" s="91">
        <f>+INDEX(DataEx!$1:$1048576,MATCH('2016'!$A140,DataEx!$D:$D,0),MATCH('2016'!J$100,DataEx!$216:$216,0))</f>
        <v>1250083.3333333333</v>
      </c>
      <c r="K140" s="91">
        <f>+INDEX(DataEx!$1:$1048576,MATCH('2016'!$A140,DataEx!$D:$D,0),MATCH('2016'!K$100,DataEx!$216:$216,0))</f>
        <v>1250083.3333333333</v>
      </c>
      <c r="L140" s="91">
        <f>+INDEX(DataEx!$1:$1048576,MATCH('2016'!$A140,DataEx!$D:$D,0),MATCH('2016'!L$100,DataEx!$216:$216,0))</f>
        <v>1250083.3333333333</v>
      </c>
      <c r="M140" s="91">
        <f>+INDEX(DataEx!$1:$1048576,MATCH('2016'!$A140,DataEx!$D:$D,0),MATCH('2016'!M$100,DataEx!$216:$216,0))</f>
        <v>1250083.3333333333</v>
      </c>
      <c r="N140" s="91">
        <f>+INDEX(DataEx!$1:$1048576,MATCH('2016'!$A140,DataEx!$D:$D,0),MATCH('2016'!N$100,DataEx!$216:$216,0))</f>
        <v>1250083.3333333333</v>
      </c>
      <c r="O140" s="91">
        <f>+INDEX(DataEx!$1:$1048576,MATCH('2016'!$A140,DataEx!$D:$D,0),MATCH('2016'!O$100,DataEx!$216:$216,0))</f>
        <v>1250083.3333333333</v>
      </c>
      <c r="P140" s="91">
        <f>+INDEX(DataEx!$1:$1048576,MATCH('2016'!$A140,DataEx!$D:$D,0),MATCH('2016'!P$100,DataEx!$216:$216,0))</f>
        <v>1250083.3333333333</v>
      </c>
      <c r="Q140" s="91">
        <f>+INDEX(DataEx!$1:$1048576,MATCH('2016'!$A140,DataEx!$D:$D,0),MATCH('2016'!Q$100,DataEx!$216:$216,0))</f>
        <v>1250083.3333333333</v>
      </c>
      <c r="R140" s="91">
        <f>+INDEX(DataEx!$1:$1048576,MATCH('2016'!$A140,DataEx!$D:$D,0),MATCH('2016'!R$100,DataEx!$216:$216,0))</f>
        <v>1250083.3333333333</v>
      </c>
      <c r="S140" s="125">
        <f t="shared" si="20"/>
        <v>15001000.000000002</v>
      </c>
      <c r="T140" s="126">
        <f t="shared" si="21"/>
        <v>3.9758812615955479E-3</v>
      </c>
    </row>
    <row r="141" spans="1:20">
      <c r="A141" s="137" t="str">
        <f t="shared" si="17"/>
        <v>425p</v>
      </c>
      <c r="B141" s="515" t="str">
        <f>+VLOOKUP(LEFT($A141,LEN(A141)-1)*1,Master!$D$25:$G$223,4,FALSE)</f>
        <v>Ostala prava iz zdravstvenog osiguranja</v>
      </c>
      <c r="C141" s="516"/>
      <c r="D141" s="516"/>
      <c r="E141" s="516"/>
      <c r="F141" s="516"/>
      <c r="G141" s="91">
        <f>+INDEX(DataEx!$1:$1048576,MATCH('2016'!$A141,DataEx!$D:$D,0),MATCH('2016'!G$100,DataEx!$216:$216,0))</f>
        <v>663871.66666666663</v>
      </c>
      <c r="H141" s="91">
        <f>+INDEX(DataEx!$1:$1048576,MATCH('2016'!$A141,DataEx!$D:$D,0),MATCH('2016'!H$100,DataEx!$216:$216,0))</f>
        <v>663871.66666666663</v>
      </c>
      <c r="I141" s="91">
        <f>+INDEX(DataEx!$1:$1048576,MATCH('2016'!$A141,DataEx!$D:$D,0),MATCH('2016'!I$100,DataEx!$216:$216,0))</f>
        <v>663871.66666666663</v>
      </c>
      <c r="J141" s="91">
        <f>+INDEX(DataEx!$1:$1048576,MATCH('2016'!$A141,DataEx!$D:$D,0),MATCH('2016'!J$100,DataEx!$216:$216,0))</f>
        <v>663871.66666666663</v>
      </c>
      <c r="K141" s="91">
        <f>+INDEX(DataEx!$1:$1048576,MATCH('2016'!$A141,DataEx!$D:$D,0),MATCH('2016'!K$100,DataEx!$216:$216,0))</f>
        <v>663871.66666666663</v>
      </c>
      <c r="L141" s="91">
        <f>+INDEX(DataEx!$1:$1048576,MATCH('2016'!$A141,DataEx!$D:$D,0),MATCH('2016'!L$100,DataEx!$216:$216,0))</f>
        <v>663871.66666666663</v>
      </c>
      <c r="M141" s="91">
        <f>+INDEX(DataEx!$1:$1048576,MATCH('2016'!$A141,DataEx!$D:$D,0),MATCH('2016'!M$100,DataEx!$216:$216,0))</f>
        <v>663871.66666666663</v>
      </c>
      <c r="N141" s="91">
        <f>+INDEX(DataEx!$1:$1048576,MATCH('2016'!$A141,DataEx!$D:$D,0),MATCH('2016'!N$100,DataEx!$216:$216,0))</f>
        <v>663871.66666666663</v>
      </c>
      <c r="O141" s="91">
        <f>+INDEX(DataEx!$1:$1048576,MATCH('2016'!$A141,DataEx!$D:$D,0),MATCH('2016'!O$100,DataEx!$216:$216,0))</f>
        <v>663871.66666666663</v>
      </c>
      <c r="P141" s="91">
        <f>+INDEX(DataEx!$1:$1048576,MATCH('2016'!$A141,DataEx!$D:$D,0),MATCH('2016'!P$100,DataEx!$216:$216,0))</f>
        <v>663871.66666666663</v>
      </c>
      <c r="Q141" s="91">
        <f>+INDEX(DataEx!$1:$1048576,MATCH('2016'!$A141,DataEx!$D:$D,0),MATCH('2016'!Q$100,DataEx!$216:$216,0))</f>
        <v>663871.66666666663</v>
      </c>
      <c r="R141" s="91">
        <f>+INDEX(DataEx!$1:$1048576,MATCH('2016'!$A141,DataEx!$D:$D,0),MATCH('2016'!R$100,DataEx!$216:$216,0))</f>
        <v>663871.66666666663</v>
      </c>
      <c r="S141" s="125">
        <f t="shared" si="20"/>
        <v>7966460.0000000009</v>
      </c>
      <c r="T141" s="126">
        <f t="shared" si="21"/>
        <v>2.1114391730718265E-3</v>
      </c>
    </row>
    <row r="142" spans="1:20">
      <c r="A142" s="137" t="str">
        <f t="shared" si="17"/>
        <v>43p</v>
      </c>
      <c r="B142" s="538" t="str">
        <f>+VLOOKUP(LEFT($A142,LEN(A142)-1)*1,Master!$D$25:$G$223,4,FALSE)</f>
        <v xml:space="preserve">Transferi institucijama, pojedincima, nevladinom i javnom sektoru </v>
      </c>
      <c r="C142" s="539"/>
      <c r="D142" s="539"/>
      <c r="E142" s="539"/>
      <c r="F142" s="539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7">
        <f>+SUM(G142:R142)</f>
        <v>146359540.05000004</v>
      </c>
      <c r="T142" s="128">
        <f t="shared" si="21"/>
        <v>3.8791290763318324E-2</v>
      </c>
    </row>
    <row r="143" spans="1:20">
      <c r="A143" s="137" t="str">
        <f t="shared" si="17"/>
        <v>44p</v>
      </c>
      <c r="B143" s="538" t="str">
        <f>+VLOOKUP(LEFT($A143,LEN(A143)-1)*1,Master!$D$25:$G$223,4,FALSE)</f>
        <v>Kapitalni budžet</v>
      </c>
      <c r="C143" s="539"/>
      <c r="D143" s="539"/>
      <c r="E143" s="539"/>
      <c r="F143" s="539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7">
        <f t="shared" si="20"/>
        <v>334857800</v>
      </c>
      <c r="T143" s="128">
        <f t="shared" si="21"/>
        <v>8.8751073416379542E-2</v>
      </c>
    </row>
    <row r="144" spans="1:20">
      <c r="A144" s="137" t="str">
        <f t="shared" si="17"/>
        <v>451p</v>
      </c>
      <c r="B144" s="540" t="str">
        <f>+VLOOKUP(LEFT($A144,LEN(A144)-1)*1,Master!$D$25:$G$223,4,FALSE)</f>
        <v>Pozajmice i krediti</v>
      </c>
      <c r="C144" s="541"/>
      <c r="D144" s="541"/>
      <c r="E144" s="541"/>
      <c r="F144" s="541"/>
      <c r="G144" s="91">
        <f>+INDEX(DataEx!$1:$1048576,MATCH('2016'!$A144,DataEx!$D:$D,0),MATCH('2016'!G$100,DataEx!$216:$216,0))</f>
        <v>195833.33333333334</v>
      </c>
      <c r="H144" s="91">
        <f>+INDEX(DataEx!$1:$1048576,MATCH('2016'!$A144,DataEx!$D:$D,0),MATCH('2016'!H$100,DataEx!$216:$216,0))</f>
        <v>195833.33333333334</v>
      </c>
      <c r="I144" s="91">
        <f>+INDEX(DataEx!$1:$1048576,MATCH('2016'!$A144,DataEx!$D:$D,0),MATCH('2016'!I$100,DataEx!$216:$216,0))</f>
        <v>195833.33333333334</v>
      </c>
      <c r="J144" s="91">
        <f>+INDEX(DataEx!$1:$1048576,MATCH('2016'!$A144,DataEx!$D:$D,0),MATCH('2016'!J$100,DataEx!$216:$216,0))</f>
        <v>195833.33333333334</v>
      </c>
      <c r="K144" s="91">
        <f>+INDEX(DataEx!$1:$1048576,MATCH('2016'!$A144,DataEx!$D:$D,0),MATCH('2016'!K$100,DataEx!$216:$216,0))</f>
        <v>195833.33333333334</v>
      </c>
      <c r="L144" s="91">
        <f>+INDEX(DataEx!$1:$1048576,MATCH('2016'!$A144,DataEx!$D:$D,0),MATCH('2016'!L$100,DataEx!$216:$216,0))</f>
        <v>195833.33333333334</v>
      </c>
      <c r="M144" s="91">
        <f>+INDEX(DataEx!$1:$1048576,MATCH('2016'!$A144,DataEx!$D:$D,0),MATCH('2016'!M$100,DataEx!$216:$216,0))</f>
        <v>195833.33333333334</v>
      </c>
      <c r="N144" s="91">
        <f>+INDEX(DataEx!$1:$1048576,MATCH('2016'!$A144,DataEx!$D:$D,0),MATCH('2016'!N$100,DataEx!$216:$216,0))</f>
        <v>195833.33333333334</v>
      </c>
      <c r="O144" s="91">
        <f>+INDEX(DataEx!$1:$1048576,MATCH('2016'!$A144,DataEx!$D:$D,0),MATCH('2016'!O$100,DataEx!$216:$216,0))</f>
        <v>195833.33333333334</v>
      </c>
      <c r="P144" s="91">
        <f>+INDEX(DataEx!$1:$1048576,MATCH('2016'!$A144,DataEx!$D:$D,0),MATCH('2016'!P$100,DataEx!$216:$216,0))</f>
        <v>195833.33333333334</v>
      </c>
      <c r="Q144" s="91">
        <f>+INDEX(DataEx!$1:$1048576,MATCH('2016'!$A144,DataEx!$D:$D,0),MATCH('2016'!Q$100,DataEx!$216:$216,0))</f>
        <v>195833.33333333334</v>
      </c>
      <c r="R144" s="91">
        <f>+INDEX(DataEx!$1:$1048576,MATCH('2016'!$A144,DataEx!$D:$D,0),MATCH('2016'!R$100,DataEx!$216:$216,0))</f>
        <v>195833.33333333334</v>
      </c>
      <c r="S144" s="125">
        <f t="shared" si="20"/>
        <v>2350000</v>
      </c>
      <c r="T144" s="126">
        <f t="shared" si="21"/>
        <v>6.2284654121388819E-4</v>
      </c>
    </row>
    <row r="145" spans="1:20">
      <c r="A145" s="137" t="str">
        <f t="shared" si="17"/>
        <v>47p</v>
      </c>
      <c r="B145" s="540" t="str">
        <f>+VLOOKUP(LEFT($A145,LEN(A145)-1)*1,Master!$D$25:$G$223,4,FALSE)</f>
        <v>Rezerve</v>
      </c>
      <c r="C145" s="541"/>
      <c r="D145" s="541"/>
      <c r="E145" s="541"/>
      <c r="F145" s="541"/>
      <c r="G145" s="91">
        <f>+INDEX(DataEx!$1:$1048576,MATCH('2016'!$A145,DataEx!$D:$D,0),MATCH('2016'!G$100,DataEx!$216:$216,0))</f>
        <v>1202439.8216666665</v>
      </c>
      <c r="H145" s="91">
        <f>+INDEX(DataEx!$1:$1048576,MATCH('2016'!$A145,DataEx!$D:$D,0),MATCH('2016'!H$100,DataEx!$216:$216,0))</f>
        <v>1202439.8216666665</v>
      </c>
      <c r="I145" s="91">
        <f>+INDEX(DataEx!$1:$1048576,MATCH('2016'!$A145,DataEx!$D:$D,0),MATCH('2016'!I$100,DataEx!$216:$216,0))</f>
        <v>1202439.8216666665</v>
      </c>
      <c r="J145" s="91">
        <f>+INDEX(DataEx!$1:$1048576,MATCH('2016'!$A145,DataEx!$D:$D,0),MATCH('2016'!J$100,DataEx!$216:$216,0))</f>
        <v>1202439.8216666665</v>
      </c>
      <c r="K145" s="91">
        <f>+INDEX(DataEx!$1:$1048576,MATCH('2016'!$A145,DataEx!$D:$D,0),MATCH('2016'!K$100,DataEx!$216:$216,0))</f>
        <v>1202439.8216666665</v>
      </c>
      <c r="L145" s="91">
        <f>+INDEX(DataEx!$1:$1048576,MATCH('2016'!$A145,DataEx!$D:$D,0),MATCH('2016'!L$100,DataEx!$216:$216,0))</f>
        <v>1202439.8216666665</v>
      </c>
      <c r="M145" s="91">
        <f>+INDEX(DataEx!$1:$1048576,MATCH('2016'!$A145,DataEx!$D:$D,0),MATCH('2016'!M$100,DataEx!$216:$216,0))</f>
        <v>1202439.8216666665</v>
      </c>
      <c r="N145" s="91">
        <f>+INDEX(DataEx!$1:$1048576,MATCH('2016'!$A145,DataEx!$D:$D,0),MATCH('2016'!N$100,DataEx!$216:$216,0))</f>
        <v>1202439.8216666665</v>
      </c>
      <c r="O145" s="91">
        <f>+INDEX(DataEx!$1:$1048576,MATCH('2016'!$A145,DataEx!$D:$D,0),MATCH('2016'!O$100,DataEx!$216:$216,0))</f>
        <v>1202439.8216666665</v>
      </c>
      <c r="P145" s="91">
        <f>+INDEX(DataEx!$1:$1048576,MATCH('2016'!$A145,DataEx!$D:$D,0),MATCH('2016'!P$100,DataEx!$216:$216,0))</f>
        <v>1202439.8216666665</v>
      </c>
      <c r="Q145" s="91">
        <f>+INDEX(DataEx!$1:$1048576,MATCH('2016'!$A145,DataEx!$D:$D,0),MATCH('2016'!Q$100,DataEx!$216:$216,0))</f>
        <v>1202439.8216666665</v>
      </c>
      <c r="R145" s="91">
        <f>+INDEX(DataEx!$1:$1048576,MATCH('2016'!$A145,DataEx!$D:$D,0),MATCH('2016'!R$100,DataEx!$216:$216,0))</f>
        <v>1202439.8216666665</v>
      </c>
      <c r="S145" s="125">
        <f t="shared" si="20"/>
        <v>14429277.860000001</v>
      </c>
      <c r="T145" s="126">
        <f t="shared" si="21"/>
        <v>3.8243514073681424E-3</v>
      </c>
    </row>
    <row r="146" spans="1:20">
      <c r="A146" s="137" t="str">
        <f t="shared" si="17"/>
        <v>462p</v>
      </c>
      <c r="B146" s="540" t="str">
        <f>+VLOOKUP(LEFT($A146,LEN(A146)-1)*1,Master!$D$25:$G$223,4,FALSE)</f>
        <v>Otplata garancija</v>
      </c>
      <c r="C146" s="541"/>
      <c r="D146" s="541"/>
      <c r="E146" s="541"/>
      <c r="F146" s="541"/>
      <c r="G146" s="91">
        <f>+INDEX(DataEx!$1:$1048576,MATCH('2016'!$A146,DataEx!$D:$D,0),MATCH('2016'!G$100,DataEx!$216:$216,0))</f>
        <v>0</v>
      </c>
      <c r="H146" s="91">
        <f>+INDEX(DataEx!$1:$1048576,MATCH('2016'!$A146,DataEx!$D:$D,0),MATCH('2016'!H$100,DataEx!$216:$216,0))</f>
        <v>0</v>
      </c>
      <c r="I146" s="91">
        <f>+INDEX(DataEx!$1:$1048576,MATCH('2016'!$A146,DataEx!$D:$D,0),MATCH('2016'!I$100,DataEx!$216:$216,0))</f>
        <v>0</v>
      </c>
      <c r="J146" s="91">
        <f>+INDEX(DataEx!$1:$1048576,MATCH('2016'!$A146,DataEx!$D:$D,0),MATCH('2016'!J$100,DataEx!$216:$216,0))</f>
        <v>0</v>
      </c>
      <c r="K146" s="91">
        <f>+INDEX(DataEx!$1:$1048576,MATCH('2016'!$A146,DataEx!$D:$D,0),MATCH('2016'!K$100,DataEx!$216:$216,0))</f>
        <v>0</v>
      </c>
      <c r="L146" s="91">
        <f>+INDEX(DataEx!$1:$1048576,MATCH('2016'!$A146,DataEx!$D:$D,0),MATCH('2016'!L$100,DataEx!$216:$216,0))</f>
        <v>0</v>
      </c>
      <c r="M146" s="91">
        <f>+INDEX(DataEx!$1:$1048576,MATCH('2016'!$A146,DataEx!$D:$D,0),MATCH('2016'!M$100,DataEx!$216:$216,0))</f>
        <v>0</v>
      </c>
      <c r="N146" s="91">
        <f>+INDEX(DataEx!$1:$1048576,MATCH('2016'!$A146,DataEx!$D:$D,0),MATCH('2016'!N$100,DataEx!$216:$216,0))</f>
        <v>0</v>
      </c>
      <c r="O146" s="91">
        <f>+INDEX(DataEx!$1:$1048576,MATCH('2016'!$A146,DataEx!$D:$D,0),MATCH('2016'!O$100,DataEx!$216:$216,0))</f>
        <v>0</v>
      </c>
      <c r="P146" s="91">
        <f>+INDEX(DataEx!$1:$1048576,MATCH('2016'!$A146,DataEx!$D:$D,0),MATCH('2016'!P$100,DataEx!$216:$216,0))</f>
        <v>0</v>
      </c>
      <c r="Q146" s="91">
        <f>+INDEX(DataEx!$1:$1048576,MATCH('2016'!$A146,DataEx!$D:$D,0),MATCH('2016'!Q$100,DataEx!$216:$216,0))</f>
        <v>0</v>
      </c>
      <c r="R146" s="91">
        <f>+INDEX(DataEx!$1:$1048576,MATCH('2016'!$A146,DataEx!$D:$D,0),MATCH('2016'!R$100,DataEx!$216:$216,0))</f>
        <v>0</v>
      </c>
      <c r="S146" s="125">
        <f t="shared" si="20"/>
        <v>0</v>
      </c>
      <c r="T146" s="126">
        <f t="shared" si="21"/>
        <v>0</v>
      </c>
    </row>
    <row r="147" spans="1:20" ht="13.5" thickBot="1">
      <c r="A147" s="137"/>
      <c r="B147" s="334" t="s">
        <v>699</v>
      </c>
      <c r="C147" s="335"/>
      <c r="D147" s="335"/>
      <c r="E147" s="335"/>
      <c r="F147" s="335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5">
        <f>SUM(G147:R147)</f>
        <v>0</v>
      </c>
      <c r="T147" s="136">
        <f t="shared" si="21"/>
        <v>0</v>
      </c>
    </row>
    <row r="148" spans="1:20" ht="13.5" thickBot="1">
      <c r="A148" s="138" t="str">
        <f>+CONCATENATE(A55,"p")</f>
        <v>1000p</v>
      </c>
      <c r="B148" s="548" t="str">
        <f>+VLOOKUP(LEFT($A148,LEN(A148)-1)*1,Master!$D$25:$G$223,4,FALSE)</f>
        <v>Suficit / deficit</v>
      </c>
      <c r="C148" s="549"/>
      <c r="D148" s="549"/>
      <c r="E148" s="549"/>
      <c r="F148" s="549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3">
        <f t="shared" si="20"/>
        <v>-273925689.54656023</v>
      </c>
      <c r="T148" s="114">
        <f t="shared" si="21"/>
        <v>-7.2601560971789089E-2</v>
      </c>
    </row>
    <row r="149" spans="1:20" ht="13.5" thickBot="1">
      <c r="A149" s="138" t="str">
        <f>+CONCATENATE(A56,"p")</f>
        <v>1001p</v>
      </c>
      <c r="B149" s="550" t="str">
        <f>+VLOOKUP(LEFT($A149,LEN(A149)-1)*1,Master!$D$25:$G$223,4,FALSE)</f>
        <v>Primarni bilans</v>
      </c>
      <c r="C149" s="551"/>
      <c r="D149" s="551"/>
      <c r="E149" s="551"/>
      <c r="F149" s="551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3">
        <f t="shared" si="20"/>
        <v>-197437333.34656024</v>
      </c>
      <c r="T149" s="114">
        <f t="shared" si="21"/>
        <v>-5.2329004332510004E-2</v>
      </c>
    </row>
    <row r="150" spans="1:20">
      <c r="A150" s="138" t="str">
        <f>+CONCATENATE(A57,"p")</f>
        <v>46p</v>
      </c>
      <c r="B150" s="542" t="str">
        <f>+VLOOKUP(LEFT($A150,LEN(A150)-1)*1,Master!$D$25:$G$223,4,FALSE)</f>
        <v>Otplata dugova</v>
      </c>
      <c r="C150" s="543"/>
      <c r="D150" s="543"/>
      <c r="E150" s="543"/>
      <c r="F150" s="543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09">
        <f t="shared" si="20"/>
        <v>393223383.51000005</v>
      </c>
      <c r="T150" s="110">
        <f t="shared" si="21"/>
        <v>0.10422035078452162</v>
      </c>
    </row>
    <row r="151" spans="1:20">
      <c r="A151" s="138" t="str">
        <f>+CONCATENATE(A58,"p")</f>
        <v>4611p</v>
      </c>
      <c r="B151" s="546" t="str">
        <f>+VLOOKUP(LEFT($A151,LEN(A151)-1)*1,Master!$D$25:$G$223,4,FALSE)</f>
        <v>Otplata hartija od vrijednosti i kredita rezidentima</v>
      </c>
      <c r="C151" s="547"/>
      <c r="D151" s="547"/>
      <c r="E151" s="547"/>
      <c r="F151" s="547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7">
        <f t="shared" si="20"/>
        <v>44675182.640000001</v>
      </c>
      <c r="T151" s="108">
        <f t="shared" si="21"/>
        <v>1.1840758717201166E-2</v>
      </c>
    </row>
    <row r="152" spans="1:20">
      <c r="A152" s="138" t="str">
        <f>+CONCATENATE(A59,"p")</f>
        <v>4612p</v>
      </c>
      <c r="B152" s="540" t="str">
        <f>+VLOOKUP(LEFT($A152,LEN(A152)-1)*1,Master!$D$25:$G$223,4,FALSE)</f>
        <v>Otplata hartija od vrijednosti i kredita nerezidentima</v>
      </c>
      <c r="C152" s="541"/>
      <c r="D152" s="541"/>
      <c r="E152" s="541"/>
      <c r="F152" s="541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7">
        <f t="shared" si="20"/>
        <v>309173445.5</v>
      </c>
      <c r="T152" s="108">
        <f t="shared" si="21"/>
        <v>8.1943664325470442E-2</v>
      </c>
    </row>
    <row r="153" spans="1:20" ht="13.5" thickBot="1">
      <c r="A153" s="138" t="str">
        <f>+CONCATENATE(A53,"p")</f>
        <v>4630p</v>
      </c>
      <c r="B153" s="552" t="str">
        <f>+VLOOKUP(LEFT($A153,LEN(A153)-1)*1,Master!$D$25:$G$223,4,FALSE)</f>
        <v>Otplata obaveza iz prethodnih godina</v>
      </c>
      <c r="C153" s="553"/>
      <c r="D153" s="553"/>
      <c r="E153" s="553"/>
      <c r="F153" s="553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7">
        <f t="shared" si="20"/>
        <v>39374755.369999997</v>
      </c>
      <c r="T153" s="108">
        <f t="shared" si="21"/>
        <v>1.0435927741849985E-2</v>
      </c>
    </row>
    <row r="154" spans="1:20" ht="13.5" thickBot="1">
      <c r="A154" s="138" t="str">
        <f t="shared" ref="A154:A159" si="30">+CONCATENATE(A60,"p")</f>
        <v>1002p</v>
      </c>
      <c r="B154" s="544" t="str">
        <f>+VLOOKUP(LEFT($A154,LEN(A154)-1)*1,Master!$D$25:$G$223,4,FALSE)</f>
        <v>Nedostajuća sredstva</v>
      </c>
      <c r="C154" s="545"/>
      <c r="D154" s="545"/>
      <c r="E154" s="545"/>
      <c r="F154" s="545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7">
        <f t="shared" si="20"/>
        <v>-667149073.0565604</v>
      </c>
      <c r="T154" s="118">
        <f t="shared" si="21"/>
        <v>-0.17682191175631073</v>
      </c>
    </row>
    <row r="155" spans="1:20" ht="13.5" thickBot="1">
      <c r="A155" s="138" t="str">
        <f t="shared" si="30"/>
        <v>1003p</v>
      </c>
      <c r="B155" s="532" t="str">
        <f>+VLOOKUP(LEFT($A155,LEN(A155)-1)*1,Master!$D$25:$G$223,4,FALSE)</f>
        <v>Finansiranje</v>
      </c>
      <c r="C155" s="533"/>
      <c r="D155" s="533"/>
      <c r="E155" s="533"/>
      <c r="F155" s="533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19">
        <f t="shared" si="20"/>
        <v>667149073.0565604</v>
      </c>
      <c r="T155" s="120">
        <f t="shared" si="21"/>
        <v>0.17682191175631073</v>
      </c>
    </row>
    <row r="156" spans="1:20">
      <c r="A156" s="138" t="str">
        <f t="shared" si="30"/>
        <v>7511p</v>
      </c>
      <c r="B156" s="546" t="str">
        <f>+VLOOKUP(LEFT($A156,LEN(A156)-1)*1,Master!$D$25:$G$223,4,FALSE)</f>
        <v>Pozajmice i krediti od domaćih izvora</v>
      </c>
      <c r="C156" s="547"/>
      <c r="D156" s="547"/>
      <c r="E156" s="547"/>
      <c r="F156" s="547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7">
        <f t="shared" si="20"/>
        <v>10000000</v>
      </c>
      <c r="T156" s="108">
        <f t="shared" si="21"/>
        <v>2.6504108136761197E-3</v>
      </c>
    </row>
    <row r="157" spans="1:20">
      <c r="A157" s="138" t="str">
        <f t="shared" si="30"/>
        <v>7512p</v>
      </c>
      <c r="B157" s="540" t="str">
        <f>+VLOOKUP(LEFT($A157,LEN(A157)-1)*1,Master!$D$25:$G$223,4,FALSE)</f>
        <v>Pozajmice i krediti od inostranih izvora</v>
      </c>
      <c r="C157" s="541"/>
      <c r="D157" s="541"/>
      <c r="E157" s="541"/>
      <c r="F157" s="541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7">
        <f t="shared" si="20"/>
        <v>657149073.05656004</v>
      </c>
      <c r="T157" s="108">
        <f t="shared" si="21"/>
        <v>0.17417150094263451</v>
      </c>
    </row>
    <row r="158" spans="1:20">
      <c r="A158" s="138" t="str">
        <f t="shared" si="30"/>
        <v>72p</v>
      </c>
      <c r="B158" s="540" t="str">
        <f>+VLOOKUP(LEFT($A158,LEN(A158)-1)*1,Master!$D$25:$G$223,4,FALSE)</f>
        <v>Primici od prodaje imovine</v>
      </c>
      <c r="C158" s="541"/>
      <c r="D158" s="541"/>
      <c r="E158" s="541"/>
      <c r="F158" s="541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7">
        <f t="shared" si="20"/>
        <v>0</v>
      </c>
      <c r="T158" s="108">
        <f t="shared" si="21"/>
        <v>0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1">
        <f t="shared" si="20"/>
        <v>2.5331974029541016E-7</v>
      </c>
      <c r="T159" s="112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542</v>
      </c>
      <c r="H6" s="259" t="s">
        <v>543</v>
      </c>
      <c r="I6" s="259" t="s">
        <v>544</v>
      </c>
      <c r="J6" s="259" t="s">
        <v>545</v>
      </c>
      <c r="K6" s="259" t="s">
        <v>546</v>
      </c>
      <c r="L6" s="259" t="s">
        <v>547</v>
      </c>
      <c r="M6" s="259" t="s">
        <v>548</v>
      </c>
      <c r="N6" s="259" t="s">
        <v>549</v>
      </c>
      <c r="O6" s="259" t="s">
        <v>550</v>
      </c>
      <c r="P6" s="259" t="s">
        <v>551</v>
      </c>
      <c r="Q6" s="259" t="s">
        <v>552</v>
      </c>
      <c r="R6" s="259" t="s">
        <v>553</v>
      </c>
      <c r="S6" s="258"/>
      <c r="T6" s="258"/>
    </row>
    <row r="7" spans="1:20" ht="15" customHeight="1" thickBot="1">
      <c r="A7" s="169"/>
      <c r="B7" s="498" t="str">
        <f>+Master!G249</f>
        <v>Ostvarenje budžeta</v>
      </c>
      <c r="C7" s="479"/>
      <c r="D7" s="479"/>
      <c r="E7" s="479"/>
      <c r="F7" s="479"/>
      <c r="G7" s="487">
        <v>2015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+Master!G246</f>
        <v>BDP</v>
      </c>
      <c r="T7" s="261">
        <v>3625000000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+Master!G229</f>
        <v>Januar</v>
      </c>
      <c r="H8" s="170" t="str">
        <f>+Master!G230</f>
        <v>Februar</v>
      </c>
      <c r="I8" s="170" t="str">
        <f>+Master!G231</f>
        <v>Mart</v>
      </c>
      <c r="J8" s="170" t="str">
        <f>+Master!G232</f>
        <v>April</v>
      </c>
      <c r="K8" s="170" t="str">
        <f>+Master!G233</f>
        <v>Maj</v>
      </c>
      <c r="L8" s="170" t="str">
        <f>+Master!G234</f>
        <v>Jun</v>
      </c>
      <c r="M8" s="170" t="str">
        <f>+Master!G235</f>
        <v>Jul</v>
      </c>
      <c r="N8" s="170" t="str">
        <f>+Master!G236</f>
        <v>Avgust</v>
      </c>
      <c r="O8" s="170" t="str">
        <f>+Master!G237</f>
        <v>Septembar</v>
      </c>
      <c r="P8" s="170" t="str">
        <f>+Master!G238</f>
        <v>Oktobar</v>
      </c>
      <c r="Q8" s="170" t="str">
        <f>+Master!G239</f>
        <v>Novembar</v>
      </c>
      <c r="R8" s="170" t="str">
        <f>+Master!G240</f>
        <v>Decembar</v>
      </c>
      <c r="S8" s="487" t="s">
        <v>740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BDP</v>
      </c>
    </row>
    <row r="10" spans="1:20" ht="13.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0.36598853436413792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5" si="3">+SUM(G11:R11)</f>
        <v>805537586.36000001</v>
      </c>
      <c r="T11" s="268">
        <f t="shared" ref="T11:T65" si="4">+S11/$T$7</f>
        <v>0.22221726520275861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2.8901053561379304E-2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1.1628062946206894E-2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4.1015044965517244E-4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0.12610082240551726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4.6899376088275858E-2</v>
      </c>
    </row>
    <row r="17" spans="1:24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6.3137881158620698E-3</v>
      </c>
    </row>
    <row r="18" spans="1:24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1.964011635862069E-3</v>
      </c>
    </row>
    <row r="19" spans="1:24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0.12063139880551726</v>
      </c>
    </row>
    <row r="20" spans="1:24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7.2854962521379324E-2</v>
      </c>
    </row>
    <row r="21" spans="1:24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4.146476919999998E-2</v>
      </c>
    </row>
    <row r="22" spans="1:24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3.3419300744827588E-3</v>
      </c>
    </row>
    <row r="23" spans="1:24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2.9697370096551726E-3</v>
      </c>
    </row>
    <row r="24" spans="1:24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3.6288037765517239E-3</v>
      </c>
    </row>
    <row r="25" spans="1:24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8.1737934620689651E-3</v>
      </c>
    </row>
    <row r="26" spans="1:24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7.3295898703448258E-3</v>
      </c>
    </row>
    <row r="27" spans="1:24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2.187527688275862E-3</v>
      </c>
    </row>
    <row r="28" spans="1:24" ht="13.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1.8201555586206896E-3</v>
      </c>
    </row>
    <row r="29" spans="1:24" ht="13.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0.44633261001379315</v>
      </c>
    </row>
    <row r="30" spans="1:24" ht="13.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0.3834352007531035</v>
      </c>
    </row>
    <row r="31" spans="1:24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0.18473298396137933</v>
      </c>
      <c r="X31" s="359"/>
    </row>
    <row r="32" spans="1:24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0.10542816050206895</v>
      </c>
    </row>
    <row r="33" spans="1:22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4.0663431200000004E-3</v>
      </c>
    </row>
    <row r="34" spans="1:22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7.0636980606896549E-3</v>
      </c>
    </row>
    <row r="35" spans="1:22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1.6121560303448274E-2</v>
      </c>
    </row>
    <row r="36" spans="1:22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5.5491979696551718E-3</v>
      </c>
    </row>
    <row r="37" spans="1:22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2.2566275793103444E-2</v>
      </c>
    </row>
    <row r="38" spans="1:22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2.18448064E-3</v>
      </c>
    </row>
    <row r="39" spans="1:22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5.4133390427586209E-3</v>
      </c>
    </row>
    <row r="40" spans="1:22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8.4818648468965516E-3</v>
      </c>
    </row>
    <row r="41" spans="1:22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7.8580636827586189E-3</v>
      </c>
    </row>
    <row r="42" spans="1:22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0.13435637520000004</v>
      </c>
      <c r="V42" s="303"/>
    </row>
    <row r="43" spans="1:22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1.6782373696551722E-2</v>
      </c>
    </row>
    <row r="44" spans="1:22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4.594570110344828E-3</v>
      </c>
    </row>
    <row r="45" spans="1:22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0.10676935082206901</v>
      </c>
    </row>
    <row r="46" spans="1:22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3.9862068965517234E-3</v>
      </c>
    </row>
    <row r="47" spans="1:22">
      <c r="A47" s="175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2.2238736744827586E-3</v>
      </c>
    </row>
    <row r="48" spans="1:22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3.7579645371034497E-2</v>
      </c>
    </row>
    <row r="49" spans="1:20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6.2897409260689666E-2</v>
      </c>
    </row>
    <row r="50" spans="1:20">
      <c r="A50" s="175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8.2091865379310333E-4</v>
      </c>
    </row>
    <row r="51" spans="1:20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4.5913638703448277E-3</v>
      </c>
    </row>
    <row r="52" spans="1:20" ht="13.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2.1353913696551711E-2</v>
      </c>
    </row>
    <row r="54" spans="1:20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5">
        <f>+SUM(G54:R54)</f>
        <v>0</v>
      </c>
      <c r="T54" s="136">
        <f>+S54/$T$7</f>
        <v>0</v>
      </c>
    </row>
    <row r="55" spans="1:20" ht="13.5" thickBot="1">
      <c r="A55" s="169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-8.0344075649655206E-2</v>
      </c>
    </row>
    <row r="56" spans="1:20" ht="13.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0">
        <f>+G55+G37</f>
        <v>-20027552.260000043</v>
      </c>
      <c r="H56" s="230">
        <f t="shared" ref="H56:R56" si="10">+H55+H37</f>
        <v>-18285703.410000037</v>
      </c>
      <c r="I56" s="230">
        <f t="shared" si="10"/>
        <v>-5928024.6500000469</v>
      </c>
      <c r="J56" s="230">
        <f t="shared" si="10"/>
        <v>-80439935.600000024</v>
      </c>
      <c r="K56" s="230">
        <f t="shared" si="10"/>
        <v>2574415.6200000104</v>
      </c>
      <c r="L56" s="230">
        <f t="shared" si="10"/>
        <v>-85046485.429999992</v>
      </c>
      <c r="M56" s="230">
        <f t="shared" si="10"/>
        <v>4319881.1999999909</v>
      </c>
      <c r="N56" s="230">
        <f t="shared" si="10"/>
        <v>23039367.579999927</v>
      </c>
      <c r="O56" s="230">
        <f t="shared" si="10"/>
        <v>2139906.9799999725</v>
      </c>
      <c r="P56" s="230">
        <f t="shared" si="10"/>
        <v>-3252366.119999941</v>
      </c>
      <c r="Q56" s="230">
        <f t="shared" si="10"/>
        <v>-13277399.860000009</v>
      </c>
      <c r="R56" s="230">
        <f t="shared" si="10"/>
        <v>-15260628.530000001</v>
      </c>
      <c r="S56" s="285">
        <f t="shared" si="3"/>
        <v>-209444524.48000023</v>
      </c>
      <c r="T56" s="286">
        <f t="shared" si="4"/>
        <v>-5.7777799856551786E-2</v>
      </c>
    </row>
    <row r="57" spans="1:20">
      <c r="A57" s="169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218">
        <f t="shared" ref="G57:R57" si="11">+SUM(G58:G59)</f>
        <v>30743987.649999999</v>
      </c>
      <c r="H57" s="218">
        <f t="shared" si="11"/>
        <v>41933056.25</v>
      </c>
      <c r="I57" s="218">
        <f t="shared" si="11"/>
        <v>60545576.710000008</v>
      </c>
      <c r="J57" s="218">
        <f t="shared" si="11"/>
        <v>39716380.309999995</v>
      </c>
      <c r="K57" s="218">
        <f t="shared" si="11"/>
        <v>5165036.2</v>
      </c>
      <c r="L57" s="218">
        <f t="shared" si="11"/>
        <v>34898791.960000001</v>
      </c>
      <c r="M57" s="218">
        <f t="shared" si="11"/>
        <v>65561192.199999996</v>
      </c>
      <c r="N57" s="218">
        <f t="shared" si="11"/>
        <v>41358707.579999998</v>
      </c>
      <c r="O57" s="218">
        <f t="shared" si="11"/>
        <v>179757421.46000001</v>
      </c>
      <c r="P57" s="218">
        <f t="shared" si="11"/>
        <v>5631090.1799999997</v>
      </c>
      <c r="Q57" s="218">
        <f t="shared" si="11"/>
        <v>5375527.7300000004</v>
      </c>
      <c r="R57" s="218">
        <f t="shared" si="11"/>
        <v>31056200.529999994</v>
      </c>
      <c r="S57" s="287">
        <f t="shared" si="3"/>
        <v>541742968.76000011</v>
      </c>
      <c r="T57" s="288">
        <f t="shared" si="4"/>
        <v>0.1494463362096552</v>
      </c>
    </row>
    <row r="58" spans="1:20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6">
        <f>+INDEX(DataEx!$1:$1048576,MATCH('2015'!$A58,DataEx!$D:$D,0),MATCH('2015'!G$6,DataEx!$7:$7,0))</f>
        <v>14310568.83</v>
      </c>
      <c r="H58" s="236">
        <f>+INDEX(DataEx!$1:$1048576,MATCH('2015'!$A58,DataEx!$D:$D,0),MATCH('2015'!H$6,DataEx!$7:$7,0))</f>
        <v>40814379.619999997</v>
      </c>
      <c r="I58" s="236">
        <f>+INDEX(DataEx!$1:$1048576,MATCH('2015'!$A58,DataEx!$D:$D,0),MATCH('2015'!I$6,DataEx!$7:$7,0))</f>
        <v>48535287.670000002</v>
      </c>
      <c r="J58" s="236">
        <f>+INDEX(DataEx!$1:$1048576,MATCH('2015'!$A58,DataEx!$D:$D,0),MATCH('2015'!J$6,DataEx!$7:$7,0))</f>
        <v>4348886.3999999994</v>
      </c>
      <c r="K58" s="236">
        <f>+INDEX(DataEx!$1:$1048576,MATCH('2015'!$A58,DataEx!$D:$D,0),MATCH('2015'!K$6,DataEx!$7:$7,0))</f>
        <v>97613.569999999992</v>
      </c>
      <c r="L58" s="236">
        <f>+INDEX(DataEx!$1:$1048576,MATCH('2015'!$A58,DataEx!$D:$D,0),MATCH('2015'!L$6,DataEx!$7:$7,0))</f>
        <v>13454297.34</v>
      </c>
      <c r="M58" s="236">
        <f>+INDEX(DataEx!$1:$1048576,MATCH('2015'!$A58,DataEx!$D:$D,0),MATCH('2015'!M$6,DataEx!$7:$7,0))</f>
        <v>37597928.459999993</v>
      </c>
      <c r="N58" s="236">
        <f>+INDEX(DataEx!$1:$1048576,MATCH('2015'!$A58,DataEx!$D:$D,0),MATCH('2015'!N$6,DataEx!$7:$7,0))</f>
        <v>40099266.369999997</v>
      </c>
      <c r="O58" s="236">
        <f>+INDEX(DataEx!$1:$1048576,MATCH('2015'!$A58,DataEx!$D:$D,0),MATCH('2015'!O$6,DataEx!$7:$7,0))</f>
        <v>12696185.689999999</v>
      </c>
      <c r="P58" s="236">
        <f>+INDEX(DataEx!$1:$1048576,MATCH('2015'!$A58,DataEx!$D:$D,0),MATCH('2015'!P$6,DataEx!$7:$7,0))</f>
        <v>100557.85</v>
      </c>
      <c r="Q58" s="236">
        <f>+INDEX(DataEx!$1:$1048576,MATCH('2015'!$A58,DataEx!$D:$D,0),MATCH('2015'!Q$6,DataEx!$7:$7,0))</f>
        <v>100930.69</v>
      </c>
      <c r="R58" s="236">
        <f>+INDEX(DataEx!$1:$1048576,MATCH('2015'!$A58,DataEx!$D:$D,0),MATCH('2015'!R$6,DataEx!$7:$7,0))</f>
        <v>9553749.629999999</v>
      </c>
      <c r="S58" s="289">
        <f t="shared" si="3"/>
        <v>221709652.11999997</v>
      </c>
      <c r="T58" s="290">
        <f t="shared" si="4"/>
        <v>6.1161283343448267E-2</v>
      </c>
    </row>
    <row r="59" spans="1:20" ht="13.5" thickBot="1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6">
        <f>+INDEX(DataEx!$1:$1048576,MATCH('2015'!$A59,DataEx!$D:$D,0),MATCH('2015'!G$6,DataEx!$7:$7,0))</f>
        <v>16433418.82</v>
      </c>
      <c r="H59" s="236">
        <f>+INDEX(DataEx!$1:$1048576,MATCH('2015'!$A59,DataEx!$D:$D,0),MATCH('2015'!H$6,DataEx!$7:$7,0))</f>
        <v>1118676.6299999999</v>
      </c>
      <c r="I59" s="236">
        <f>+INDEX(DataEx!$1:$1048576,MATCH('2015'!$A59,DataEx!$D:$D,0),MATCH('2015'!I$6,DataEx!$7:$7,0))</f>
        <v>12010289.040000005</v>
      </c>
      <c r="J59" s="236">
        <f>+INDEX(DataEx!$1:$1048576,MATCH('2015'!$A59,DataEx!$D:$D,0),MATCH('2015'!J$6,DataEx!$7:$7,0))</f>
        <v>35367493.909999996</v>
      </c>
      <c r="K59" s="236">
        <f>+INDEX(DataEx!$1:$1048576,MATCH('2015'!$A59,DataEx!$D:$D,0),MATCH('2015'!K$6,DataEx!$7:$7,0))</f>
        <v>5067422.63</v>
      </c>
      <c r="L59" s="236">
        <f>+INDEX(DataEx!$1:$1048576,MATCH('2015'!$A59,DataEx!$D:$D,0),MATCH('2015'!L$6,DataEx!$7:$7,0))</f>
        <v>21444494.620000001</v>
      </c>
      <c r="M59" s="236">
        <f>+INDEX(DataEx!$1:$1048576,MATCH('2015'!$A59,DataEx!$D:$D,0),MATCH('2015'!M$6,DataEx!$7:$7,0))</f>
        <v>27963263.740000002</v>
      </c>
      <c r="N59" s="236">
        <f>+INDEX(DataEx!$1:$1048576,MATCH('2015'!$A59,DataEx!$D:$D,0),MATCH('2015'!N$6,DataEx!$7:$7,0))</f>
        <v>1259441.21</v>
      </c>
      <c r="O59" s="236">
        <f>+INDEX(DataEx!$1:$1048576,MATCH('2015'!$A59,DataEx!$D:$D,0),MATCH('2015'!O$6,DataEx!$7:$7,0))</f>
        <v>167061235.77000001</v>
      </c>
      <c r="P59" s="236">
        <f>+INDEX(DataEx!$1:$1048576,MATCH('2015'!$A59,DataEx!$D:$D,0),MATCH('2015'!P$6,DataEx!$7:$7,0))</f>
        <v>5530532.3300000001</v>
      </c>
      <c r="Q59" s="236">
        <f>+INDEX(DataEx!$1:$1048576,MATCH('2015'!$A59,DataEx!$D:$D,0),MATCH('2015'!Q$6,DataEx!$7:$7,0))</f>
        <v>5274597.04</v>
      </c>
      <c r="R59" s="236">
        <f>+INDEX(DataEx!$1:$1048576,MATCH('2015'!$A59,DataEx!$D:$D,0),MATCH('2015'!R$6,DataEx!$7:$7,0))</f>
        <v>21502450.899999995</v>
      </c>
      <c r="S59" s="289">
        <f t="shared" si="3"/>
        <v>320033316.63999999</v>
      </c>
      <c r="T59" s="290">
        <f t="shared" si="4"/>
        <v>8.8285052866206887E-2</v>
      </c>
    </row>
    <row r="60" spans="1:20" ht="13.5" thickBot="1">
      <c r="A60" s="169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2">
        <f t="shared" ref="G60:R60" si="12">+G55-G57</f>
        <v>-53002990.920000039</v>
      </c>
      <c r="H60" s="242">
        <f t="shared" si="12"/>
        <v>-63108967.540000036</v>
      </c>
      <c r="I60" s="242">
        <f t="shared" si="12"/>
        <v>-75415755.660000056</v>
      </c>
      <c r="J60" s="242">
        <f t="shared" si="12"/>
        <v>-139230168.43000001</v>
      </c>
      <c r="K60" s="242">
        <f t="shared" si="12"/>
        <v>-18566814.929999989</v>
      </c>
      <c r="L60" s="242">
        <f t="shared" si="12"/>
        <v>-124315176.85999998</v>
      </c>
      <c r="M60" s="242">
        <f t="shared" si="12"/>
        <v>-67362267.689999998</v>
      </c>
      <c r="N60" s="242">
        <f t="shared" si="12"/>
        <v>-19302999.160000071</v>
      </c>
      <c r="O60" s="242">
        <f t="shared" si="12"/>
        <v>-193760508.51000005</v>
      </c>
      <c r="P60" s="242">
        <f t="shared" si="12"/>
        <v>-9371857.5699999407</v>
      </c>
      <c r="Q60" s="242">
        <f t="shared" si="12"/>
        <v>-19115454.940000009</v>
      </c>
      <c r="R60" s="242">
        <f t="shared" si="12"/>
        <v>-50437280.779999994</v>
      </c>
      <c r="S60" s="291">
        <f t="shared" si="3"/>
        <v>-832990242.99000025</v>
      </c>
      <c r="T60" s="292">
        <f t="shared" si="4"/>
        <v>-0.2297904118593104</v>
      </c>
    </row>
    <row r="61" spans="1:20" ht="13.5" thickBot="1">
      <c r="A61" s="169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6">
        <f>+SUM(G62:G65)</f>
        <v>53002990.920000039</v>
      </c>
      <c r="H61" s="176">
        <f t="shared" ref="H61:R61" si="13">+SUM(H62:H65)</f>
        <v>63108967.540000036</v>
      </c>
      <c r="I61" s="176">
        <f t="shared" si="13"/>
        <v>75415755.660000026</v>
      </c>
      <c r="J61" s="176">
        <f t="shared" si="13"/>
        <v>139230168.43000001</v>
      </c>
      <c r="K61" s="176">
        <f t="shared" si="13"/>
        <v>18566814.929999989</v>
      </c>
      <c r="L61" s="176">
        <f t="shared" si="13"/>
        <v>124315176.85999998</v>
      </c>
      <c r="M61" s="176">
        <f t="shared" si="13"/>
        <v>67362267.689999998</v>
      </c>
      <c r="N61" s="176">
        <f t="shared" si="13"/>
        <v>19302999.160000071</v>
      </c>
      <c r="O61" s="176">
        <f t="shared" si="13"/>
        <v>193760508.51000005</v>
      </c>
      <c r="P61" s="176">
        <f t="shared" si="13"/>
        <v>9371857.5699999407</v>
      </c>
      <c r="Q61" s="176">
        <f t="shared" si="13"/>
        <v>19115454.940000009</v>
      </c>
      <c r="R61" s="176">
        <f t="shared" si="13"/>
        <v>50437280.779999994</v>
      </c>
      <c r="S61" s="293">
        <f t="shared" si="3"/>
        <v>832990242.99000001</v>
      </c>
      <c r="T61" s="294">
        <f t="shared" si="4"/>
        <v>0.22979041185931035</v>
      </c>
    </row>
    <row r="62" spans="1:20">
      <c r="A62" s="169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6">
        <f>+INDEX(DataEx!$1:$1048576,MATCH('2015'!$A62,DataEx!$D:$D,0),MATCH('2015'!G$6,DataEx!$7:$7,0))</f>
        <v>34828188.379999995</v>
      </c>
      <c r="H62" s="236">
        <f>+INDEX(DataEx!$1:$1048576,MATCH('2015'!$A62,DataEx!$D:$D,0),MATCH('2015'!H$6,DataEx!$7:$7,0))</f>
        <v>41475711.619999997</v>
      </c>
      <c r="I62" s="236">
        <f>+INDEX(DataEx!$1:$1048576,MATCH('2015'!$A62,DataEx!$D:$D,0),MATCH('2015'!I$6,DataEx!$7:$7,0))</f>
        <v>21230003.140000001</v>
      </c>
      <c r="J62" s="236">
        <f>+INDEX(DataEx!$1:$1048576,MATCH('2015'!$A62,DataEx!$D:$D,0),MATCH('2015'!J$6,DataEx!$7:$7,0))</f>
        <v>0</v>
      </c>
      <c r="K62" s="236">
        <f>+INDEX(DataEx!$1:$1048576,MATCH('2015'!$A62,DataEx!$D:$D,0),MATCH('2015'!K$6,DataEx!$7:$7,0))</f>
        <v>0</v>
      </c>
      <c r="L62" s="236">
        <f>+INDEX(DataEx!$1:$1048576,MATCH('2015'!$A62,DataEx!$D:$D,0),MATCH('2015'!L$6,DataEx!$7:$7,0))</f>
        <v>0</v>
      </c>
      <c r="M62" s="236">
        <f>+INDEX(DataEx!$1:$1048576,MATCH('2015'!$A62,DataEx!$D:$D,0),MATCH('2015'!M$6,DataEx!$7:$7,0))</f>
        <v>15234209.67</v>
      </c>
      <c r="N62" s="236">
        <f>+INDEX(DataEx!$1:$1048576,MATCH('2015'!$A62,DataEx!$D:$D,0),MATCH('2015'!N$6,DataEx!$7:$7,0))</f>
        <v>40000000</v>
      </c>
      <c r="O62" s="236">
        <f>+INDEX(DataEx!$1:$1048576,MATCH('2015'!$A62,DataEx!$D:$D,0),MATCH('2015'!O$6,DataEx!$7:$7,0))</f>
        <v>21230000</v>
      </c>
      <c r="P62" s="236">
        <f>+INDEX(DataEx!$1:$1048576,MATCH('2015'!$A62,DataEx!$D:$D,0),MATCH('2015'!P$6,DataEx!$7:$7,0))</f>
        <v>1250090.33</v>
      </c>
      <c r="Q62" s="236">
        <f>+INDEX(DataEx!$1:$1048576,MATCH('2015'!$A62,DataEx!$D:$D,0),MATCH('2015'!Q$6,DataEx!$7:$7,0))</f>
        <v>0</v>
      </c>
      <c r="R62" s="236">
        <f>+INDEX(DataEx!$1:$1048576,MATCH('2015'!$A62,DataEx!$D:$D,0),MATCH('2015'!R$6,DataEx!$7:$7,0))</f>
        <v>0</v>
      </c>
      <c r="S62" s="289">
        <f t="shared" si="3"/>
        <v>175248203.14000002</v>
      </c>
      <c r="T62" s="290">
        <f t="shared" si="4"/>
        <v>4.8344331900689659E-2</v>
      </c>
    </row>
    <row r="63" spans="1:20">
      <c r="A63" s="169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6">
        <f>+INDEX(DataEx!$1:$1048576,MATCH('2015'!$A63,DataEx!$D:$D,0),MATCH('2015'!G$6,DataEx!$7:$7,0))</f>
        <v>709714.84</v>
      </c>
      <c r="H63" s="236">
        <f>+INDEX(DataEx!$1:$1048576,MATCH('2015'!$A63,DataEx!$D:$D,0),MATCH('2015'!H$6,DataEx!$7:$7,0))</f>
        <v>329970.52</v>
      </c>
      <c r="I63" s="236">
        <f>+INDEX(DataEx!$1:$1048576,MATCH('2015'!$A63,DataEx!$D:$D,0),MATCH('2015'!I$6,DataEx!$7:$7,0))</f>
        <v>500431461.46999997</v>
      </c>
      <c r="J63" s="236">
        <f>+INDEX(DataEx!$1:$1048576,MATCH('2015'!$A63,DataEx!$D:$D,0),MATCH('2015'!J$6,DataEx!$7:$7,0))</f>
        <v>70720087.209999979</v>
      </c>
      <c r="K63" s="236">
        <f>+INDEX(DataEx!$1:$1048576,MATCH('2015'!$A63,DataEx!$D:$D,0),MATCH('2015'!K$6,DataEx!$7:$7,0))</f>
        <v>844590.42999999993</v>
      </c>
      <c r="L63" s="236">
        <f>+INDEX(DataEx!$1:$1048576,MATCH('2015'!$A63,DataEx!$D:$D,0),MATCH('2015'!L$6,DataEx!$7:$7,0))</f>
        <v>69787474.810000002</v>
      </c>
      <c r="M63" s="236">
        <f>+INDEX(DataEx!$1:$1048576,MATCH('2015'!$A63,DataEx!$D:$D,0),MATCH('2015'!M$6,DataEx!$7:$7,0))</f>
        <v>4058101.87</v>
      </c>
      <c r="N63" s="236">
        <f>+INDEX(DataEx!$1:$1048576,MATCH('2015'!$A63,DataEx!$D:$D,0),MATCH('2015'!N$6,DataEx!$7:$7,0))</f>
        <v>857073.49999999988</v>
      </c>
      <c r="O63" s="236">
        <f>+INDEX(DataEx!$1:$1048576,MATCH('2015'!$A63,DataEx!$D:$D,0),MATCH('2015'!O$6,DataEx!$7:$7,0))</f>
        <v>613054.99</v>
      </c>
      <c r="P63" s="236">
        <f>+INDEX(DataEx!$1:$1048576,MATCH('2015'!$A63,DataEx!$D:$D,0),MATCH('2015'!P$6,DataEx!$7:$7,0))</f>
        <v>5090658.8100000005</v>
      </c>
      <c r="Q63" s="236">
        <f>+INDEX(DataEx!$1:$1048576,MATCH('2015'!$A63,DataEx!$D:$D,0),MATCH('2015'!Q$6,DataEx!$7:$7,0))</f>
        <v>1224576.83</v>
      </c>
      <c r="R63" s="236">
        <f>+INDEX(DataEx!$1:$1048576,MATCH('2015'!$A63,DataEx!$D:$D,0),MATCH('2015'!R$6,DataEx!$7:$7,0))</f>
        <v>2875354.7999999993</v>
      </c>
      <c r="S63" s="289">
        <f t="shared" si="3"/>
        <v>657542120.07999992</v>
      </c>
      <c r="T63" s="290">
        <f t="shared" si="4"/>
        <v>0.18139092967724135</v>
      </c>
    </row>
    <row r="64" spans="1:20">
      <c r="A64" s="169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6">
        <f>+INDEX(DataEx!$1:$1048576,MATCH('2015'!$A64,DataEx!$D:$D,0),MATCH('2015'!G$6,DataEx!$7:$7,0))</f>
        <v>78698.81</v>
      </c>
      <c r="H64" s="236">
        <f>+INDEX(DataEx!$1:$1048576,MATCH('2015'!$A64,DataEx!$D:$D,0),MATCH('2015'!H$6,DataEx!$7:$7,0))</f>
        <v>172824.69</v>
      </c>
      <c r="I64" s="236">
        <f>+INDEX(DataEx!$1:$1048576,MATCH('2015'!$A64,DataEx!$D:$D,0),MATCH('2015'!I$6,DataEx!$7:$7,0))</f>
        <v>1025099.47</v>
      </c>
      <c r="J64" s="236">
        <f>+INDEX(DataEx!$1:$1048576,MATCH('2015'!$A64,DataEx!$D:$D,0),MATCH('2015'!J$6,DataEx!$7:$7,0))</f>
        <v>23946.27</v>
      </c>
      <c r="K64" s="236">
        <f>+INDEX(DataEx!$1:$1048576,MATCH('2015'!$A64,DataEx!$D:$D,0),MATCH('2015'!K$6,DataEx!$7:$7,0))</f>
        <v>2673826.0900000003</v>
      </c>
      <c r="L64" s="236">
        <f>+INDEX(DataEx!$1:$1048576,MATCH('2015'!$A64,DataEx!$D:$D,0),MATCH('2015'!L$6,DataEx!$7:$7,0))</f>
        <v>70019.59</v>
      </c>
      <c r="M64" s="236">
        <f>+INDEX(DataEx!$1:$1048576,MATCH('2015'!$A64,DataEx!$D:$D,0),MATCH('2015'!M$6,DataEx!$7:$7,0))</f>
        <v>829842.76</v>
      </c>
      <c r="N64" s="236">
        <f>+INDEX(DataEx!$1:$1048576,MATCH('2015'!$A64,DataEx!$D:$D,0),MATCH('2015'!N$6,DataEx!$7:$7,0))</f>
        <v>1748791.8</v>
      </c>
      <c r="O64" s="236">
        <f>+INDEX(DataEx!$1:$1048576,MATCH('2015'!$A64,DataEx!$D:$D,0),MATCH('2015'!O$6,DataEx!$7:$7,0))</f>
        <v>24096.58</v>
      </c>
      <c r="P64" s="236">
        <f>+INDEX(DataEx!$1:$1048576,MATCH('2015'!$A64,DataEx!$D:$D,0),MATCH('2015'!P$6,DataEx!$7:$7,0))</f>
        <v>156908.39000000001</v>
      </c>
      <c r="Q64" s="236">
        <f>+INDEX(DataEx!$1:$1048576,MATCH('2015'!$A64,DataEx!$D:$D,0),MATCH('2015'!Q$6,DataEx!$7:$7,0))</f>
        <v>109348.38</v>
      </c>
      <c r="R64" s="236">
        <f>+INDEX(DataEx!$1:$1048576,MATCH('2015'!$A64,DataEx!$D:$D,0),MATCH('2015'!R$6,DataEx!$7:$7,0))</f>
        <v>929741.52</v>
      </c>
      <c r="S64" s="289">
        <f t="shared" si="3"/>
        <v>7843144.3499999996</v>
      </c>
      <c r="T64" s="290">
        <f t="shared" si="4"/>
        <v>2.1636260275862068E-3</v>
      </c>
    </row>
    <row r="65" spans="1:20" ht="13.5" thickBot="1">
      <c r="A65" s="169">
        <v>1004</v>
      </c>
      <c r="B65" s="248" t="str">
        <f>+VLOOKUP($A65,Master!$D$25:$G$223,4,FALSE)</f>
        <v>Povećanje / smanjenje depozita</v>
      </c>
      <c r="C65" s="249"/>
      <c r="D65" s="249"/>
      <c r="E65" s="249"/>
      <c r="F65" s="249"/>
      <c r="G65" s="250">
        <f>-G60-SUM(G62:G64)</f>
        <v>17386388.890000038</v>
      </c>
      <c r="H65" s="250">
        <f t="shared" ref="H65:R65" si="14">-H60-SUM(H62:H64)</f>
        <v>21130460.710000038</v>
      </c>
      <c r="I65" s="250">
        <f t="shared" si="14"/>
        <v>-447270808.41999996</v>
      </c>
      <c r="J65" s="250">
        <f t="shared" si="14"/>
        <v>68486134.950000033</v>
      </c>
      <c r="K65" s="250">
        <f t="shared" si="14"/>
        <v>15048398.409999989</v>
      </c>
      <c r="L65" s="250">
        <f t="shared" si="14"/>
        <v>54457682.459999979</v>
      </c>
      <c r="M65" s="250">
        <f t="shared" si="14"/>
        <v>47240113.390000001</v>
      </c>
      <c r="N65" s="250">
        <f t="shared" si="14"/>
        <v>-23302866.139999926</v>
      </c>
      <c r="O65" s="250">
        <f t="shared" si="14"/>
        <v>171893356.94000006</v>
      </c>
      <c r="P65" s="250">
        <f t="shared" si="14"/>
        <v>2874200.0399999404</v>
      </c>
      <c r="Q65" s="250">
        <f t="shared" si="14"/>
        <v>17781529.730000008</v>
      </c>
      <c r="R65" s="250">
        <f t="shared" si="14"/>
        <v>46632184.459999993</v>
      </c>
      <c r="S65" s="295">
        <f t="shared" si="3"/>
        <v>-7643224.5799998194</v>
      </c>
      <c r="T65" s="296">
        <f t="shared" si="4"/>
        <v>-2.1084757462068466E-3</v>
      </c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2015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5" t="str">
        <f>+S7</f>
        <v>BDP</v>
      </c>
      <c r="T101" s="116">
        <f>+T7</f>
        <v>3625000000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1">
        <f>+SUM(G104:R104)</f>
        <v>1329179261.6533833</v>
      </c>
      <c r="T104" s="122">
        <f>+S104/$T$7</f>
        <v>0.36667014114576091</v>
      </c>
      <c r="U104" s="303"/>
    </row>
    <row r="105" spans="1:21">
      <c r="A105" s="137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3">
        <f t="shared" ref="S105:S158" si="20">+SUM(G105:R105)</f>
        <v>832672619.56934154</v>
      </c>
      <c r="T105" s="124">
        <f t="shared" ref="T105:T158" si="21">+S105/$T$7</f>
        <v>0.2297027916053356</v>
      </c>
      <c r="U105" s="302"/>
    </row>
    <row r="106" spans="1:21">
      <c r="A106" s="137" t="str">
        <f t="shared" si="17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+INDEX(DataEx!$1:$1048576,MATCH('2015'!$A106,DataEx!$D:$D,0),MATCH('2015'!G$100,DataEx!$216:$216,0))</f>
        <v>3573995.3554284605</v>
      </c>
      <c r="H106" s="91">
        <f>+INDEX(DataEx!$1:$1048576,MATCH('2015'!$A106,DataEx!$D:$D,0),MATCH('2015'!H$100,DataEx!$216:$216,0))</f>
        <v>6873843.9545441465</v>
      </c>
      <c r="I106" s="91">
        <f>+INDEX(DataEx!$1:$1048576,MATCH('2015'!$A106,DataEx!$D:$D,0),MATCH('2015'!I$100,DataEx!$216:$216,0))</f>
        <v>8628957.8256391361</v>
      </c>
      <c r="J106" s="91">
        <f>+INDEX(DataEx!$1:$1048576,MATCH('2015'!$A106,DataEx!$D:$D,0),MATCH('2015'!J$100,DataEx!$216:$216,0))</f>
        <v>8483434.6457901541</v>
      </c>
      <c r="K106" s="91">
        <f>+INDEX(DataEx!$1:$1048576,MATCH('2015'!$A106,DataEx!$D:$D,0),MATCH('2015'!K$100,DataEx!$216:$216,0))</f>
        <v>9434922.5878236145</v>
      </c>
      <c r="L106" s="91">
        <f>+INDEX(DataEx!$1:$1048576,MATCH('2015'!$A106,DataEx!$D:$D,0),MATCH('2015'!L$100,DataEx!$216:$216,0))</f>
        <v>8991934.6560795475</v>
      </c>
      <c r="M106" s="91">
        <f>+INDEX(DataEx!$1:$1048576,MATCH('2015'!$A106,DataEx!$D:$D,0),MATCH('2015'!M$100,DataEx!$216:$216,0))</f>
        <v>9046366.0797531549</v>
      </c>
      <c r="N106" s="91">
        <f>+INDEX(DataEx!$1:$1048576,MATCH('2015'!$A106,DataEx!$D:$D,0),MATCH('2015'!N$100,DataEx!$216:$216,0))</f>
        <v>9922440.3850700893</v>
      </c>
      <c r="O106" s="91">
        <f>+INDEX(DataEx!$1:$1048576,MATCH('2015'!$A106,DataEx!$D:$D,0),MATCH('2015'!O$100,DataEx!$216:$216,0))</f>
        <v>9246654.8577025365</v>
      </c>
      <c r="P106" s="91">
        <f>+INDEX(DataEx!$1:$1048576,MATCH('2015'!$A106,DataEx!$D:$D,0),MATCH('2015'!P$100,DataEx!$216:$216,0))</f>
        <v>8428028.1672596131</v>
      </c>
      <c r="Q106" s="91">
        <f>+INDEX(DataEx!$1:$1048576,MATCH('2015'!$A106,DataEx!$D:$D,0),MATCH('2015'!Q$100,DataEx!$216:$216,0))</f>
        <v>8212187.9289413234</v>
      </c>
      <c r="R106" s="91">
        <f>+INDEX(DataEx!$1:$1048576,MATCH('2015'!$A106,DataEx!$D:$D,0),MATCH('2015'!R$100,DataEx!$216:$216,0))</f>
        <v>17086876.381307587</v>
      </c>
      <c r="S106" s="125">
        <f t="shared" si="20"/>
        <v>107929642.82533936</v>
      </c>
      <c r="T106" s="126">
        <f t="shared" si="21"/>
        <v>2.9773694572507409E-2</v>
      </c>
    </row>
    <row r="107" spans="1:21">
      <c r="A107" s="137" t="str">
        <f t="shared" si="17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+INDEX(DataEx!$1:$1048576,MATCH('2015'!$A107,DataEx!$D:$D,0),MATCH('2015'!G$100,DataEx!$216:$216,0))</f>
        <v>932399.70044660708</v>
      </c>
      <c r="H107" s="91">
        <f>+INDEX(DataEx!$1:$1048576,MATCH('2015'!$A107,DataEx!$D:$D,0),MATCH('2015'!H$100,DataEx!$216:$216,0))</f>
        <v>960648.1117244123</v>
      </c>
      <c r="I107" s="91">
        <f>+INDEX(DataEx!$1:$1048576,MATCH('2015'!$A107,DataEx!$D:$D,0),MATCH('2015'!I$100,DataEx!$216:$216,0))</f>
        <v>11938576.266732469</v>
      </c>
      <c r="J107" s="91">
        <f>+INDEX(DataEx!$1:$1048576,MATCH('2015'!$A107,DataEx!$D:$D,0),MATCH('2015'!J$100,DataEx!$216:$216,0))</f>
        <v>12301967.31174976</v>
      </c>
      <c r="K107" s="91">
        <f>+INDEX(DataEx!$1:$1048576,MATCH('2015'!$A107,DataEx!$D:$D,0),MATCH('2015'!K$100,DataEx!$216:$216,0))</f>
        <v>2674098.0198717569</v>
      </c>
      <c r="L107" s="91">
        <f>+INDEX(DataEx!$1:$1048576,MATCH('2015'!$A107,DataEx!$D:$D,0),MATCH('2015'!L$100,DataEx!$216:$216,0))</f>
        <v>3180140.852284038</v>
      </c>
      <c r="M107" s="91">
        <f>+INDEX(DataEx!$1:$1048576,MATCH('2015'!$A107,DataEx!$D:$D,0),MATCH('2015'!M$100,DataEx!$216:$216,0))</f>
        <v>5395660.7985904692</v>
      </c>
      <c r="N107" s="91">
        <f>+INDEX(DataEx!$1:$1048576,MATCH('2015'!$A107,DataEx!$D:$D,0),MATCH('2015'!N$100,DataEx!$216:$216,0))</f>
        <v>2863130.1493314239</v>
      </c>
      <c r="O107" s="91">
        <f>+INDEX(DataEx!$1:$1048576,MATCH('2015'!$A107,DataEx!$D:$D,0),MATCH('2015'!O$100,DataEx!$216:$216,0))</f>
        <v>2353497.2340047848</v>
      </c>
      <c r="P107" s="91">
        <f>+INDEX(DataEx!$1:$1048576,MATCH('2015'!$A107,DataEx!$D:$D,0),MATCH('2015'!P$100,DataEx!$216:$216,0))</f>
        <v>1665538.328390266</v>
      </c>
      <c r="Q107" s="91">
        <f>+INDEX(DataEx!$1:$1048576,MATCH('2015'!$A107,DataEx!$D:$D,0),MATCH('2015'!Q$100,DataEx!$216:$216,0))</f>
        <v>862427.72685132292</v>
      </c>
      <c r="R107" s="91">
        <f>+INDEX(DataEx!$1:$1048576,MATCH('2015'!$A107,DataEx!$D:$D,0),MATCH('2015'!R$100,DataEx!$216:$216,0))</f>
        <v>1507473.9400802045</v>
      </c>
      <c r="S107" s="125">
        <f t="shared" si="20"/>
        <v>46635558.440057509</v>
      </c>
      <c r="T107" s="126">
        <f t="shared" si="21"/>
        <v>1.2864981638636554E-2</v>
      </c>
    </row>
    <row r="108" spans="1:21">
      <c r="A108" s="137" t="str">
        <f t="shared" si="17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+INDEX(DataEx!$1:$1048576,MATCH('2015'!$A108,DataEx!$D:$D,0),MATCH('2015'!G$100,DataEx!$216:$216,0))</f>
        <v>106071.79527146854</v>
      </c>
      <c r="H108" s="91">
        <f>+INDEX(DataEx!$1:$1048576,MATCH('2015'!$A108,DataEx!$D:$D,0),MATCH('2015'!H$100,DataEx!$216:$216,0))</f>
        <v>113039.14761772362</v>
      </c>
      <c r="I108" s="91">
        <f>+INDEX(DataEx!$1:$1048576,MATCH('2015'!$A108,DataEx!$D:$D,0),MATCH('2015'!I$100,DataEx!$216:$216,0))</f>
        <v>152502.18590714125</v>
      </c>
      <c r="J108" s="91">
        <f>+INDEX(DataEx!$1:$1048576,MATCH('2015'!$A108,DataEx!$D:$D,0),MATCH('2015'!J$100,DataEx!$216:$216,0))</f>
        <v>145745.80915293895</v>
      </c>
      <c r="K108" s="91">
        <f>+INDEX(DataEx!$1:$1048576,MATCH('2015'!$A108,DataEx!$D:$D,0),MATCH('2015'!K$100,DataEx!$216:$216,0))</f>
        <v>101292.23668851655</v>
      </c>
      <c r="L108" s="91">
        <f>+INDEX(DataEx!$1:$1048576,MATCH('2015'!$A108,DataEx!$D:$D,0),MATCH('2015'!L$100,DataEx!$216:$216,0))</f>
        <v>111819.65140138169</v>
      </c>
      <c r="M108" s="91">
        <f>+INDEX(DataEx!$1:$1048576,MATCH('2015'!$A108,DataEx!$D:$D,0),MATCH('2015'!M$100,DataEx!$216:$216,0))</f>
        <v>140720.54956844845</v>
      </c>
      <c r="N108" s="91">
        <f>+INDEX(DataEx!$1:$1048576,MATCH('2015'!$A108,DataEx!$D:$D,0),MATCH('2015'!N$100,DataEx!$216:$216,0))</f>
        <v>137458.83152417373</v>
      </c>
      <c r="O108" s="91">
        <f>+INDEX(DataEx!$1:$1048576,MATCH('2015'!$A108,DataEx!$D:$D,0),MATCH('2015'!O$100,DataEx!$216:$216,0))</f>
        <v>121512.32009326115</v>
      </c>
      <c r="P108" s="91">
        <f>+INDEX(DataEx!$1:$1048576,MATCH('2015'!$A108,DataEx!$D:$D,0),MATCH('2015'!P$100,DataEx!$216:$216,0))</f>
        <v>144611.55666919687</v>
      </c>
      <c r="Q108" s="91">
        <f>+INDEX(DataEx!$1:$1048576,MATCH('2015'!$A108,DataEx!$D:$D,0),MATCH('2015'!Q$100,DataEx!$216:$216,0))</f>
        <v>114784.79933118433</v>
      </c>
      <c r="R108" s="91">
        <f>+INDEX(DataEx!$1:$1048576,MATCH('2015'!$A108,DataEx!$D:$D,0),MATCH('2015'!R$100,DataEx!$216:$216,0))</f>
        <v>165968.97191897244</v>
      </c>
      <c r="S108" s="125">
        <f t="shared" si="20"/>
        <v>1555527.8551444074</v>
      </c>
      <c r="T108" s="126">
        <f t="shared" si="21"/>
        <v>4.2911113245362964E-4</v>
      </c>
    </row>
    <row r="109" spans="1:21">
      <c r="A109" s="137" t="str">
        <f t="shared" si="17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+INDEX(DataEx!$1:$1048576,MATCH('2015'!$A109,DataEx!$D:$D,0),MATCH('2015'!G$100,DataEx!$216:$216,0))</f>
        <v>30830393.947525311</v>
      </c>
      <c r="H109" s="91">
        <f>+INDEX(DataEx!$1:$1048576,MATCH('2015'!$A109,DataEx!$D:$D,0),MATCH('2015'!H$100,DataEx!$216:$216,0))</f>
        <v>29918550.540655378</v>
      </c>
      <c r="I109" s="91">
        <f>+INDEX(DataEx!$1:$1048576,MATCH('2015'!$A109,DataEx!$D:$D,0),MATCH('2015'!I$100,DataEx!$216:$216,0))</f>
        <v>35625079.391823784</v>
      </c>
      <c r="J109" s="91">
        <f>+INDEX(DataEx!$1:$1048576,MATCH('2015'!$A109,DataEx!$D:$D,0),MATCH('2015'!J$100,DataEx!$216:$216,0))</f>
        <v>39690661.471009046</v>
      </c>
      <c r="K109" s="91">
        <f>+INDEX(DataEx!$1:$1048576,MATCH('2015'!$A109,DataEx!$D:$D,0),MATCH('2015'!K$100,DataEx!$216:$216,0))</f>
        <v>34500290.720307246</v>
      </c>
      <c r="L109" s="91">
        <f>+INDEX(DataEx!$1:$1048576,MATCH('2015'!$A109,DataEx!$D:$D,0),MATCH('2015'!L$100,DataEx!$216:$216,0))</f>
        <v>39877523.160066463</v>
      </c>
      <c r="M109" s="91">
        <f>+INDEX(DataEx!$1:$1048576,MATCH('2015'!$A109,DataEx!$D:$D,0),MATCH('2015'!M$100,DataEx!$216:$216,0))</f>
        <v>48690601.648068875</v>
      </c>
      <c r="N109" s="91">
        <f>+INDEX(DataEx!$1:$1048576,MATCH('2015'!$A109,DataEx!$D:$D,0),MATCH('2015'!N$100,DataEx!$216:$216,0))</f>
        <v>51015618.452793375</v>
      </c>
      <c r="O109" s="91">
        <f>+INDEX(DataEx!$1:$1048576,MATCH('2015'!$A109,DataEx!$D:$D,0),MATCH('2015'!O$100,DataEx!$216:$216,0))</f>
        <v>48088264.75380183</v>
      </c>
      <c r="P109" s="91">
        <f>+INDEX(DataEx!$1:$1048576,MATCH('2015'!$A109,DataEx!$D:$D,0),MATCH('2015'!P$100,DataEx!$216:$216,0))</f>
        <v>43467846.583736315</v>
      </c>
      <c r="Q109" s="91">
        <f>+INDEX(DataEx!$1:$1048576,MATCH('2015'!$A109,DataEx!$D:$D,0),MATCH('2015'!Q$100,DataEx!$216:$216,0))</f>
        <v>35933948.977140471</v>
      </c>
      <c r="R109" s="91">
        <f>+INDEX(DataEx!$1:$1048576,MATCH('2015'!$A109,DataEx!$D:$D,0),MATCH('2015'!R$100,DataEx!$216:$216,0))</f>
        <v>42606370.74912481</v>
      </c>
      <c r="S109" s="125">
        <f t="shared" si="20"/>
        <v>480245150.3960529</v>
      </c>
      <c r="T109" s="126">
        <f t="shared" si="21"/>
        <v>0.13248142079891115</v>
      </c>
    </row>
    <row r="110" spans="1:21">
      <c r="A110" s="137" t="str">
        <f t="shared" si="17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+INDEX(DataEx!$1:$1048576,MATCH('2015'!$A110,DataEx!$D:$D,0),MATCH('2015'!G$100,DataEx!$216:$216,0))</f>
        <v>10746682.682418374</v>
      </c>
      <c r="H110" s="91">
        <f>+INDEX(DataEx!$1:$1048576,MATCH('2015'!$A110,DataEx!$D:$D,0),MATCH('2015'!H$100,DataEx!$216:$216,0))</f>
        <v>8544013.7622055728</v>
      </c>
      <c r="I110" s="91">
        <f>+INDEX(DataEx!$1:$1048576,MATCH('2015'!$A110,DataEx!$D:$D,0),MATCH('2015'!I$100,DataEx!$216:$216,0))</f>
        <v>10140030.796069261</v>
      </c>
      <c r="J110" s="91">
        <f>+INDEX(DataEx!$1:$1048576,MATCH('2015'!$A110,DataEx!$D:$D,0),MATCH('2015'!J$100,DataEx!$216:$216,0))</f>
        <v>11606566.966498964</v>
      </c>
      <c r="K110" s="91">
        <f>+INDEX(DataEx!$1:$1048576,MATCH('2015'!$A110,DataEx!$D:$D,0),MATCH('2015'!K$100,DataEx!$216:$216,0))</f>
        <v>13190871.109895388</v>
      </c>
      <c r="L110" s="91">
        <f>+INDEX(DataEx!$1:$1048576,MATCH('2015'!$A110,DataEx!$D:$D,0),MATCH('2015'!L$100,DataEx!$216:$216,0))</f>
        <v>15159196.537793403</v>
      </c>
      <c r="M110" s="91">
        <f>+INDEX(DataEx!$1:$1048576,MATCH('2015'!$A110,DataEx!$D:$D,0),MATCH('2015'!M$100,DataEx!$216:$216,0))</f>
        <v>16918854.99757503</v>
      </c>
      <c r="N110" s="91">
        <f>+INDEX(DataEx!$1:$1048576,MATCH('2015'!$A110,DataEx!$D:$D,0),MATCH('2015'!N$100,DataEx!$216:$216,0))</f>
        <v>21078349.425046727</v>
      </c>
      <c r="O110" s="91">
        <f>+INDEX(DataEx!$1:$1048576,MATCH('2015'!$A110,DataEx!$D:$D,0),MATCH('2015'!O$100,DataEx!$216:$216,0))</f>
        <v>18202665.814412087</v>
      </c>
      <c r="P110" s="91">
        <f>+INDEX(DataEx!$1:$1048576,MATCH('2015'!$A110,DataEx!$D:$D,0),MATCH('2015'!P$100,DataEx!$216:$216,0))</f>
        <v>14340556.433877697</v>
      </c>
      <c r="Q110" s="91">
        <f>+INDEX(DataEx!$1:$1048576,MATCH('2015'!$A110,DataEx!$D:$D,0),MATCH('2015'!Q$100,DataEx!$216:$216,0))</f>
        <v>13344977.795261111</v>
      </c>
      <c r="R110" s="91">
        <f>+INDEX(DataEx!$1:$1048576,MATCH('2015'!$A110,DataEx!$D:$D,0),MATCH('2015'!R$100,DataEx!$216:$216,0))</f>
        <v>14437025.106566409</v>
      </c>
      <c r="S110" s="125">
        <f t="shared" si="20"/>
        <v>167709791.42762002</v>
      </c>
      <c r="T110" s="126">
        <f t="shared" si="21"/>
        <v>4.6264770048998628E-2</v>
      </c>
    </row>
    <row r="111" spans="1:21">
      <c r="A111" s="137" t="str">
        <f t="shared" si="17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+INDEX(DataEx!$1:$1048576,MATCH('2015'!$A111,DataEx!$D:$D,0),MATCH('2015'!G$100,DataEx!$216:$216,0))</f>
        <v>997113.97705013887</v>
      </c>
      <c r="H111" s="91">
        <f>+INDEX(DataEx!$1:$1048576,MATCH('2015'!$A111,DataEx!$D:$D,0),MATCH('2015'!H$100,DataEx!$216:$216,0))</f>
        <v>1331009.1716165582</v>
      </c>
      <c r="I111" s="91">
        <f>+INDEX(DataEx!$1:$1048576,MATCH('2015'!$A111,DataEx!$D:$D,0),MATCH('2015'!I$100,DataEx!$216:$216,0))</f>
        <v>1733008.7830788183</v>
      </c>
      <c r="J111" s="91">
        <f>+INDEX(DataEx!$1:$1048576,MATCH('2015'!$A111,DataEx!$D:$D,0),MATCH('2015'!J$100,DataEx!$216:$216,0))</f>
        <v>1927566.0054556574</v>
      </c>
      <c r="K111" s="91">
        <f>+INDEX(DataEx!$1:$1048576,MATCH('2015'!$A111,DataEx!$D:$D,0),MATCH('2015'!K$100,DataEx!$216:$216,0))</f>
        <v>1957633.128395471</v>
      </c>
      <c r="L111" s="91">
        <f>+INDEX(DataEx!$1:$1048576,MATCH('2015'!$A111,DataEx!$D:$D,0),MATCH('2015'!L$100,DataEx!$216:$216,0))</f>
        <v>2209426.9121462442</v>
      </c>
      <c r="M111" s="91">
        <f>+INDEX(DataEx!$1:$1048576,MATCH('2015'!$A111,DataEx!$D:$D,0),MATCH('2015'!M$100,DataEx!$216:$216,0))</f>
        <v>2614239.3870693785</v>
      </c>
      <c r="N111" s="91">
        <f>+INDEX(DataEx!$1:$1048576,MATCH('2015'!$A111,DataEx!$D:$D,0),MATCH('2015'!N$100,DataEx!$216:$216,0))</f>
        <v>2369436.9150621137</v>
      </c>
      <c r="O111" s="91">
        <f>+INDEX(DataEx!$1:$1048576,MATCH('2015'!$A111,DataEx!$D:$D,0),MATCH('2015'!O$100,DataEx!$216:$216,0))</f>
        <v>2212771.4239951861</v>
      </c>
      <c r="P111" s="91">
        <f>+INDEX(DataEx!$1:$1048576,MATCH('2015'!$A111,DataEx!$D:$D,0),MATCH('2015'!P$100,DataEx!$216:$216,0))</f>
        <v>2036251.8621765992</v>
      </c>
      <c r="Q111" s="91">
        <f>+INDEX(DataEx!$1:$1048576,MATCH('2015'!$A111,DataEx!$D:$D,0),MATCH('2015'!Q$100,DataEx!$216:$216,0))</f>
        <v>1518566.9065134812</v>
      </c>
      <c r="R111" s="91">
        <f>+INDEX(DataEx!$1:$1048576,MATCH('2015'!$A111,DataEx!$D:$D,0),MATCH('2015'!R$100,DataEx!$216:$216,0))</f>
        <v>1969417.8725266533</v>
      </c>
      <c r="S111" s="125">
        <f t="shared" si="20"/>
        <v>22876442.345086303</v>
      </c>
      <c r="T111" s="126">
        <f t="shared" si="21"/>
        <v>6.3107427158858769E-3</v>
      </c>
    </row>
    <row r="112" spans="1:21">
      <c r="A112" s="137" t="str">
        <f t="shared" si="17"/>
        <v>7118p</v>
      </c>
      <c r="B112" s="515" t="str">
        <f>+VLOOKUP(LEFT($A112,LEN(A112)-1)*1,Master!$D$25:$G$223,4,FALSE)</f>
        <v>Ostali državni porezi</v>
      </c>
      <c r="C112" s="516"/>
      <c r="D112" s="516"/>
      <c r="E112" s="516"/>
      <c r="F112" s="516"/>
      <c r="G112" s="91">
        <f>+INDEX(DataEx!$1:$1048576,MATCH('2015'!$A112,DataEx!$D:$D,0),MATCH('2015'!G$100,DataEx!$216:$216,0))</f>
        <v>251804.37567454769</v>
      </c>
      <c r="H112" s="91">
        <f>+INDEX(DataEx!$1:$1048576,MATCH('2015'!$A112,DataEx!$D:$D,0),MATCH('2015'!H$100,DataEx!$216:$216,0))</f>
        <v>310149.4855589362</v>
      </c>
      <c r="I112" s="91">
        <f>+INDEX(DataEx!$1:$1048576,MATCH('2015'!$A112,DataEx!$D:$D,0),MATCH('2015'!I$100,DataEx!$216:$216,0))</f>
        <v>424865.45226132218</v>
      </c>
      <c r="J112" s="91">
        <f>+INDEX(DataEx!$1:$1048576,MATCH('2015'!$A112,DataEx!$D:$D,0),MATCH('2015'!J$100,DataEx!$216:$216,0))</f>
        <v>488382.49238437577</v>
      </c>
      <c r="K112" s="91">
        <f>+INDEX(DataEx!$1:$1048576,MATCH('2015'!$A112,DataEx!$D:$D,0),MATCH('2015'!K$100,DataEx!$216:$216,0))</f>
        <v>512432.55897189945</v>
      </c>
      <c r="L112" s="91">
        <f>+INDEX(DataEx!$1:$1048576,MATCH('2015'!$A112,DataEx!$D:$D,0),MATCH('2015'!L$100,DataEx!$216:$216,0))</f>
        <v>558687.11031930195</v>
      </c>
      <c r="M112" s="91">
        <f>+INDEX(DataEx!$1:$1048576,MATCH('2015'!$A112,DataEx!$D:$D,0),MATCH('2015'!M$100,DataEx!$216:$216,0))</f>
        <v>582898.8333021343</v>
      </c>
      <c r="N112" s="91">
        <f>+INDEX(DataEx!$1:$1048576,MATCH('2015'!$A112,DataEx!$D:$D,0),MATCH('2015'!N$100,DataEx!$216:$216,0))</f>
        <v>576646.61383665679</v>
      </c>
      <c r="O112" s="91">
        <f>+INDEX(DataEx!$1:$1048576,MATCH('2015'!$A112,DataEx!$D:$D,0),MATCH('2015'!O$100,DataEx!$216:$216,0))</f>
        <v>569580.06276767002</v>
      </c>
      <c r="P112" s="91">
        <f>+INDEX(DataEx!$1:$1048576,MATCH('2015'!$A112,DataEx!$D:$D,0),MATCH('2015'!P$100,DataEx!$216:$216,0))</f>
        <v>504830.91764073976</v>
      </c>
      <c r="Q112" s="91">
        <f>+INDEX(DataEx!$1:$1048576,MATCH('2015'!$A112,DataEx!$D:$D,0),MATCH('2015'!Q$100,DataEx!$216:$216,0))</f>
        <v>449327.05769997759</v>
      </c>
      <c r="R112" s="91">
        <f>+INDEX(DataEx!$1:$1048576,MATCH('2015'!$A112,DataEx!$D:$D,0),MATCH('2015'!R$100,DataEx!$216:$216,0))</f>
        <v>490901.31962345698</v>
      </c>
      <c r="S112" s="125">
        <f t="shared" si="20"/>
        <v>5720506.2800410194</v>
      </c>
      <c r="T112" s="126">
        <f t="shared" si="21"/>
        <v>1.5780706979423502E-3</v>
      </c>
    </row>
    <row r="113" spans="1:20">
      <c r="A113" s="137" t="str">
        <f t="shared" si="17"/>
        <v>712p</v>
      </c>
      <c r="B113" s="528" t="str">
        <f>+VLOOKUP(LEFT($A113,LEN(A113)-1)*1,Master!$D$25:$G$223,4,FALSE)</f>
        <v>Doprinosi</v>
      </c>
      <c r="C113" s="529"/>
      <c r="D113" s="529"/>
      <c r="E113" s="529"/>
      <c r="F113" s="529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7">
        <f t="shared" si="20"/>
        <v>417492172.75320083</v>
      </c>
      <c r="T113" s="128">
        <f t="shared" si="21"/>
        <v>0.11517025455260713</v>
      </c>
    </row>
    <row r="114" spans="1:20">
      <c r="A114" s="137" t="str">
        <f t="shared" si="17"/>
        <v>7121p</v>
      </c>
      <c r="B114" s="515" t="str">
        <f>+VLOOKUP(LEFT($A114,LEN(A114)-1)*1,Master!$D$25:$G$223,4,FALSE)</f>
        <v>Doprinosi za penzijsko i invalidsko osiguranje</v>
      </c>
      <c r="C114" s="516"/>
      <c r="D114" s="516"/>
      <c r="E114" s="516"/>
      <c r="F114" s="516"/>
      <c r="G114" s="91">
        <f>+INDEX(DataEx!$1:$1048576,MATCH('2015'!$A114,DataEx!$D:$D,0),MATCH('2015'!G$100,DataEx!$216:$216,0))</f>
        <v>10835215.375433445</v>
      </c>
      <c r="H114" s="91">
        <f>+INDEX(DataEx!$1:$1048576,MATCH('2015'!$A114,DataEx!$D:$D,0),MATCH('2015'!H$100,DataEx!$216:$216,0))</f>
        <v>17287568.311596237</v>
      </c>
      <c r="I114" s="91">
        <f>+INDEX(DataEx!$1:$1048576,MATCH('2015'!$A114,DataEx!$D:$D,0),MATCH('2015'!I$100,DataEx!$216:$216,0))</f>
        <v>16133814.702883076</v>
      </c>
      <c r="J114" s="91">
        <f>+INDEX(DataEx!$1:$1048576,MATCH('2015'!$A114,DataEx!$D:$D,0),MATCH('2015'!J$100,DataEx!$216:$216,0))</f>
        <v>17634570.078624245</v>
      </c>
      <c r="K114" s="91">
        <f>+INDEX(DataEx!$1:$1048576,MATCH('2015'!$A114,DataEx!$D:$D,0),MATCH('2015'!K$100,DataEx!$216:$216,0))</f>
        <v>20199574.10818097</v>
      </c>
      <c r="L114" s="91">
        <f>+INDEX(DataEx!$1:$1048576,MATCH('2015'!$A114,DataEx!$D:$D,0),MATCH('2015'!L$100,DataEx!$216:$216,0))</f>
        <v>20913507.395355023</v>
      </c>
      <c r="M114" s="91">
        <f>+INDEX(DataEx!$1:$1048576,MATCH('2015'!$A114,DataEx!$D:$D,0),MATCH('2015'!M$100,DataEx!$216:$216,0))</f>
        <v>20397161.323049661</v>
      </c>
      <c r="N114" s="91">
        <f>+INDEX(DataEx!$1:$1048576,MATCH('2015'!$A114,DataEx!$D:$D,0),MATCH('2015'!N$100,DataEx!$216:$216,0))</f>
        <v>20719279.922398537</v>
      </c>
      <c r="O114" s="91">
        <f>+INDEX(DataEx!$1:$1048576,MATCH('2015'!$A114,DataEx!$D:$D,0),MATCH('2015'!O$100,DataEx!$216:$216,0))</f>
        <v>20675448.42527096</v>
      </c>
      <c r="P114" s="91">
        <f>+INDEX(DataEx!$1:$1048576,MATCH('2015'!$A114,DataEx!$D:$D,0),MATCH('2015'!P$100,DataEx!$216:$216,0))</f>
        <v>22333485.779485509</v>
      </c>
      <c r="Q114" s="91">
        <f>+INDEX(DataEx!$1:$1048576,MATCH('2015'!$A114,DataEx!$D:$D,0),MATCH('2015'!Q$100,DataEx!$216:$216,0))</f>
        <v>19074610.951472942</v>
      </c>
      <c r="R114" s="91">
        <f>+INDEX(DataEx!$1:$1048576,MATCH('2015'!$A114,DataEx!$D:$D,0),MATCH('2015'!R$100,DataEx!$216:$216,0))</f>
        <v>40201162.67603521</v>
      </c>
      <c r="S114" s="125">
        <f t="shared" si="20"/>
        <v>246405399.04978585</v>
      </c>
      <c r="T114" s="126">
        <f t="shared" si="21"/>
        <v>6.7973903186147822E-2</v>
      </c>
    </row>
    <row r="115" spans="1:20">
      <c r="A115" s="137" t="str">
        <f t="shared" si="17"/>
        <v>7122p</v>
      </c>
      <c r="B115" s="515" t="str">
        <f>+VLOOKUP(LEFT($A115,LEN(A115)-1)*1,Master!$D$25:$G$223,4,FALSE)</f>
        <v>Doprinosi za zdravstveno osiguranje</v>
      </c>
      <c r="C115" s="516"/>
      <c r="D115" s="516"/>
      <c r="E115" s="516"/>
      <c r="F115" s="516"/>
      <c r="G115" s="91">
        <f>+INDEX(DataEx!$1:$1048576,MATCH('2015'!$A115,DataEx!$D:$D,0),MATCH('2015'!G$100,DataEx!$216:$216,0))</f>
        <v>5947210.158482017</v>
      </c>
      <c r="H115" s="91">
        <f>+INDEX(DataEx!$1:$1048576,MATCH('2015'!$A115,DataEx!$D:$D,0),MATCH('2015'!H$100,DataEx!$216:$216,0))</f>
        <v>8737953.0601297878</v>
      </c>
      <c r="I115" s="91">
        <f>+INDEX(DataEx!$1:$1048576,MATCH('2015'!$A115,DataEx!$D:$D,0),MATCH('2015'!I$100,DataEx!$216:$216,0))</f>
        <v>10128217.755015116</v>
      </c>
      <c r="J115" s="91">
        <f>+INDEX(DataEx!$1:$1048576,MATCH('2015'!$A115,DataEx!$D:$D,0),MATCH('2015'!J$100,DataEx!$216:$216,0))</f>
        <v>10506185.898595979</v>
      </c>
      <c r="K115" s="91">
        <f>+INDEX(DataEx!$1:$1048576,MATCH('2015'!$A115,DataEx!$D:$D,0),MATCH('2015'!K$100,DataEx!$216:$216,0))</f>
        <v>12414423.348594034</v>
      </c>
      <c r="L115" s="91">
        <f>+INDEX(DataEx!$1:$1048576,MATCH('2015'!$A115,DataEx!$D:$D,0),MATCH('2015'!L$100,DataEx!$216:$216,0))</f>
        <v>12300409.906155966</v>
      </c>
      <c r="M115" s="91">
        <f>+INDEX(DataEx!$1:$1048576,MATCH('2015'!$A115,DataEx!$D:$D,0),MATCH('2015'!M$100,DataEx!$216:$216,0))</f>
        <v>11649338.921377769</v>
      </c>
      <c r="N115" s="91">
        <f>+INDEX(DataEx!$1:$1048576,MATCH('2015'!$A115,DataEx!$D:$D,0),MATCH('2015'!N$100,DataEx!$216:$216,0))</f>
        <v>12715928.59880604</v>
      </c>
      <c r="O115" s="91">
        <f>+INDEX(DataEx!$1:$1048576,MATCH('2015'!$A115,DataEx!$D:$D,0),MATCH('2015'!O$100,DataEx!$216:$216,0))</f>
        <v>11722748.188238984</v>
      </c>
      <c r="P115" s="91">
        <f>+INDEX(DataEx!$1:$1048576,MATCH('2015'!$A115,DataEx!$D:$D,0),MATCH('2015'!P$100,DataEx!$216:$216,0))</f>
        <v>13649666.976806173</v>
      </c>
      <c r="Q115" s="91">
        <f>+INDEX(DataEx!$1:$1048576,MATCH('2015'!$A115,DataEx!$D:$D,0),MATCH('2015'!Q$100,DataEx!$216:$216,0))</f>
        <v>11784621.868662277</v>
      </c>
      <c r="R115" s="91">
        <f>+INDEX(DataEx!$1:$1048576,MATCH('2015'!$A115,DataEx!$D:$D,0),MATCH('2015'!R$100,DataEx!$216:$216,0))</f>
        <v>23899152.764590971</v>
      </c>
      <c r="S115" s="125">
        <f t="shared" si="20"/>
        <v>145455857.4454551</v>
      </c>
      <c r="T115" s="126">
        <f t="shared" si="21"/>
        <v>4.0125753778056578E-2</v>
      </c>
    </row>
    <row r="116" spans="1:20">
      <c r="A116" s="137" t="str">
        <f t="shared" si="17"/>
        <v>7123p</v>
      </c>
      <c r="B116" s="515" t="str">
        <f>+VLOOKUP(LEFT($A116,LEN(A116)-1)*1,Master!$D$25:$G$223,4,FALSE)</f>
        <v>Doprinosi za osiguranje od nezaposlenosti</v>
      </c>
      <c r="C116" s="516"/>
      <c r="D116" s="516"/>
      <c r="E116" s="516"/>
      <c r="F116" s="516"/>
      <c r="G116" s="91">
        <f>+INDEX(DataEx!$1:$1048576,MATCH('2015'!$A116,DataEx!$D:$D,0),MATCH('2015'!G$100,DataEx!$216:$216,0))</f>
        <v>405204.02216089884</v>
      </c>
      <c r="H116" s="91">
        <f>+INDEX(DataEx!$1:$1048576,MATCH('2015'!$A116,DataEx!$D:$D,0),MATCH('2015'!H$100,DataEx!$216:$216,0))</f>
        <v>738084.5106705362</v>
      </c>
      <c r="I116" s="91">
        <f>+INDEX(DataEx!$1:$1048576,MATCH('2015'!$A116,DataEx!$D:$D,0),MATCH('2015'!I$100,DataEx!$216:$216,0))</f>
        <v>913696.79908484616</v>
      </c>
      <c r="J116" s="91">
        <f>+INDEX(DataEx!$1:$1048576,MATCH('2015'!$A116,DataEx!$D:$D,0),MATCH('2015'!J$100,DataEx!$216:$216,0))</f>
        <v>970828.38583662093</v>
      </c>
      <c r="K116" s="91">
        <f>+INDEX(DataEx!$1:$1048576,MATCH('2015'!$A116,DataEx!$D:$D,0),MATCH('2015'!K$100,DataEx!$216:$216,0))</f>
        <v>1071963.8068133136</v>
      </c>
      <c r="L116" s="91">
        <f>+INDEX(DataEx!$1:$1048576,MATCH('2015'!$A116,DataEx!$D:$D,0),MATCH('2015'!L$100,DataEx!$216:$216,0))</f>
        <v>1078875.1432318969</v>
      </c>
      <c r="M116" s="91">
        <f>+INDEX(DataEx!$1:$1048576,MATCH('2015'!$A116,DataEx!$D:$D,0),MATCH('2015'!M$100,DataEx!$216:$216,0))</f>
        <v>1021891.7539787972</v>
      </c>
      <c r="N116" s="91">
        <f>+INDEX(DataEx!$1:$1048576,MATCH('2015'!$A116,DataEx!$D:$D,0),MATCH('2015'!N$100,DataEx!$216:$216,0))</f>
        <v>1115094.651382722</v>
      </c>
      <c r="O116" s="91">
        <f>+INDEX(DataEx!$1:$1048576,MATCH('2015'!$A116,DataEx!$D:$D,0),MATCH('2015'!O$100,DataEx!$216:$216,0))</f>
        <v>1045619.4056045644</v>
      </c>
      <c r="P116" s="91">
        <f>+INDEX(DataEx!$1:$1048576,MATCH('2015'!$A116,DataEx!$D:$D,0),MATCH('2015'!P$100,DataEx!$216:$216,0))</f>
        <v>1200015.1472054955</v>
      </c>
      <c r="Q116" s="91">
        <f>+INDEX(DataEx!$1:$1048576,MATCH('2015'!$A116,DataEx!$D:$D,0),MATCH('2015'!Q$100,DataEx!$216:$216,0))</f>
        <v>1040193.9108966757</v>
      </c>
      <c r="R116" s="91">
        <f>+INDEX(DataEx!$1:$1048576,MATCH('2015'!$A116,DataEx!$D:$D,0),MATCH('2015'!R$100,DataEx!$216:$216,0))</f>
        <v>2120234.2020172165</v>
      </c>
      <c r="S116" s="125">
        <f t="shared" si="20"/>
        <v>12721701.738883585</v>
      </c>
      <c r="T116" s="126">
        <f t="shared" si="21"/>
        <v>3.509434962450644E-3</v>
      </c>
    </row>
    <row r="117" spans="1:20">
      <c r="A117" s="137" t="str">
        <f t="shared" si="17"/>
        <v>7124p</v>
      </c>
      <c r="B117" s="515" t="str">
        <f>+VLOOKUP(LEFT($A117,LEN(A117)-1)*1,Master!$D$25:$G$223,4,FALSE)</f>
        <v>Ostali doprinosi</v>
      </c>
      <c r="C117" s="516"/>
      <c r="D117" s="516"/>
      <c r="E117" s="516"/>
      <c r="F117" s="516"/>
      <c r="G117" s="91">
        <f>+INDEX(DataEx!$1:$1048576,MATCH('2015'!$A117,DataEx!$D:$D,0),MATCH('2015'!G$100,DataEx!$216:$216,0))</f>
        <v>265564.87727538327</v>
      </c>
      <c r="H117" s="91">
        <f>+INDEX(DataEx!$1:$1048576,MATCH('2015'!$A117,DataEx!$D:$D,0),MATCH('2015'!H$100,DataEx!$216:$216,0))</f>
        <v>626537.09803975385</v>
      </c>
      <c r="I117" s="91">
        <f>+INDEX(DataEx!$1:$1048576,MATCH('2015'!$A117,DataEx!$D:$D,0),MATCH('2015'!I$100,DataEx!$216:$216,0))</f>
        <v>906582.94015782466</v>
      </c>
      <c r="J117" s="91">
        <f>+INDEX(DataEx!$1:$1048576,MATCH('2015'!$A117,DataEx!$D:$D,0),MATCH('2015'!J$100,DataEx!$216:$216,0))</f>
        <v>1013376.386066664</v>
      </c>
      <c r="K117" s="91">
        <f>+INDEX(DataEx!$1:$1048576,MATCH('2015'!$A117,DataEx!$D:$D,0),MATCH('2015'!K$100,DataEx!$216:$216,0))</f>
        <v>997097.9259462388</v>
      </c>
      <c r="L117" s="91">
        <f>+INDEX(DataEx!$1:$1048576,MATCH('2015'!$A117,DataEx!$D:$D,0),MATCH('2015'!L$100,DataEx!$216:$216,0))</f>
        <v>1227335.1337159497</v>
      </c>
      <c r="M117" s="91">
        <f>+INDEX(DataEx!$1:$1048576,MATCH('2015'!$A117,DataEx!$D:$D,0),MATCH('2015'!M$100,DataEx!$216:$216,0))</f>
        <v>1146217.0405176056</v>
      </c>
      <c r="N117" s="91">
        <f>+INDEX(DataEx!$1:$1048576,MATCH('2015'!$A117,DataEx!$D:$D,0),MATCH('2015'!N$100,DataEx!$216:$216,0))</f>
        <v>1149429.7437170967</v>
      </c>
      <c r="O117" s="91">
        <f>+INDEX(DataEx!$1:$1048576,MATCH('2015'!$A117,DataEx!$D:$D,0),MATCH('2015'!O$100,DataEx!$216:$216,0))</f>
        <v>1033757.8705604452</v>
      </c>
      <c r="P117" s="91">
        <f>+INDEX(DataEx!$1:$1048576,MATCH('2015'!$A117,DataEx!$D:$D,0),MATCH('2015'!P$100,DataEx!$216:$216,0))</f>
        <v>1334588.3030299437</v>
      </c>
      <c r="Q117" s="91">
        <f>+INDEX(DataEx!$1:$1048576,MATCH('2015'!$A117,DataEx!$D:$D,0),MATCH('2015'!Q$100,DataEx!$216:$216,0))</f>
        <v>1039196.5810409879</v>
      </c>
      <c r="R117" s="91">
        <f>+INDEX(DataEx!$1:$1048576,MATCH('2015'!$A117,DataEx!$D:$D,0),MATCH('2015'!R$100,DataEx!$216:$216,0))</f>
        <v>2169530.6190084284</v>
      </c>
      <c r="S117" s="125">
        <f t="shared" si="20"/>
        <v>12909214.519076321</v>
      </c>
      <c r="T117" s="126">
        <f t="shared" si="21"/>
        <v>3.5611626259520884E-3</v>
      </c>
    </row>
    <row r="118" spans="1:20">
      <c r="A118" s="137" t="str">
        <f t="shared" si="17"/>
        <v>713p</v>
      </c>
      <c r="B118" s="526" t="str">
        <f>+VLOOKUP(LEFT($A118,LEN(A118)-1)*1,Master!$D$25:$G$223,4,FALSE)</f>
        <v>Takse</v>
      </c>
      <c r="C118" s="527"/>
      <c r="D118" s="527"/>
      <c r="E118" s="527"/>
      <c r="F118" s="527"/>
      <c r="G118" s="85">
        <f>+INDEX(DataEx!$1:$1048576,MATCH('2015'!$A118,DataEx!$D:$D,0),MATCH('2015'!G$100,DataEx!$216:$216,0))</f>
        <v>1017432.8805905436</v>
      </c>
      <c r="H118" s="85">
        <f>+INDEX(DataEx!$1:$1048576,MATCH('2015'!$A118,DataEx!$D:$D,0),MATCH('2015'!H$100,DataEx!$216:$216,0))</f>
        <v>2806441.7507150937</v>
      </c>
      <c r="I118" s="85">
        <f>+INDEX(DataEx!$1:$1048576,MATCH('2015'!$A118,DataEx!$D:$D,0),MATCH('2015'!I$100,DataEx!$216:$216,0))</f>
        <v>1117006.3290833589</v>
      </c>
      <c r="J118" s="85">
        <f>+INDEX(DataEx!$1:$1048576,MATCH('2015'!$A118,DataEx!$D:$D,0),MATCH('2015'!J$100,DataEx!$216:$216,0))</f>
        <v>1264717.5392387407</v>
      </c>
      <c r="K118" s="85">
        <f>+INDEX(DataEx!$1:$1048576,MATCH('2015'!$A118,DataEx!$D:$D,0),MATCH('2015'!K$100,DataEx!$216:$216,0))</f>
        <v>1093045.5428240406</v>
      </c>
      <c r="L118" s="85">
        <f>+INDEX(DataEx!$1:$1048576,MATCH('2015'!$A118,DataEx!$D:$D,0),MATCH('2015'!L$100,DataEx!$216:$216,0))</f>
        <v>1395344.9576274238</v>
      </c>
      <c r="M118" s="85">
        <f>+INDEX(DataEx!$1:$1048576,MATCH('2015'!$A118,DataEx!$D:$D,0),MATCH('2015'!M$100,DataEx!$216:$216,0))</f>
        <v>1446144.3329938813</v>
      </c>
      <c r="N118" s="85">
        <f>+INDEX(DataEx!$1:$1048576,MATCH('2015'!$A118,DataEx!$D:$D,0),MATCH('2015'!N$100,DataEx!$216:$216,0))</f>
        <v>1356791.631586303</v>
      </c>
      <c r="O118" s="85">
        <f>+INDEX(DataEx!$1:$1048576,MATCH('2015'!$A118,DataEx!$D:$D,0),MATCH('2015'!O$100,DataEx!$216:$216,0))</f>
        <v>1266226.6725826806</v>
      </c>
      <c r="P118" s="85">
        <f>+INDEX(DataEx!$1:$1048576,MATCH('2015'!$A118,DataEx!$D:$D,0),MATCH('2015'!P$100,DataEx!$216:$216,0))</f>
        <v>1318880.8810031279</v>
      </c>
      <c r="Q118" s="85">
        <f>+INDEX(DataEx!$1:$1048576,MATCH('2015'!$A118,DataEx!$D:$D,0),MATCH('2015'!Q$100,DataEx!$216:$216,0))</f>
        <v>1346463.6496868518</v>
      </c>
      <c r="R118" s="86">
        <f>+INDEX(DataEx!$1:$1048576,MATCH('2015'!$A118,DataEx!$D:$D,0),MATCH('2015'!R$100,DataEx!$216:$216,0))</f>
        <v>1474390.4967195832</v>
      </c>
      <c r="S118" s="127">
        <f t="shared" si="20"/>
        <v>16902886.664651629</v>
      </c>
      <c r="T118" s="128">
        <f t="shared" si="21"/>
        <v>4.6628652868004493E-3</v>
      </c>
    </row>
    <row r="119" spans="1:20">
      <c r="A119" s="137" t="str">
        <f t="shared" si="17"/>
        <v>714p</v>
      </c>
      <c r="B119" s="526" t="str">
        <f>+VLOOKUP(LEFT($A119,LEN(A119)-1)*1,Master!$D$25:$G$223,4,FALSE)</f>
        <v>Naknade</v>
      </c>
      <c r="C119" s="527"/>
      <c r="D119" s="527"/>
      <c r="E119" s="527"/>
      <c r="F119" s="527"/>
      <c r="G119" s="85">
        <f>+INDEX(DataEx!$1:$1048576,MATCH('2015'!$A119,DataEx!$D:$D,0),MATCH('2015'!G$100,DataEx!$216:$216,0))</f>
        <v>1138266.9804152639</v>
      </c>
      <c r="H119" s="85">
        <f>+INDEX(DataEx!$1:$1048576,MATCH('2015'!$A119,DataEx!$D:$D,0),MATCH('2015'!H$100,DataEx!$216:$216,0))</f>
        <v>756483.76634673518</v>
      </c>
      <c r="I119" s="85">
        <f>+INDEX(DataEx!$1:$1048576,MATCH('2015'!$A119,DataEx!$D:$D,0),MATCH('2015'!I$100,DataEx!$216:$216,0))</f>
        <v>784896.45053551998</v>
      </c>
      <c r="J119" s="85">
        <f>+INDEX(DataEx!$1:$1048576,MATCH('2015'!$A119,DataEx!$D:$D,0),MATCH('2015'!J$100,DataEx!$216:$216,0))</f>
        <v>716357.12404800032</v>
      </c>
      <c r="K119" s="85">
        <f>+INDEX(DataEx!$1:$1048576,MATCH('2015'!$A119,DataEx!$D:$D,0),MATCH('2015'!K$100,DataEx!$216:$216,0))</f>
        <v>1133208.5669148029</v>
      </c>
      <c r="L119" s="85">
        <f>+INDEX(DataEx!$1:$1048576,MATCH('2015'!$A119,DataEx!$D:$D,0),MATCH('2015'!L$100,DataEx!$216:$216,0))</f>
        <v>1267102.9957289747</v>
      </c>
      <c r="M119" s="85">
        <f>+INDEX(DataEx!$1:$1048576,MATCH('2015'!$A119,DataEx!$D:$D,0),MATCH('2015'!M$100,DataEx!$216:$216,0))</f>
        <v>1342917.6146265836</v>
      </c>
      <c r="N119" s="85">
        <f>+INDEX(DataEx!$1:$1048576,MATCH('2015'!$A119,DataEx!$D:$D,0),MATCH('2015'!N$100,DataEx!$216:$216,0))</f>
        <v>1226756.3727123113</v>
      </c>
      <c r="O119" s="85">
        <f>+INDEX(DataEx!$1:$1048576,MATCH('2015'!$A119,DataEx!$D:$D,0),MATCH('2015'!O$100,DataEx!$216:$216,0))</f>
        <v>1268468.2949369599</v>
      </c>
      <c r="P119" s="85">
        <f>+INDEX(DataEx!$1:$1048576,MATCH('2015'!$A119,DataEx!$D:$D,0),MATCH('2015'!P$100,DataEx!$216:$216,0))</f>
        <v>1378353.6704010672</v>
      </c>
      <c r="Q119" s="85">
        <f>+INDEX(DataEx!$1:$1048576,MATCH('2015'!$A119,DataEx!$D:$D,0),MATCH('2015'!Q$100,DataEx!$216:$216,0))</f>
        <v>1123435.7637199732</v>
      </c>
      <c r="R119" s="86">
        <f>+INDEX(DataEx!$1:$1048576,MATCH('2015'!$A119,DataEx!$D:$D,0),MATCH('2015'!R$100,DataEx!$216:$216,0))</f>
        <v>1342481.0432510113</v>
      </c>
      <c r="S119" s="127">
        <f t="shared" si="20"/>
        <v>13478728.643637203</v>
      </c>
      <c r="T119" s="128">
        <f t="shared" si="21"/>
        <v>3.7182699706585385E-3</v>
      </c>
    </row>
    <row r="120" spans="1:20">
      <c r="A120" s="137" t="str">
        <f t="shared" si="17"/>
        <v>715p</v>
      </c>
      <c r="B120" s="526" t="str">
        <f>+VLOOKUP(LEFT($A120,LEN(A120)-1)*1,Master!$D$25:$G$223,4,FALSE)</f>
        <v>Ostali prihodi</v>
      </c>
      <c r="C120" s="527"/>
      <c r="D120" s="527"/>
      <c r="E120" s="527"/>
      <c r="F120" s="527"/>
      <c r="G120" s="85">
        <f>+INDEX(DataEx!$1:$1048576,MATCH('2015'!$A120,DataEx!$D:$D,0),MATCH('2015'!G$100,DataEx!$216:$216,0))</f>
        <v>2409154.3623507507</v>
      </c>
      <c r="H120" s="85">
        <f>+INDEX(DataEx!$1:$1048576,MATCH('2015'!$A120,DataEx!$D:$D,0),MATCH('2015'!H$100,DataEx!$216:$216,0))</f>
        <v>1483280.3928009064</v>
      </c>
      <c r="I120" s="85">
        <f>+INDEX(DataEx!$1:$1048576,MATCH('2015'!$A120,DataEx!$D:$D,0),MATCH('2015'!I$100,DataEx!$216:$216,0))</f>
        <v>2006908.1745379991</v>
      </c>
      <c r="J120" s="85">
        <f>+INDEX(DataEx!$1:$1048576,MATCH('2015'!$A120,DataEx!$D:$D,0),MATCH('2015'!J$100,DataEx!$216:$216,0))</f>
        <v>3182289.9559581177</v>
      </c>
      <c r="K120" s="85">
        <f>+INDEX(DataEx!$1:$1048576,MATCH('2015'!$A120,DataEx!$D:$D,0),MATCH('2015'!K$100,DataEx!$216:$216,0))</f>
        <v>4231375.2243007179</v>
      </c>
      <c r="L120" s="85">
        <f>+INDEX(DataEx!$1:$1048576,MATCH('2015'!$A120,DataEx!$D:$D,0),MATCH('2015'!L$100,DataEx!$216:$216,0))</f>
        <v>3386393.9761406584</v>
      </c>
      <c r="M120" s="85">
        <f>+INDEX(DataEx!$1:$1048576,MATCH('2015'!$A120,DataEx!$D:$D,0),MATCH('2015'!M$100,DataEx!$216:$216,0))</f>
        <v>3090446.9975072816</v>
      </c>
      <c r="N120" s="85">
        <f>+INDEX(DataEx!$1:$1048576,MATCH('2015'!$A120,DataEx!$D:$D,0),MATCH('2015'!N$100,DataEx!$216:$216,0))</f>
        <v>3087498.4129390134</v>
      </c>
      <c r="O120" s="85">
        <f>+INDEX(DataEx!$1:$1048576,MATCH('2015'!$A120,DataEx!$D:$D,0),MATCH('2015'!O$100,DataEx!$216:$216,0))</f>
        <v>2917378.1773197968</v>
      </c>
      <c r="P120" s="85">
        <f>+INDEX(DataEx!$1:$1048576,MATCH('2015'!$A120,DataEx!$D:$D,0),MATCH('2015'!P$100,DataEx!$216:$216,0))</f>
        <v>2584038.1357656354</v>
      </c>
      <c r="Q120" s="85">
        <f>+INDEX(DataEx!$1:$1048576,MATCH('2015'!$A120,DataEx!$D:$D,0),MATCH('2015'!Q$100,DataEx!$216:$216,0))</f>
        <v>3191275.8352530822</v>
      </c>
      <c r="R120" s="86">
        <f>+INDEX(DataEx!$1:$1048576,MATCH('2015'!$A120,DataEx!$D:$D,0),MATCH('2015'!R$100,DataEx!$216:$216,0))</f>
        <v>5396946.6881590188</v>
      </c>
      <c r="S120" s="127">
        <f t="shared" si="20"/>
        <v>36966986.333032973</v>
      </c>
      <c r="T120" s="128">
        <f t="shared" si="21"/>
        <v>1.0197789333250475E-2</v>
      </c>
    </row>
    <row r="121" spans="1:20">
      <c r="A121" s="137" t="str">
        <f t="shared" si="17"/>
        <v>73p</v>
      </c>
      <c r="B121" s="526" t="str">
        <f>+VLOOKUP(LEFT($A121,LEN(A121)-1)*1,Master!$D$25:$G$223,4,FALSE)</f>
        <v>Primici od otplate kredita i sredstva prenesena iz prethodne godine</v>
      </c>
      <c r="C121" s="527"/>
      <c r="D121" s="527"/>
      <c r="E121" s="527"/>
      <c r="F121" s="527"/>
      <c r="G121" s="85">
        <f>+INDEX(DataEx!$1:$1048576,MATCH('2015'!$A121,DataEx!$D:$D,0),MATCH('2015'!G$100,DataEx!$216:$216,0))</f>
        <v>102742.57243539664</v>
      </c>
      <c r="H121" s="85">
        <f>+INDEX(DataEx!$1:$1048576,MATCH('2015'!$A121,DataEx!$D:$D,0),MATCH('2015'!H$100,DataEx!$216:$216,0))</f>
        <v>80570.77591245556</v>
      </c>
      <c r="I121" s="85">
        <f>+INDEX(DataEx!$1:$1048576,MATCH('2015'!$A121,DataEx!$D:$D,0),MATCH('2015'!I$100,DataEx!$216:$216,0))</f>
        <v>207943.58242626418</v>
      </c>
      <c r="J121" s="85">
        <f>+INDEX(DataEx!$1:$1048576,MATCH('2015'!$A121,DataEx!$D:$D,0),MATCH('2015'!J$100,DataEx!$216:$216,0))</f>
        <v>255508.97776091041</v>
      </c>
      <c r="K121" s="85">
        <f>+INDEX(DataEx!$1:$1048576,MATCH('2015'!$A121,DataEx!$D:$D,0),MATCH('2015'!K$100,DataEx!$216:$216,0))</f>
        <v>94657.993290660001</v>
      </c>
      <c r="L121" s="85">
        <f>+INDEX(DataEx!$1:$1048576,MATCH('2015'!$A121,DataEx!$D:$D,0),MATCH('2015'!L$100,DataEx!$216:$216,0))</f>
        <v>451041.3115294326</v>
      </c>
      <c r="M121" s="85">
        <f>+INDEX(DataEx!$1:$1048576,MATCH('2015'!$A121,DataEx!$D:$D,0),MATCH('2015'!M$100,DataEx!$216:$216,0))</f>
        <v>850260.27680842578</v>
      </c>
      <c r="N121" s="85">
        <f>+INDEX(DataEx!$1:$1048576,MATCH('2015'!$A121,DataEx!$D:$D,0),MATCH('2015'!N$100,DataEx!$216:$216,0))</f>
        <v>271751.70792733377</v>
      </c>
      <c r="O121" s="85">
        <f>+INDEX(DataEx!$1:$1048576,MATCH('2015'!$A121,DataEx!$D:$D,0),MATCH('2015'!O$100,DataEx!$216:$216,0))</f>
        <v>299578.18186702713</v>
      </c>
      <c r="P121" s="85">
        <f>+INDEX(DataEx!$1:$1048576,MATCH('2015'!$A121,DataEx!$D:$D,0),MATCH('2015'!P$100,DataEx!$216:$216,0))</f>
        <v>296967.92792094528</v>
      </c>
      <c r="Q121" s="85">
        <f>+INDEX(DataEx!$1:$1048576,MATCH('2015'!$A121,DataEx!$D:$D,0),MATCH('2015'!Q$100,DataEx!$216:$216,0))</f>
        <v>830659.77314096305</v>
      </c>
      <c r="R121" s="86">
        <f>+INDEX(DataEx!$1:$1048576,MATCH('2015'!$A121,DataEx!$D:$D,0),MATCH('2015'!R$100,DataEx!$216:$216,0))</f>
        <v>1332064.798278471</v>
      </c>
      <c r="S121" s="127">
        <f t="shared" si="20"/>
        <v>5073747.8792982856</v>
      </c>
      <c r="T121" s="128">
        <f t="shared" si="21"/>
        <v>1.3996545873926306E-3</v>
      </c>
    </row>
    <row r="122" spans="1:20" ht="13.5" thickBot="1">
      <c r="A122" s="137" t="str">
        <f t="shared" si="17"/>
        <v>74p</v>
      </c>
      <c r="B122" s="530" t="str">
        <f>+VLOOKUP(LEFT($A122,LEN(A122)-1)*1,Master!$D$25:$G$223,4,FALSE)</f>
        <v>Donacije i transferi</v>
      </c>
      <c r="C122" s="531"/>
      <c r="D122" s="531"/>
      <c r="E122" s="531"/>
      <c r="F122" s="531"/>
      <c r="G122" s="85">
        <f>+INDEX(DataEx!$1:$1048576,MATCH('2015'!$A122,DataEx!$D:$D,0),MATCH('2015'!G$100,DataEx!$216:$216,0))</f>
        <v>151870.61020172067</v>
      </c>
      <c r="H122" s="85">
        <f>+INDEX(DataEx!$1:$1048576,MATCH('2015'!$A122,DataEx!$D:$D,0),MATCH('2015'!H$100,DataEx!$216:$216,0))</f>
        <v>759284.21401818644</v>
      </c>
      <c r="I122" s="85">
        <f>+INDEX(DataEx!$1:$1048576,MATCH('2015'!$A122,DataEx!$D:$D,0),MATCH('2015'!I$100,DataEx!$216:$216,0))</f>
        <v>232686.29412273181</v>
      </c>
      <c r="J122" s="85">
        <f>+INDEX(DataEx!$1:$1048576,MATCH('2015'!$A122,DataEx!$D:$D,0),MATCH('2015'!J$100,DataEx!$216:$216,0))</f>
        <v>680176.81394201145</v>
      </c>
      <c r="K122" s="85">
        <f>+INDEX(DataEx!$1:$1048576,MATCH('2015'!$A122,DataEx!$D:$D,0),MATCH('2015'!K$100,DataEx!$216:$216,0))</f>
        <v>334566.54127297708</v>
      </c>
      <c r="L122" s="85">
        <f>+INDEX(DataEx!$1:$1048576,MATCH('2015'!$A122,DataEx!$D:$D,0),MATCH('2015'!L$100,DataEx!$216:$216,0))</f>
        <v>290134.08358243544</v>
      </c>
      <c r="M122" s="85">
        <f>+INDEX(DataEx!$1:$1048576,MATCH('2015'!$A122,DataEx!$D:$D,0),MATCH('2015'!M$100,DataEx!$216:$216,0))</f>
        <v>384254.59140583908</v>
      </c>
      <c r="N122" s="85">
        <f>+INDEX(DataEx!$1:$1048576,MATCH('2015'!$A122,DataEx!$D:$D,0),MATCH('2015'!N$100,DataEx!$216:$216,0))</f>
        <v>311193.36925083847</v>
      </c>
      <c r="O122" s="85">
        <f>+INDEX(DataEx!$1:$1048576,MATCH('2015'!$A122,DataEx!$D:$D,0),MATCH('2015'!O$100,DataEx!$216:$216,0))</f>
        <v>574859.18368163658</v>
      </c>
      <c r="P122" s="85">
        <f>+INDEX(DataEx!$1:$1048576,MATCH('2015'!$A122,DataEx!$D:$D,0),MATCH('2015'!P$100,DataEx!$216:$216,0))</f>
        <v>752410.21529335005</v>
      </c>
      <c r="Q122" s="85">
        <f>+INDEX(DataEx!$1:$1048576,MATCH('2015'!$A122,DataEx!$D:$D,0),MATCH('2015'!Q$100,DataEx!$216:$216,0))</f>
        <v>963792.40888977866</v>
      </c>
      <c r="R122" s="86">
        <f>+INDEX(DataEx!$1:$1048576,MATCH('2015'!$A122,DataEx!$D:$D,0),MATCH('2015'!R$100,DataEx!$216:$216,0))</f>
        <v>1156891.4845592449</v>
      </c>
      <c r="S122" s="129">
        <f t="shared" si="20"/>
        <v>6592119.81022075</v>
      </c>
      <c r="T122" s="130">
        <f t="shared" si="21"/>
        <v>1.8185158097160691E-3</v>
      </c>
    </row>
    <row r="123" spans="1:20" ht="13.5" thickBot="1">
      <c r="A123" s="137" t="str">
        <f t="shared" si="17"/>
        <v>4p</v>
      </c>
      <c r="B123" s="532" t="str">
        <f>+VLOOKUP(LEFT($A123,LEN(A123)-1)*1,Master!$D$25:$G$223,4,FALSE)</f>
        <v>Budžetski izdaci</v>
      </c>
      <c r="C123" s="533"/>
      <c r="D123" s="533"/>
      <c r="E123" s="533"/>
      <c r="F123" s="533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1">
        <f t="shared" si="20"/>
        <v>1564968816.1200001</v>
      </c>
      <c r="T123" s="132">
        <f t="shared" si="21"/>
        <v>0.43171553548137936</v>
      </c>
    </row>
    <row r="124" spans="1:20" ht="13.5" thickBot="1">
      <c r="A124" s="137" t="str">
        <f t="shared" si="17"/>
        <v>41p</v>
      </c>
      <c r="B124" s="534" t="str">
        <f>+VLOOKUP(LEFT($A124,LEN(A124)-1)*1,Master!$D$25:$G$223,4,FALSE)</f>
        <v>Tekući izdaci</v>
      </c>
      <c r="C124" s="535"/>
      <c r="D124" s="535"/>
      <c r="E124" s="535"/>
      <c r="F124" s="535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3">
        <f t="shared" si="20"/>
        <v>1280271739.1200001</v>
      </c>
      <c r="T124" s="134">
        <f t="shared" si="21"/>
        <v>0.35317841079172418</v>
      </c>
    </row>
    <row r="125" spans="1:20">
      <c r="A125" s="137" t="str">
        <f t="shared" si="17"/>
        <v>40p</v>
      </c>
      <c r="B125" s="536" t="str">
        <f>+VLOOKUP(LEFT($A125,LEN(A125)-1)*1,Master!$D$25:$G$223,4,FALSE)</f>
        <v>Tekući budžetski izdaci</v>
      </c>
      <c r="C125" s="537"/>
      <c r="D125" s="537"/>
      <c r="E125" s="537"/>
      <c r="F125" s="537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3">
        <f t="shared" si="20"/>
        <v>631826354.07000005</v>
      </c>
      <c r="T125" s="124">
        <f t="shared" si="21"/>
        <v>0.17429692526068968</v>
      </c>
    </row>
    <row r="126" spans="1:20">
      <c r="A126" s="137" t="str">
        <f t="shared" si="17"/>
        <v>411p</v>
      </c>
      <c r="B126" s="515" t="str">
        <f>+VLOOKUP(LEFT($A126,LEN(A126)-1)*1,Master!$D$25:$G$223,4,FALSE)</f>
        <v>Bruto zarade i doprinosi na teret poslodavca</v>
      </c>
      <c r="C126" s="516"/>
      <c r="D126" s="516"/>
      <c r="E126" s="516"/>
      <c r="F126" s="516"/>
      <c r="G126" s="91">
        <f>+INDEX(DataEx!$1:$1048576,MATCH('2015'!$A126,DataEx!$D:$D,0),MATCH('2015'!G$100,DataEx!$216:$216,0))</f>
        <v>31613633.060833335</v>
      </c>
      <c r="H126" s="91">
        <f>+INDEX(DataEx!$1:$1048576,MATCH('2015'!$A126,DataEx!$D:$D,0),MATCH('2015'!H$100,DataEx!$216:$216,0))</f>
        <v>31613633.060833335</v>
      </c>
      <c r="I126" s="91">
        <f>+INDEX(DataEx!$1:$1048576,MATCH('2015'!$A126,DataEx!$D:$D,0),MATCH('2015'!I$100,DataEx!$216:$216,0))</f>
        <v>31613633.060833335</v>
      </c>
      <c r="J126" s="91">
        <f>+INDEX(DataEx!$1:$1048576,MATCH('2015'!$A126,DataEx!$D:$D,0),MATCH('2015'!J$100,DataEx!$216:$216,0))</f>
        <v>31613633.060833335</v>
      </c>
      <c r="K126" s="91">
        <f>+INDEX(DataEx!$1:$1048576,MATCH('2015'!$A126,DataEx!$D:$D,0),MATCH('2015'!K$100,DataEx!$216:$216,0))</f>
        <v>31613633.060833335</v>
      </c>
      <c r="L126" s="91">
        <f>+INDEX(DataEx!$1:$1048576,MATCH('2015'!$A126,DataEx!$D:$D,0),MATCH('2015'!L$100,DataEx!$216:$216,0))</f>
        <v>31613633.060833335</v>
      </c>
      <c r="M126" s="91">
        <f>+INDEX(DataEx!$1:$1048576,MATCH('2015'!$A126,DataEx!$D:$D,0),MATCH('2015'!M$100,DataEx!$216:$216,0))</f>
        <v>31613633.060833335</v>
      </c>
      <c r="N126" s="91">
        <f>+INDEX(DataEx!$1:$1048576,MATCH('2015'!$A126,DataEx!$D:$D,0),MATCH('2015'!N$100,DataEx!$216:$216,0))</f>
        <v>31613633.060833335</v>
      </c>
      <c r="O126" s="91">
        <f>+INDEX(DataEx!$1:$1048576,MATCH('2015'!$A126,DataEx!$D:$D,0),MATCH('2015'!O$100,DataEx!$216:$216,0))</f>
        <v>31613633.060833335</v>
      </c>
      <c r="P126" s="91">
        <f>+INDEX(DataEx!$1:$1048576,MATCH('2015'!$A126,DataEx!$D:$D,0),MATCH('2015'!P$100,DataEx!$216:$216,0))</f>
        <v>31613633.060833335</v>
      </c>
      <c r="Q126" s="91">
        <f>+INDEX(DataEx!$1:$1048576,MATCH('2015'!$A126,DataEx!$D:$D,0),MATCH('2015'!Q$100,DataEx!$216:$216,0))</f>
        <v>31613633.060833335</v>
      </c>
      <c r="R126" s="91">
        <f>+INDEX(DataEx!$1:$1048576,MATCH('2015'!$A126,DataEx!$D:$D,0),MATCH('2015'!R$100,DataEx!$216:$216,0))</f>
        <v>31613633.060833335</v>
      </c>
      <c r="S126" s="125">
        <f t="shared" si="20"/>
        <v>379363596.73000002</v>
      </c>
      <c r="T126" s="126">
        <f t="shared" si="21"/>
        <v>0.10465202668413794</v>
      </c>
    </row>
    <row r="127" spans="1:20">
      <c r="A127" s="137" t="str">
        <f t="shared" si="17"/>
        <v>412p</v>
      </c>
      <c r="B127" s="515" t="str">
        <f>+VLOOKUP(LEFT($A127,LEN(A127)-1)*1,Master!$D$25:$G$223,4,FALSE)</f>
        <v>Ostala lična primanja</v>
      </c>
      <c r="C127" s="516"/>
      <c r="D127" s="516"/>
      <c r="E127" s="516"/>
      <c r="F127" s="516"/>
      <c r="G127" s="91">
        <f>+INDEX(DataEx!$1:$1048576,MATCH('2015'!$A127,DataEx!$D:$D,0),MATCH('2015'!G$100,DataEx!$216:$216,0))</f>
        <v>968300.41833333322</v>
      </c>
      <c r="H127" s="91">
        <f>+INDEX(DataEx!$1:$1048576,MATCH('2015'!$A127,DataEx!$D:$D,0),MATCH('2015'!H$100,DataEx!$216:$216,0))</f>
        <v>968300.41833333322</v>
      </c>
      <c r="I127" s="91">
        <f>+INDEX(DataEx!$1:$1048576,MATCH('2015'!$A127,DataEx!$D:$D,0),MATCH('2015'!I$100,DataEx!$216:$216,0))</f>
        <v>968300.41833333322</v>
      </c>
      <c r="J127" s="91">
        <f>+INDEX(DataEx!$1:$1048576,MATCH('2015'!$A127,DataEx!$D:$D,0),MATCH('2015'!J$100,DataEx!$216:$216,0))</f>
        <v>968300.41833333322</v>
      </c>
      <c r="K127" s="91">
        <f>+INDEX(DataEx!$1:$1048576,MATCH('2015'!$A127,DataEx!$D:$D,0),MATCH('2015'!K$100,DataEx!$216:$216,0))</f>
        <v>968300.41833333322</v>
      </c>
      <c r="L127" s="91">
        <f>+INDEX(DataEx!$1:$1048576,MATCH('2015'!$A127,DataEx!$D:$D,0),MATCH('2015'!L$100,DataEx!$216:$216,0))</f>
        <v>968300.41833333322</v>
      </c>
      <c r="M127" s="91">
        <f>+INDEX(DataEx!$1:$1048576,MATCH('2015'!$A127,DataEx!$D:$D,0),MATCH('2015'!M$100,DataEx!$216:$216,0))</f>
        <v>968300.41833333322</v>
      </c>
      <c r="N127" s="91">
        <f>+INDEX(DataEx!$1:$1048576,MATCH('2015'!$A127,DataEx!$D:$D,0),MATCH('2015'!N$100,DataEx!$216:$216,0))</f>
        <v>968300.41833333322</v>
      </c>
      <c r="O127" s="91">
        <f>+INDEX(DataEx!$1:$1048576,MATCH('2015'!$A127,DataEx!$D:$D,0),MATCH('2015'!O$100,DataEx!$216:$216,0))</f>
        <v>968300.41833333322</v>
      </c>
      <c r="P127" s="91">
        <f>+INDEX(DataEx!$1:$1048576,MATCH('2015'!$A127,DataEx!$D:$D,0),MATCH('2015'!P$100,DataEx!$216:$216,0))</f>
        <v>968300.41833333322</v>
      </c>
      <c r="Q127" s="91">
        <f>+INDEX(DataEx!$1:$1048576,MATCH('2015'!$A127,DataEx!$D:$D,0),MATCH('2015'!Q$100,DataEx!$216:$216,0))</f>
        <v>968300.41833333322</v>
      </c>
      <c r="R127" s="91">
        <f>+INDEX(DataEx!$1:$1048576,MATCH('2015'!$A127,DataEx!$D:$D,0),MATCH('2015'!R$100,DataEx!$216:$216,0))</f>
        <v>968300.41833333322</v>
      </c>
      <c r="S127" s="125">
        <f t="shared" si="20"/>
        <v>11619605.019999998</v>
      </c>
      <c r="T127" s="126">
        <f t="shared" si="21"/>
        <v>3.2054082813793099E-3</v>
      </c>
    </row>
    <row r="128" spans="1:20">
      <c r="A128" s="137" t="str">
        <f t="shared" si="17"/>
        <v>413p</v>
      </c>
      <c r="B128" s="515" t="str">
        <f>+VLOOKUP(LEFT($A128,LEN(A128)-1)*1,Master!$D$25:$G$223,4,FALSE)</f>
        <v>Rashodi za materijal</v>
      </c>
      <c r="C128" s="516"/>
      <c r="D128" s="516"/>
      <c r="E128" s="516"/>
      <c r="F128" s="516"/>
      <c r="G128" s="91">
        <f>+INDEX(DataEx!$1:$1048576,MATCH('2015'!$A128,DataEx!$D:$D,0),MATCH('2015'!G$100,DataEx!$216:$216,0))</f>
        <v>2450506.84</v>
      </c>
      <c r="H128" s="91">
        <f>+INDEX(DataEx!$1:$1048576,MATCH('2015'!$A128,DataEx!$D:$D,0),MATCH('2015'!H$100,DataEx!$216:$216,0))</f>
        <v>2450506.84</v>
      </c>
      <c r="I128" s="91">
        <f>+INDEX(DataEx!$1:$1048576,MATCH('2015'!$A128,DataEx!$D:$D,0),MATCH('2015'!I$100,DataEx!$216:$216,0))</f>
        <v>2450506.84</v>
      </c>
      <c r="J128" s="91">
        <f>+INDEX(DataEx!$1:$1048576,MATCH('2015'!$A128,DataEx!$D:$D,0),MATCH('2015'!J$100,DataEx!$216:$216,0))</f>
        <v>2450506.84</v>
      </c>
      <c r="K128" s="91">
        <f>+INDEX(DataEx!$1:$1048576,MATCH('2015'!$A128,DataEx!$D:$D,0),MATCH('2015'!K$100,DataEx!$216:$216,0))</f>
        <v>2450506.84</v>
      </c>
      <c r="L128" s="91">
        <f>+INDEX(DataEx!$1:$1048576,MATCH('2015'!$A128,DataEx!$D:$D,0),MATCH('2015'!L$100,DataEx!$216:$216,0))</f>
        <v>2450506.84</v>
      </c>
      <c r="M128" s="91">
        <f>+INDEX(DataEx!$1:$1048576,MATCH('2015'!$A128,DataEx!$D:$D,0),MATCH('2015'!M$100,DataEx!$216:$216,0))</f>
        <v>2450506.84</v>
      </c>
      <c r="N128" s="91">
        <f>+INDEX(DataEx!$1:$1048576,MATCH('2015'!$A128,DataEx!$D:$D,0),MATCH('2015'!N$100,DataEx!$216:$216,0))</f>
        <v>2450506.84</v>
      </c>
      <c r="O128" s="91">
        <f>+INDEX(DataEx!$1:$1048576,MATCH('2015'!$A128,DataEx!$D:$D,0),MATCH('2015'!O$100,DataEx!$216:$216,0))</f>
        <v>2450506.84</v>
      </c>
      <c r="P128" s="91">
        <f>+INDEX(DataEx!$1:$1048576,MATCH('2015'!$A128,DataEx!$D:$D,0),MATCH('2015'!P$100,DataEx!$216:$216,0))</f>
        <v>2450506.84</v>
      </c>
      <c r="Q128" s="91">
        <f>+INDEX(DataEx!$1:$1048576,MATCH('2015'!$A128,DataEx!$D:$D,0),MATCH('2015'!Q$100,DataEx!$216:$216,0))</f>
        <v>2450506.84</v>
      </c>
      <c r="R128" s="91">
        <f>+INDEX(DataEx!$1:$1048576,MATCH('2015'!$A128,DataEx!$D:$D,0),MATCH('2015'!R$100,DataEx!$216:$216,0))</f>
        <v>2450506.84</v>
      </c>
      <c r="S128" s="125">
        <f t="shared" si="20"/>
        <v>29406082.079999998</v>
      </c>
      <c r="T128" s="126">
        <f t="shared" si="21"/>
        <v>8.1120226427586206E-3</v>
      </c>
    </row>
    <row r="129" spans="1:20">
      <c r="A129" s="137" t="str">
        <f t="shared" si="17"/>
        <v>414p</v>
      </c>
      <c r="B129" s="515" t="str">
        <f>+VLOOKUP(LEFT($A129,LEN(A129)-1)*1,Master!$D$25:$G$223,4,FALSE)</f>
        <v>Rashodi za usluge</v>
      </c>
      <c r="C129" s="516"/>
      <c r="D129" s="516"/>
      <c r="E129" s="516"/>
      <c r="F129" s="516"/>
      <c r="G129" s="91">
        <f>+INDEX(DataEx!$1:$1048576,MATCH('2015'!$A129,DataEx!$D:$D,0),MATCH('2015'!G$100,DataEx!$216:$216,0))</f>
        <v>3460881.1266666669</v>
      </c>
      <c r="H129" s="91">
        <f>+INDEX(DataEx!$1:$1048576,MATCH('2015'!$A129,DataEx!$D:$D,0),MATCH('2015'!H$100,DataEx!$216:$216,0))</f>
        <v>3460881.1266666669</v>
      </c>
      <c r="I129" s="91">
        <f>+INDEX(DataEx!$1:$1048576,MATCH('2015'!$A129,DataEx!$D:$D,0),MATCH('2015'!I$100,DataEx!$216:$216,0))</f>
        <v>3460881.1266666669</v>
      </c>
      <c r="J129" s="91">
        <f>+INDEX(DataEx!$1:$1048576,MATCH('2015'!$A129,DataEx!$D:$D,0),MATCH('2015'!J$100,DataEx!$216:$216,0))</f>
        <v>3460881.1266666669</v>
      </c>
      <c r="K129" s="91">
        <f>+INDEX(DataEx!$1:$1048576,MATCH('2015'!$A129,DataEx!$D:$D,0),MATCH('2015'!K$100,DataEx!$216:$216,0))</f>
        <v>3460881.1266666669</v>
      </c>
      <c r="L129" s="91">
        <f>+INDEX(DataEx!$1:$1048576,MATCH('2015'!$A129,DataEx!$D:$D,0),MATCH('2015'!L$100,DataEx!$216:$216,0))</f>
        <v>3460881.1266666669</v>
      </c>
      <c r="M129" s="91">
        <f>+INDEX(DataEx!$1:$1048576,MATCH('2015'!$A129,DataEx!$D:$D,0),MATCH('2015'!M$100,DataEx!$216:$216,0))</f>
        <v>3460881.1266666669</v>
      </c>
      <c r="N129" s="91">
        <f>+INDEX(DataEx!$1:$1048576,MATCH('2015'!$A129,DataEx!$D:$D,0),MATCH('2015'!N$100,DataEx!$216:$216,0))</f>
        <v>3460881.1266666669</v>
      </c>
      <c r="O129" s="91">
        <f>+INDEX(DataEx!$1:$1048576,MATCH('2015'!$A129,DataEx!$D:$D,0),MATCH('2015'!O$100,DataEx!$216:$216,0))</f>
        <v>3460881.1266666669</v>
      </c>
      <c r="P129" s="91">
        <f>+INDEX(DataEx!$1:$1048576,MATCH('2015'!$A129,DataEx!$D:$D,0),MATCH('2015'!P$100,DataEx!$216:$216,0))</f>
        <v>3460881.1266666669</v>
      </c>
      <c r="Q129" s="91">
        <f>+INDEX(DataEx!$1:$1048576,MATCH('2015'!$A129,DataEx!$D:$D,0),MATCH('2015'!Q$100,DataEx!$216:$216,0))</f>
        <v>3460881.1266666669</v>
      </c>
      <c r="R129" s="91">
        <f>+INDEX(DataEx!$1:$1048576,MATCH('2015'!$A129,DataEx!$D:$D,0),MATCH('2015'!R$100,DataEx!$216:$216,0))</f>
        <v>3460881.1266666669</v>
      </c>
      <c r="S129" s="125">
        <f t="shared" si="20"/>
        <v>41530573.519999988</v>
      </c>
      <c r="T129" s="126">
        <f t="shared" si="21"/>
        <v>1.1456709936551721E-2</v>
      </c>
    </row>
    <row r="130" spans="1:20">
      <c r="A130" s="137" t="str">
        <f t="shared" si="17"/>
        <v>415p</v>
      </c>
      <c r="B130" s="515" t="str">
        <f>+VLOOKUP(LEFT($A130,LEN(A130)-1)*1,Master!$D$25:$G$223,4,FALSE)</f>
        <v>Rashodi za tekuće održavanje</v>
      </c>
      <c r="C130" s="516"/>
      <c r="D130" s="516"/>
      <c r="E130" s="516"/>
      <c r="F130" s="516"/>
      <c r="G130" s="91">
        <f>+INDEX(DataEx!$1:$1048576,MATCH('2015'!$A130,DataEx!$D:$D,0),MATCH('2015'!G$100,DataEx!$216:$216,0))</f>
        <v>1734268.4441666668</v>
      </c>
      <c r="H130" s="91">
        <f>+INDEX(DataEx!$1:$1048576,MATCH('2015'!$A130,DataEx!$D:$D,0),MATCH('2015'!H$100,DataEx!$216:$216,0))</f>
        <v>1734268.4441666668</v>
      </c>
      <c r="I130" s="91">
        <f>+INDEX(DataEx!$1:$1048576,MATCH('2015'!$A130,DataEx!$D:$D,0),MATCH('2015'!I$100,DataEx!$216:$216,0))</f>
        <v>1734268.4441666668</v>
      </c>
      <c r="J130" s="91">
        <f>+INDEX(DataEx!$1:$1048576,MATCH('2015'!$A130,DataEx!$D:$D,0),MATCH('2015'!J$100,DataEx!$216:$216,0))</f>
        <v>1734268.4441666668</v>
      </c>
      <c r="K130" s="91">
        <f>+INDEX(DataEx!$1:$1048576,MATCH('2015'!$A130,DataEx!$D:$D,0),MATCH('2015'!K$100,DataEx!$216:$216,0))</f>
        <v>1734268.4441666668</v>
      </c>
      <c r="L130" s="91">
        <f>+INDEX(DataEx!$1:$1048576,MATCH('2015'!$A130,DataEx!$D:$D,0),MATCH('2015'!L$100,DataEx!$216:$216,0))</f>
        <v>1734268.4441666668</v>
      </c>
      <c r="M130" s="91">
        <f>+INDEX(DataEx!$1:$1048576,MATCH('2015'!$A130,DataEx!$D:$D,0),MATCH('2015'!M$100,DataEx!$216:$216,0))</f>
        <v>1734268.4441666668</v>
      </c>
      <c r="N130" s="91">
        <f>+INDEX(DataEx!$1:$1048576,MATCH('2015'!$A130,DataEx!$D:$D,0),MATCH('2015'!N$100,DataEx!$216:$216,0))</f>
        <v>1734268.4441666668</v>
      </c>
      <c r="O130" s="91">
        <f>+INDEX(DataEx!$1:$1048576,MATCH('2015'!$A130,DataEx!$D:$D,0),MATCH('2015'!O$100,DataEx!$216:$216,0))</f>
        <v>1734268.4441666668</v>
      </c>
      <c r="P130" s="91">
        <f>+INDEX(DataEx!$1:$1048576,MATCH('2015'!$A130,DataEx!$D:$D,0),MATCH('2015'!P$100,DataEx!$216:$216,0))</f>
        <v>1734268.4441666668</v>
      </c>
      <c r="Q130" s="91">
        <f>+INDEX(DataEx!$1:$1048576,MATCH('2015'!$A130,DataEx!$D:$D,0),MATCH('2015'!Q$100,DataEx!$216:$216,0))</f>
        <v>1734268.4441666668</v>
      </c>
      <c r="R130" s="91">
        <f>+INDEX(DataEx!$1:$1048576,MATCH('2015'!$A130,DataEx!$D:$D,0),MATCH('2015'!R$100,DataEx!$216:$216,0))</f>
        <v>1734268.4441666668</v>
      </c>
      <c r="S130" s="125">
        <f t="shared" si="20"/>
        <v>20811221.330000009</v>
      </c>
      <c r="T130" s="126">
        <f t="shared" si="21"/>
        <v>5.7410265737931057E-3</v>
      </c>
    </row>
    <row r="131" spans="1:20">
      <c r="A131" s="137" t="str">
        <f t="shared" si="17"/>
        <v>416p</v>
      </c>
      <c r="B131" s="515" t="str">
        <f>+VLOOKUP(LEFT($A131,LEN(A131)-1)*1,Master!$D$25:$G$223,4,FALSE)</f>
        <v>Kamate</v>
      </c>
      <c r="C131" s="516"/>
      <c r="D131" s="516"/>
      <c r="E131" s="516"/>
      <c r="F131" s="516"/>
      <c r="G131" s="91">
        <f>+INDEX(DataEx!$1:$1048576,MATCH('2015'!$A131,DataEx!$D:$D,0),MATCH('2015'!G$100,DataEx!$216:$216,0))</f>
        <v>6313823.6641666666</v>
      </c>
      <c r="H131" s="91">
        <f>+INDEX(DataEx!$1:$1048576,MATCH('2015'!$A131,DataEx!$D:$D,0),MATCH('2015'!H$100,DataEx!$216:$216,0))</f>
        <v>6313823.6641666666</v>
      </c>
      <c r="I131" s="91">
        <f>+INDEX(DataEx!$1:$1048576,MATCH('2015'!$A131,DataEx!$D:$D,0),MATCH('2015'!I$100,DataEx!$216:$216,0))</f>
        <v>6313823.6641666666</v>
      </c>
      <c r="J131" s="91">
        <f>+INDEX(DataEx!$1:$1048576,MATCH('2015'!$A131,DataEx!$D:$D,0),MATCH('2015'!J$100,DataEx!$216:$216,0))</f>
        <v>6313823.6641666666</v>
      </c>
      <c r="K131" s="91">
        <f>+INDEX(DataEx!$1:$1048576,MATCH('2015'!$A131,DataEx!$D:$D,0),MATCH('2015'!K$100,DataEx!$216:$216,0))</f>
        <v>6313823.6641666666</v>
      </c>
      <c r="L131" s="91">
        <f>+INDEX(DataEx!$1:$1048576,MATCH('2015'!$A131,DataEx!$D:$D,0),MATCH('2015'!L$100,DataEx!$216:$216,0))</f>
        <v>6313823.6641666666</v>
      </c>
      <c r="M131" s="91">
        <f>+INDEX(DataEx!$1:$1048576,MATCH('2015'!$A131,DataEx!$D:$D,0),MATCH('2015'!M$100,DataEx!$216:$216,0))</f>
        <v>6313823.6641666666</v>
      </c>
      <c r="N131" s="91">
        <f>+INDEX(DataEx!$1:$1048576,MATCH('2015'!$A131,DataEx!$D:$D,0),MATCH('2015'!N$100,DataEx!$216:$216,0))</f>
        <v>6313823.6641666666</v>
      </c>
      <c r="O131" s="91">
        <f>+INDEX(DataEx!$1:$1048576,MATCH('2015'!$A131,DataEx!$D:$D,0),MATCH('2015'!O$100,DataEx!$216:$216,0))</f>
        <v>6313823.6641666666</v>
      </c>
      <c r="P131" s="91">
        <f>+INDEX(DataEx!$1:$1048576,MATCH('2015'!$A131,DataEx!$D:$D,0),MATCH('2015'!P$100,DataEx!$216:$216,0))</f>
        <v>6313823.6641666666</v>
      </c>
      <c r="Q131" s="91">
        <f>+INDEX(DataEx!$1:$1048576,MATCH('2015'!$A131,DataEx!$D:$D,0),MATCH('2015'!Q$100,DataEx!$216:$216,0))</f>
        <v>6313823.6641666666</v>
      </c>
      <c r="R131" s="91">
        <f>+INDEX(DataEx!$1:$1048576,MATCH('2015'!$A131,DataEx!$D:$D,0),MATCH('2015'!R$100,DataEx!$216:$216,0))</f>
        <v>6313823.6641666666</v>
      </c>
      <c r="S131" s="125">
        <f t="shared" si="20"/>
        <v>75765883.969999999</v>
      </c>
      <c r="T131" s="126">
        <f t="shared" si="21"/>
        <v>2.0900933508965516E-2</v>
      </c>
    </row>
    <row r="132" spans="1:20">
      <c r="A132" s="137" t="str">
        <f t="shared" si="17"/>
        <v>417p</v>
      </c>
      <c r="B132" s="515" t="str">
        <f>+VLOOKUP(LEFT($A132,LEN(A132)-1)*1,Master!$D$25:$G$223,4,FALSE)</f>
        <v>Renta</v>
      </c>
      <c r="C132" s="516"/>
      <c r="D132" s="516"/>
      <c r="E132" s="516"/>
      <c r="F132" s="516"/>
      <c r="G132" s="91">
        <f>+INDEX(DataEx!$1:$1048576,MATCH('2015'!$A132,DataEx!$D:$D,0),MATCH('2015'!G$100,DataEx!$216:$216,0))</f>
        <v>693996.7074999999</v>
      </c>
      <c r="H132" s="91">
        <f>+INDEX(DataEx!$1:$1048576,MATCH('2015'!$A132,DataEx!$D:$D,0),MATCH('2015'!H$100,DataEx!$216:$216,0))</f>
        <v>693996.7074999999</v>
      </c>
      <c r="I132" s="91">
        <f>+INDEX(DataEx!$1:$1048576,MATCH('2015'!$A132,DataEx!$D:$D,0),MATCH('2015'!I$100,DataEx!$216:$216,0))</f>
        <v>693996.7074999999</v>
      </c>
      <c r="J132" s="91">
        <f>+INDEX(DataEx!$1:$1048576,MATCH('2015'!$A132,DataEx!$D:$D,0),MATCH('2015'!J$100,DataEx!$216:$216,0))</f>
        <v>693996.7074999999</v>
      </c>
      <c r="K132" s="91">
        <f>+INDEX(DataEx!$1:$1048576,MATCH('2015'!$A132,DataEx!$D:$D,0),MATCH('2015'!K$100,DataEx!$216:$216,0))</f>
        <v>693996.7074999999</v>
      </c>
      <c r="L132" s="91">
        <f>+INDEX(DataEx!$1:$1048576,MATCH('2015'!$A132,DataEx!$D:$D,0),MATCH('2015'!L$100,DataEx!$216:$216,0))</f>
        <v>693996.7074999999</v>
      </c>
      <c r="M132" s="91">
        <f>+INDEX(DataEx!$1:$1048576,MATCH('2015'!$A132,DataEx!$D:$D,0),MATCH('2015'!M$100,DataEx!$216:$216,0))</f>
        <v>693996.7074999999</v>
      </c>
      <c r="N132" s="91">
        <f>+INDEX(DataEx!$1:$1048576,MATCH('2015'!$A132,DataEx!$D:$D,0),MATCH('2015'!N$100,DataEx!$216:$216,0))</f>
        <v>693996.7074999999</v>
      </c>
      <c r="O132" s="91">
        <f>+INDEX(DataEx!$1:$1048576,MATCH('2015'!$A132,DataEx!$D:$D,0),MATCH('2015'!O$100,DataEx!$216:$216,0))</f>
        <v>693996.7074999999</v>
      </c>
      <c r="P132" s="91">
        <f>+INDEX(DataEx!$1:$1048576,MATCH('2015'!$A132,DataEx!$D:$D,0),MATCH('2015'!P$100,DataEx!$216:$216,0))</f>
        <v>693996.7074999999</v>
      </c>
      <c r="Q132" s="91">
        <f>+INDEX(DataEx!$1:$1048576,MATCH('2015'!$A132,DataEx!$D:$D,0),MATCH('2015'!Q$100,DataEx!$216:$216,0))</f>
        <v>693996.7074999999</v>
      </c>
      <c r="R132" s="91">
        <f>+INDEX(DataEx!$1:$1048576,MATCH('2015'!$A132,DataEx!$D:$D,0),MATCH('2015'!R$100,DataEx!$216:$216,0))</f>
        <v>693996.7074999999</v>
      </c>
      <c r="S132" s="125">
        <f t="shared" si="20"/>
        <v>8327960.4899999974</v>
      </c>
      <c r="T132" s="126">
        <f t="shared" si="21"/>
        <v>2.2973684110344822E-3</v>
      </c>
    </row>
    <row r="133" spans="1:20">
      <c r="A133" s="137" t="str">
        <f t="shared" si="17"/>
        <v>418p</v>
      </c>
      <c r="B133" s="515" t="str">
        <f>+VLOOKUP(LEFT($A133,LEN(A133)-1)*1,Master!$D$25:$G$223,4,FALSE)</f>
        <v>Subvencije</v>
      </c>
      <c r="C133" s="516"/>
      <c r="D133" s="516"/>
      <c r="E133" s="516"/>
      <c r="F133" s="516"/>
      <c r="G133" s="91">
        <f>+INDEX(DataEx!$1:$1048576,MATCH('2015'!$A133,DataEx!$D:$D,0),MATCH('2015'!G$100,DataEx!$216:$216,0))</f>
        <v>1770966.6666666667</v>
      </c>
      <c r="H133" s="91">
        <f>+INDEX(DataEx!$1:$1048576,MATCH('2015'!$A133,DataEx!$D:$D,0),MATCH('2015'!H$100,DataEx!$216:$216,0))</f>
        <v>1770966.6666666667</v>
      </c>
      <c r="I133" s="91">
        <f>+INDEX(DataEx!$1:$1048576,MATCH('2015'!$A133,DataEx!$D:$D,0),MATCH('2015'!I$100,DataEx!$216:$216,0))</f>
        <v>1770966.6666666667</v>
      </c>
      <c r="J133" s="91">
        <f>+INDEX(DataEx!$1:$1048576,MATCH('2015'!$A133,DataEx!$D:$D,0),MATCH('2015'!J$100,DataEx!$216:$216,0))</f>
        <v>1770966.6666666667</v>
      </c>
      <c r="K133" s="91">
        <f>+INDEX(DataEx!$1:$1048576,MATCH('2015'!$A133,DataEx!$D:$D,0),MATCH('2015'!K$100,DataEx!$216:$216,0))</f>
        <v>1770966.6666666667</v>
      </c>
      <c r="L133" s="91">
        <f>+INDEX(DataEx!$1:$1048576,MATCH('2015'!$A133,DataEx!$D:$D,0),MATCH('2015'!L$100,DataEx!$216:$216,0))</f>
        <v>1770966.6666666667</v>
      </c>
      <c r="M133" s="91">
        <f>+INDEX(DataEx!$1:$1048576,MATCH('2015'!$A133,DataEx!$D:$D,0),MATCH('2015'!M$100,DataEx!$216:$216,0))</f>
        <v>1770966.6666666667</v>
      </c>
      <c r="N133" s="91">
        <f>+INDEX(DataEx!$1:$1048576,MATCH('2015'!$A133,DataEx!$D:$D,0),MATCH('2015'!N$100,DataEx!$216:$216,0))</f>
        <v>1770966.6666666667</v>
      </c>
      <c r="O133" s="91">
        <f>+INDEX(DataEx!$1:$1048576,MATCH('2015'!$A133,DataEx!$D:$D,0),MATCH('2015'!O$100,DataEx!$216:$216,0))</f>
        <v>1770966.6666666667</v>
      </c>
      <c r="P133" s="91">
        <f>+INDEX(DataEx!$1:$1048576,MATCH('2015'!$A133,DataEx!$D:$D,0),MATCH('2015'!P$100,DataEx!$216:$216,0))</f>
        <v>1770966.6666666667</v>
      </c>
      <c r="Q133" s="91">
        <f>+INDEX(DataEx!$1:$1048576,MATCH('2015'!$A133,DataEx!$D:$D,0),MATCH('2015'!Q$100,DataEx!$216:$216,0))</f>
        <v>1770966.6666666667</v>
      </c>
      <c r="R133" s="91">
        <f>+INDEX(DataEx!$1:$1048576,MATCH('2015'!$A133,DataEx!$D:$D,0),MATCH('2015'!R$100,DataEx!$216:$216,0))</f>
        <v>1770966.6666666667</v>
      </c>
      <c r="S133" s="125">
        <f t="shared" si="20"/>
        <v>21251600</v>
      </c>
      <c r="T133" s="126">
        <f t="shared" si="21"/>
        <v>5.8625103448275862E-3</v>
      </c>
    </row>
    <row r="134" spans="1:20">
      <c r="A134" s="137" t="str">
        <f t="shared" si="17"/>
        <v>419p</v>
      </c>
      <c r="B134" s="515" t="str">
        <f>+VLOOKUP(LEFT($A134,LEN(A134)-1)*1,Master!$D$25:$G$223,4,FALSE)</f>
        <v>Ostali izdaci</v>
      </c>
      <c r="C134" s="516"/>
      <c r="D134" s="516"/>
      <c r="E134" s="516"/>
      <c r="F134" s="516"/>
      <c r="G134" s="91">
        <f>+INDEX(DataEx!$1:$1048576,MATCH('2015'!$A134,DataEx!$D:$D,0),MATCH('2015'!G$100,DataEx!$216:$216,0))</f>
        <v>2491662.8099999996</v>
      </c>
      <c r="H134" s="91">
        <f>+INDEX(DataEx!$1:$1048576,MATCH('2015'!$A134,DataEx!$D:$D,0),MATCH('2015'!H$100,DataEx!$216:$216,0))</f>
        <v>2491662.8099999996</v>
      </c>
      <c r="I134" s="91">
        <f>+INDEX(DataEx!$1:$1048576,MATCH('2015'!$A134,DataEx!$D:$D,0),MATCH('2015'!I$100,DataEx!$216:$216,0))</f>
        <v>2491662.8099999996</v>
      </c>
      <c r="J134" s="91">
        <f>+INDEX(DataEx!$1:$1048576,MATCH('2015'!$A134,DataEx!$D:$D,0),MATCH('2015'!J$100,DataEx!$216:$216,0))</f>
        <v>2491662.8099999996</v>
      </c>
      <c r="K134" s="91">
        <f>+INDEX(DataEx!$1:$1048576,MATCH('2015'!$A134,DataEx!$D:$D,0),MATCH('2015'!K$100,DataEx!$216:$216,0))</f>
        <v>2491662.8099999996</v>
      </c>
      <c r="L134" s="91">
        <f>+INDEX(DataEx!$1:$1048576,MATCH('2015'!$A134,DataEx!$D:$D,0),MATCH('2015'!L$100,DataEx!$216:$216,0))</f>
        <v>2491662.8099999996</v>
      </c>
      <c r="M134" s="91">
        <f>+INDEX(DataEx!$1:$1048576,MATCH('2015'!$A134,DataEx!$D:$D,0),MATCH('2015'!M$100,DataEx!$216:$216,0))</f>
        <v>2491662.8099999996</v>
      </c>
      <c r="N134" s="91">
        <f>+INDEX(DataEx!$1:$1048576,MATCH('2015'!$A134,DataEx!$D:$D,0),MATCH('2015'!N$100,DataEx!$216:$216,0))</f>
        <v>2491662.8099999996</v>
      </c>
      <c r="O134" s="91">
        <f>+INDEX(DataEx!$1:$1048576,MATCH('2015'!$A134,DataEx!$D:$D,0),MATCH('2015'!O$100,DataEx!$216:$216,0))</f>
        <v>2491662.8099999996</v>
      </c>
      <c r="P134" s="91">
        <f>+INDEX(DataEx!$1:$1048576,MATCH('2015'!$A134,DataEx!$D:$D,0),MATCH('2015'!P$100,DataEx!$216:$216,0))</f>
        <v>2491662.8099999996</v>
      </c>
      <c r="Q134" s="91">
        <f>+INDEX(DataEx!$1:$1048576,MATCH('2015'!$A134,DataEx!$D:$D,0),MATCH('2015'!Q$100,DataEx!$216:$216,0))</f>
        <v>2491662.8099999996</v>
      </c>
      <c r="R134" s="91">
        <f>+INDEX(DataEx!$1:$1048576,MATCH('2015'!$A134,DataEx!$D:$D,0),MATCH('2015'!R$100,DataEx!$216:$216,0))</f>
        <v>2491662.8099999996</v>
      </c>
      <c r="S134" s="125">
        <f t="shared" si="20"/>
        <v>29899953.719999988</v>
      </c>
      <c r="T134" s="126">
        <f t="shared" si="21"/>
        <v>8.2482630951724104E-3</v>
      </c>
    </row>
    <row r="135" spans="1:20">
      <c r="A135" s="137" t="str">
        <f t="shared" si="17"/>
        <v>440p</v>
      </c>
      <c r="B135" s="515" t="str">
        <f>+VLOOKUP(LEFT($A135,LEN(A135)-1)*1,Master!$D$25:$G$223,4,FALSE)</f>
        <v>Kapitalni izdaci u tekućem budžetu</v>
      </c>
      <c r="C135" s="516"/>
      <c r="D135" s="516"/>
      <c r="E135" s="516"/>
      <c r="F135" s="516"/>
      <c r="G135" s="91">
        <f>+INDEX(DataEx!$1:$1048576,MATCH('2015'!$A135,DataEx!$D:$D,0),MATCH('2015'!G$100,DataEx!$216:$216,0))</f>
        <v>1154156.4341666666</v>
      </c>
      <c r="H135" s="91">
        <f>+INDEX(DataEx!$1:$1048576,MATCH('2015'!$A135,DataEx!$D:$D,0),MATCH('2015'!H$100,DataEx!$216:$216,0))</f>
        <v>1154156.4341666666</v>
      </c>
      <c r="I135" s="91">
        <f>+INDEX(DataEx!$1:$1048576,MATCH('2015'!$A135,DataEx!$D:$D,0),MATCH('2015'!I$100,DataEx!$216:$216,0))</f>
        <v>1154156.4341666666</v>
      </c>
      <c r="J135" s="91">
        <f>+INDEX(DataEx!$1:$1048576,MATCH('2015'!$A135,DataEx!$D:$D,0),MATCH('2015'!J$100,DataEx!$216:$216,0))</f>
        <v>1154156.4341666666</v>
      </c>
      <c r="K135" s="91">
        <f>+INDEX(DataEx!$1:$1048576,MATCH('2015'!$A135,DataEx!$D:$D,0),MATCH('2015'!K$100,DataEx!$216:$216,0))</f>
        <v>1154156.4341666666</v>
      </c>
      <c r="L135" s="91">
        <f>+INDEX(DataEx!$1:$1048576,MATCH('2015'!$A135,DataEx!$D:$D,0),MATCH('2015'!L$100,DataEx!$216:$216,0))</f>
        <v>1154156.4341666666</v>
      </c>
      <c r="M135" s="91">
        <f>+INDEX(DataEx!$1:$1048576,MATCH('2015'!$A135,DataEx!$D:$D,0),MATCH('2015'!M$100,DataEx!$216:$216,0))</f>
        <v>1154156.4341666666</v>
      </c>
      <c r="N135" s="91">
        <f>+INDEX(DataEx!$1:$1048576,MATCH('2015'!$A135,DataEx!$D:$D,0),MATCH('2015'!N$100,DataEx!$216:$216,0))</f>
        <v>1154156.4341666666</v>
      </c>
      <c r="O135" s="91">
        <f>+INDEX(DataEx!$1:$1048576,MATCH('2015'!$A135,DataEx!$D:$D,0),MATCH('2015'!O$100,DataEx!$216:$216,0))</f>
        <v>1154156.4341666666</v>
      </c>
      <c r="P135" s="91">
        <f>+INDEX(DataEx!$1:$1048576,MATCH('2015'!$A135,DataEx!$D:$D,0),MATCH('2015'!P$100,DataEx!$216:$216,0))</f>
        <v>1154156.4341666666</v>
      </c>
      <c r="Q135" s="91">
        <f>+INDEX(DataEx!$1:$1048576,MATCH('2015'!$A135,DataEx!$D:$D,0),MATCH('2015'!Q$100,DataEx!$216:$216,0))</f>
        <v>1154156.4341666666</v>
      </c>
      <c r="R135" s="91">
        <f>+INDEX(DataEx!$1:$1048576,MATCH('2015'!$A135,DataEx!$D:$D,0),MATCH('2015'!R$100,DataEx!$216:$216,0))</f>
        <v>1154156.4341666666</v>
      </c>
      <c r="S135" s="125">
        <f t="shared" si="20"/>
        <v>13849877.209999995</v>
      </c>
      <c r="T135" s="126">
        <f t="shared" si="21"/>
        <v>3.8206557820689643E-3</v>
      </c>
    </row>
    <row r="136" spans="1:20">
      <c r="A136" s="137" t="str">
        <f t="shared" si="17"/>
        <v>42p</v>
      </c>
      <c r="B136" s="542" t="str">
        <f>+VLOOKUP(LEFT($A136,LEN(A136)-1)*1,Master!$D$25:$G$223,4,FALSE)</f>
        <v>Transferi za socijalnu zaštitu</v>
      </c>
      <c r="C136" s="543"/>
      <c r="D136" s="543"/>
      <c r="E136" s="543"/>
      <c r="F136" s="543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7">
        <f t="shared" si="20"/>
        <v>504845525.00000006</v>
      </c>
      <c r="T136" s="128">
        <f t="shared" si="21"/>
        <v>0.13926773103448278</v>
      </c>
    </row>
    <row r="137" spans="1:20">
      <c r="A137" s="137" t="str">
        <f t="shared" si="17"/>
        <v>421p</v>
      </c>
      <c r="B137" s="515" t="str">
        <f>+VLOOKUP(LEFT($A137,LEN(A137)-1)*1,Master!$D$25:$G$223,4,FALSE)</f>
        <v>Prava iz oblasti socijalne zaštite</v>
      </c>
      <c r="C137" s="516"/>
      <c r="D137" s="516"/>
      <c r="E137" s="516"/>
      <c r="F137" s="516"/>
      <c r="G137" s="91">
        <f>+INDEX(DataEx!$1:$1048576,MATCH('2015'!$A137,DataEx!$D:$D,0),MATCH('2015'!G$100,DataEx!$216:$216,0))</f>
        <v>5044218.75</v>
      </c>
      <c r="H137" s="91">
        <f>+INDEX(DataEx!$1:$1048576,MATCH('2015'!$A137,DataEx!$D:$D,0),MATCH('2015'!H$100,DataEx!$216:$216,0))</f>
        <v>5044218.75</v>
      </c>
      <c r="I137" s="91">
        <f>+INDEX(DataEx!$1:$1048576,MATCH('2015'!$A137,DataEx!$D:$D,0),MATCH('2015'!I$100,DataEx!$216:$216,0))</f>
        <v>5044218.75</v>
      </c>
      <c r="J137" s="91">
        <f>+INDEX(DataEx!$1:$1048576,MATCH('2015'!$A137,DataEx!$D:$D,0),MATCH('2015'!J$100,DataEx!$216:$216,0))</f>
        <v>5044218.75</v>
      </c>
      <c r="K137" s="91">
        <f>+INDEX(DataEx!$1:$1048576,MATCH('2015'!$A137,DataEx!$D:$D,0),MATCH('2015'!K$100,DataEx!$216:$216,0))</f>
        <v>5044218.75</v>
      </c>
      <c r="L137" s="91">
        <f>+INDEX(DataEx!$1:$1048576,MATCH('2015'!$A137,DataEx!$D:$D,0),MATCH('2015'!L$100,DataEx!$216:$216,0))</f>
        <v>5044218.75</v>
      </c>
      <c r="M137" s="91">
        <f>+INDEX(DataEx!$1:$1048576,MATCH('2015'!$A137,DataEx!$D:$D,0),MATCH('2015'!M$100,DataEx!$216:$216,0))</f>
        <v>5044218.75</v>
      </c>
      <c r="N137" s="91">
        <f>+INDEX(DataEx!$1:$1048576,MATCH('2015'!$A137,DataEx!$D:$D,0),MATCH('2015'!N$100,DataEx!$216:$216,0))</f>
        <v>5044218.75</v>
      </c>
      <c r="O137" s="91">
        <f>+INDEX(DataEx!$1:$1048576,MATCH('2015'!$A137,DataEx!$D:$D,0),MATCH('2015'!O$100,DataEx!$216:$216,0))</f>
        <v>5044218.75</v>
      </c>
      <c r="P137" s="91">
        <f>+INDEX(DataEx!$1:$1048576,MATCH('2015'!$A137,DataEx!$D:$D,0),MATCH('2015'!P$100,DataEx!$216:$216,0))</f>
        <v>5044218.75</v>
      </c>
      <c r="Q137" s="91">
        <f>+INDEX(DataEx!$1:$1048576,MATCH('2015'!$A137,DataEx!$D:$D,0),MATCH('2015'!Q$100,DataEx!$216:$216,0))</f>
        <v>5044218.75</v>
      </c>
      <c r="R137" s="91">
        <f>+INDEX(DataEx!$1:$1048576,MATCH('2015'!$A137,DataEx!$D:$D,0),MATCH('2015'!R$100,DataEx!$216:$216,0))</f>
        <v>5044218.75</v>
      </c>
      <c r="S137" s="125">
        <f t="shared" si="20"/>
        <v>60530625</v>
      </c>
      <c r="T137" s="126">
        <f t="shared" si="21"/>
        <v>1.6698103448275863E-2</v>
      </c>
    </row>
    <row r="138" spans="1:20">
      <c r="A138" s="137" t="str">
        <f t="shared" si="17"/>
        <v>422p</v>
      </c>
      <c r="B138" s="515" t="str">
        <f>+VLOOKUP(LEFT($A138,LEN(A138)-1)*1,Master!$D$25:$G$223,4,FALSE)</f>
        <v>Sredstva za tehnološke viškove</v>
      </c>
      <c r="C138" s="516"/>
      <c r="D138" s="516"/>
      <c r="E138" s="516"/>
      <c r="F138" s="516"/>
      <c r="G138" s="91">
        <f>+INDEX(DataEx!$1:$1048576,MATCH('2015'!$A138,DataEx!$D:$D,0),MATCH('2015'!G$100,DataEx!$216:$216,0))</f>
        <v>1620000</v>
      </c>
      <c r="H138" s="91">
        <f>+INDEX(DataEx!$1:$1048576,MATCH('2015'!$A138,DataEx!$D:$D,0),MATCH('2015'!H$100,DataEx!$216:$216,0))</f>
        <v>1620000</v>
      </c>
      <c r="I138" s="91">
        <f>+INDEX(DataEx!$1:$1048576,MATCH('2015'!$A138,DataEx!$D:$D,0),MATCH('2015'!I$100,DataEx!$216:$216,0))</f>
        <v>1620000</v>
      </c>
      <c r="J138" s="91">
        <f>+INDEX(DataEx!$1:$1048576,MATCH('2015'!$A138,DataEx!$D:$D,0),MATCH('2015'!J$100,DataEx!$216:$216,0))</f>
        <v>1620000</v>
      </c>
      <c r="K138" s="91">
        <f>+INDEX(DataEx!$1:$1048576,MATCH('2015'!$A138,DataEx!$D:$D,0),MATCH('2015'!K$100,DataEx!$216:$216,0))</f>
        <v>1620000</v>
      </c>
      <c r="L138" s="91">
        <f>+INDEX(DataEx!$1:$1048576,MATCH('2015'!$A138,DataEx!$D:$D,0),MATCH('2015'!L$100,DataEx!$216:$216,0))</f>
        <v>1620000</v>
      </c>
      <c r="M138" s="91">
        <f>+INDEX(DataEx!$1:$1048576,MATCH('2015'!$A138,DataEx!$D:$D,0),MATCH('2015'!M$100,DataEx!$216:$216,0))</f>
        <v>1620000</v>
      </c>
      <c r="N138" s="91">
        <f>+INDEX(DataEx!$1:$1048576,MATCH('2015'!$A138,DataEx!$D:$D,0),MATCH('2015'!N$100,DataEx!$216:$216,0))</f>
        <v>1620000</v>
      </c>
      <c r="O138" s="91">
        <f>+INDEX(DataEx!$1:$1048576,MATCH('2015'!$A138,DataEx!$D:$D,0),MATCH('2015'!O$100,DataEx!$216:$216,0))</f>
        <v>1620000</v>
      </c>
      <c r="P138" s="91">
        <f>+INDEX(DataEx!$1:$1048576,MATCH('2015'!$A138,DataEx!$D:$D,0),MATCH('2015'!P$100,DataEx!$216:$216,0))</f>
        <v>1620000</v>
      </c>
      <c r="Q138" s="91">
        <f>+INDEX(DataEx!$1:$1048576,MATCH('2015'!$A138,DataEx!$D:$D,0),MATCH('2015'!Q$100,DataEx!$216:$216,0))</f>
        <v>1620000</v>
      </c>
      <c r="R138" s="91">
        <f>+INDEX(DataEx!$1:$1048576,MATCH('2015'!$A138,DataEx!$D:$D,0),MATCH('2015'!R$100,DataEx!$216:$216,0))</f>
        <v>1620000</v>
      </c>
      <c r="S138" s="125">
        <f t="shared" si="20"/>
        <v>19440000</v>
      </c>
      <c r="T138" s="126">
        <f t="shared" si="21"/>
        <v>5.3627586206896555E-3</v>
      </c>
    </row>
    <row r="139" spans="1:20">
      <c r="A139" s="137" t="str">
        <f t="shared" si="17"/>
        <v>423p</v>
      </c>
      <c r="B139" s="515" t="str">
        <f>+VLOOKUP(LEFT($A139,LEN(A139)-1)*1,Master!$D$25:$G$223,4,FALSE)</f>
        <v>Prava iz oblasti penzijskog i invalidskog osiguranja</v>
      </c>
      <c r="C139" s="516"/>
      <c r="D139" s="516"/>
      <c r="E139" s="516"/>
      <c r="F139" s="516"/>
      <c r="G139" s="91">
        <f>+INDEX(DataEx!$1:$1048576,MATCH('2015'!$A139,DataEx!$D:$D,0),MATCH('2015'!G$100,DataEx!$216:$216,0))</f>
        <v>33537908.333333332</v>
      </c>
      <c r="H139" s="91">
        <f>+INDEX(DataEx!$1:$1048576,MATCH('2015'!$A139,DataEx!$D:$D,0),MATCH('2015'!H$100,DataEx!$216:$216,0))</f>
        <v>33537908.333333332</v>
      </c>
      <c r="I139" s="91">
        <f>+INDEX(DataEx!$1:$1048576,MATCH('2015'!$A139,DataEx!$D:$D,0),MATCH('2015'!I$100,DataEx!$216:$216,0))</f>
        <v>33537908.333333332</v>
      </c>
      <c r="J139" s="91">
        <f>+INDEX(DataEx!$1:$1048576,MATCH('2015'!$A139,DataEx!$D:$D,0),MATCH('2015'!J$100,DataEx!$216:$216,0))</f>
        <v>33537908.333333332</v>
      </c>
      <c r="K139" s="91">
        <f>+INDEX(DataEx!$1:$1048576,MATCH('2015'!$A139,DataEx!$D:$D,0),MATCH('2015'!K$100,DataEx!$216:$216,0))</f>
        <v>33537908.333333332</v>
      </c>
      <c r="L139" s="91">
        <f>+INDEX(DataEx!$1:$1048576,MATCH('2015'!$A139,DataEx!$D:$D,0),MATCH('2015'!L$100,DataEx!$216:$216,0))</f>
        <v>33537908.333333332</v>
      </c>
      <c r="M139" s="91">
        <f>+INDEX(DataEx!$1:$1048576,MATCH('2015'!$A139,DataEx!$D:$D,0),MATCH('2015'!M$100,DataEx!$216:$216,0))</f>
        <v>33537908.333333332</v>
      </c>
      <c r="N139" s="91">
        <f>+INDEX(DataEx!$1:$1048576,MATCH('2015'!$A139,DataEx!$D:$D,0),MATCH('2015'!N$100,DataEx!$216:$216,0))</f>
        <v>33537908.333333332</v>
      </c>
      <c r="O139" s="91">
        <f>+INDEX(DataEx!$1:$1048576,MATCH('2015'!$A139,DataEx!$D:$D,0),MATCH('2015'!O$100,DataEx!$216:$216,0))</f>
        <v>33537908.333333332</v>
      </c>
      <c r="P139" s="91">
        <f>+INDEX(DataEx!$1:$1048576,MATCH('2015'!$A139,DataEx!$D:$D,0),MATCH('2015'!P$100,DataEx!$216:$216,0))</f>
        <v>33537908.333333332</v>
      </c>
      <c r="Q139" s="91">
        <f>+INDEX(DataEx!$1:$1048576,MATCH('2015'!$A139,DataEx!$D:$D,0),MATCH('2015'!Q$100,DataEx!$216:$216,0))</f>
        <v>33537908.333333332</v>
      </c>
      <c r="R139" s="91">
        <f>+INDEX(DataEx!$1:$1048576,MATCH('2015'!$A139,DataEx!$D:$D,0),MATCH('2015'!R$100,DataEx!$216:$216,0))</f>
        <v>33537908.333333332</v>
      </c>
      <c r="S139" s="125">
        <f t="shared" si="20"/>
        <v>402454899.99999994</v>
      </c>
      <c r="T139" s="126">
        <f t="shared" si="21"/>
        <v>0.11102204137931034</v>
      </c>
    </row>
    <row r="140" spans="1:20">
      <c r="A140" s="137" t="str">
        <f t="shared" si="17"/>
        <v>424p</v>
      </c>
      <c r="B140" s="515" t="str">
        <f>+VLOOKUP(LEFT($A140,LEN(A140)-1)*1,Master!$D$25:$G$223,4,FALSE)</f>
        <v>Ostala prava iz oblasti zdravstvene zaštite</v>
      </c>
      <c r="C140" s="516"/>
      <c r="D140" s="516"/>
      <c r="E140" s="516"/>
      <c r="F140" s="516"/>
      <c r="G140" s="91">
        <f>+INDEX(DataEx!$1:$1048576,MATCH('2015'!$A140,DataEx!$D:$D,0),MATCH('2015'!G$100,DataEx!$216:$216,0))</f>
        <v>1250000</v>
      </c>
      <c r="H140" s="91">
        <f>+INDEX(DataEx!$1:$1048576,MATCH('2015'!$A140,DataEx!$D:$D,0),MATCH('2015'!H$100,DataEx!$216:$216,0))</f>
        <v>1250000</v>
      </c>
      <c r="I140" s="91">
        <f>+INDEX(DataEx!$1:$1048576,MATCH('2015'!$A140,DataEx!$D:$D,0),MATCH('2015'!I$100,DataEx!$216:$216,0))</f>
        <v>1250000</v>
      </c>
      <c r="J140" s="91">
        <f>+INDEX(DataEx!$1:$1048576,MATCH('2015'!$A140,DataEx!$D:$D,0),MATCH('2015'!J$100,DataEx!$216:$216,0))</f>
        <v>1250000</v>
      </c>
      <c r="K140" s="91">
        <f>+INDEX(DataEx!$1:$1048576,MATCH('2015'!$A140,DataEx!$D:$D,0),MATCH('2015'!K$100,DataEx!$216:$216,0))</f>
        <v>1250000</v>
      </c>
      <c r="L140" s="91">
        <f>+INDEX(DataEx!$1:$1048576,MATCH('2015'!$A140,DataEx!$D:$D,0),MATCH('2015'!L$100,DataEx!$216:$216,0))</f>
        <v>1250000</v>
      </c>
      <c r="M140" s="91">
        <f>+INDEX(DataEx!$1:$1048576,MATCH('2015'!$A140,DataEx!$D:$D,0),MATCH('2015'!M$100,DataEx!$216:$216,0))</f>
        <v>1250000</v>
      </c>
      <c r="N140" s="91">
        <f>+INDEX(DataEx!$1:$1048576,MATCH('2015'!$A140,DataEx!$D:$D,0),MATCH('2015'!N$100,DataEx!$216:$216,0))</f>
        <v>1250000</v>
      </c>
      <c r="O140" s="91">
        <f>+INDEX(DataEx!$1:$1048576,MATCH('2015'!$A140,DataEx!$D:$D,0),MATCH('2015'!O$100,DataEx!$216:$216,0))</f>
        <v>1250000</v>
      </c>
      <c r="P140" s="91">
        <f>+INDEX(DataEx!$1:$1048576,MATCH('2015'!$A140,DataEx!$D:$D,0),MATCH('2015'!P$100,DataEx!$216:$216,0))</f>
        <v>1250000</v>
      </c>
      <c r="Q140" s="91">
        <f>+INDEX(DataEx!$1:$1048576,MATCH('2015'!$A140,DataEx!$D:$D,0),MATCH('2015'!Q$100,DataEx!$216:$216,0))</f>
        <v>1250000</v>
      </c>
      <c r="R140" s="91">
        <f>+INDEX(DataEx!$1:$1048576,MATCH('2015'!$A140,DataEx!$D:$D,0),MATCH('2015'!R$100,DataEx!$216:$216,0))</f>
        <v>1250000</v>
      </c>
      <c r="S140" s="125">
        <f t="shared" si="20"/>
        <v>15000000</v>
      </c>
      <c r="T140" s="126">
        <f t="shared" si="21"/>
        <v>4.1379310344827587E-3</v>
      </c>
    </row>
    <row r="141" spans="1:20">
      <c r="A141" s="137" t="str">
        <f t="shared" si="17"/>
        <v>425p</v>
      </c>
      <c r="B141" s="515" t="str">
        <f>+VLOOKUP(LEFT($A141,LEN(A141)-1)*1,Master!$D$25:$G$223,4,FALSE)</f>
        <v>Ostala prava iz zdravstvenog osiguranja</v>
      </c>
      <c r="C141" s="516"/>
      <c r="D141" s="516"/>
      <c r="E141" s="516"/>
      <c r="F141" s="516"/>
      <c r="G141" s="91">
        <f>+INDEX(DataEx!$1:$1048576,MATCH('2015'!$A141,DataEx!$D:$D,0),MATCH('2015'!G$100,DataEx!$216:$216,0))</f>
        <v>618333.33333333326</v>
      </c>
      <c r="H141" s="91">
        <f>+INDEX(DataEx!$1:$1048576,MATCH('2015'!$A141,DataEx!$D:$D,0),MATCH('2015'!H$100,DataEx!$216:$216,0))</f>
        <v>618333.33333333326</v>
      </c>
      <c r="I141" s="91">
        <f>+INDEX(DataEx!$1:$1048576,MATCH('2015'!$A141,DataEx!$D:$D,0),MATCH('2015'!I$100,DataEx!$216:$216,0))</f>
        <v>618333.33333333326</v>
      </c>
      <c r="J141" s="91">
        <f>+INDEX(DataEx!$1:$1048576,MATCH('2015'!$A141,DataEx!$D:$D,0),MATCH('2015'!J$100,DataEx!$216:$216,0))</f>
        <v>618333.33333333326</v>
      </c>
      <c r="K141" s="91">
        <f>+INDEX(DataEx!$1:$1048576,MATCH('2015'!$A141,DataEx!$D:$D,0),MATCH('2015'!K$100,DataEx!$216:$216,0))</f>
        <v>618333.33333333326</v>
      </c>
      <c r="L141" s="91">
        <f>+INDEX(DataEx!$1:$1048576,MATCH('2015'!$A141,DataEx!$D:$D,0),MATCH('2015'!L$100,DataEx!$216:$216,0))</f>
        <v>618333.33333333326</v>
      </c>
      <c r="M141" s="91">
        <f>+INDEX(DataEx!$1:$1048576,MATCH('2015'!$A141,DataEx!$D:$D,0),MATCH('2015'!M$100,DataEx!$216:$216,0))</f>
        <v>618333.33333333326</v>
      </c>
      <c r="N141" s="91">
        <f>+INDEX(DataEx!$1:$1048576,MATCH('2015'!$A141,DataEx!$D:$D,0),MATCH('2015'!N$100,DataEx!$216:$216,0))</f>
        <v>618333.33333333326</v>
      </c>
      <c r="O141" s="91">
        <f>+INDEX(DataEx!$1:$1048576,MATCH('2015'!$A141,DataEx!$D:$D,0),MATCH('2015'!O$100,DataEx!$216:$216,0))</f>
        <v>618333.33333333326</v>
      </c>
      <c r="P141" s="91">
        <f>+INDEX(DataEx!$1:$1048576,MATCH('2015'!$A141,DataEx!$D:$D,0),MATCH('2015'!P$100,DataEx!$216:$216,0))</f>
        <v>618333.33333333326</v>
      </c>
      <c r="Q141" s="91">
        <f>+INDEX(DataEx!$1:$1048576,MATCH('2015'!$A141,DataEx!$D:$D,0),MATCH('2015'!Q$100,DataEx!$216:$216,0))</f>
        <v>618333.33333333326</v>
      </c>
      <c r="R141" s="91">
        <f>+INDEX(DataEx!$1:$1048576,MATCH('2015'!$A141,DataEx!$D:$D,0),MATCH('2015'!R$100,DataEx!$216:$216,0))</f>
        <v>618333.33333333326</v>
      </c>
      <c r="S141" s="125">
        <f t="shared" si="20"/>
        <v>7419999.9999999972</v>
      </c>
      <c r="T141" s="126">
        <f t="shared" si="21"/>
        <v>2.0468965517241372E-3</v>
      </c>
    </row>
    <row r="142" spans="1:20">
      <c r="A142" s="137" t="str">
        <f t="shared" si="17"/>
        <v>43p</v>
      </c>
      <c r="B142" s="538" t="str">
        <f>+VLOOKUP(LEFT($A142,LEN(A142)-1)*1,Master!$D$25:$G$223,4,FALSE)</f>
        <v xml:space="preserve">Transferi institucijama, pojedincima, nevladinom i javnom sektoru </v>
      </c>
      <c r="C142" s="539"/>
      <c r="D142" s="539"/>
      <c r="E142" s="539"/>
      <c r="F142" s="539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7">
        <f>+SUM(G142:R142)</f>
        <v>128294696.62</v>
      </c>
      <c r="T142" s="128">
        <f t="shared" si="21"/>
        <v>3.5391640446896556E-2</v>
      </c>
    </row>
    <row r="143" spans="1:20">
      <c r="A143" s="137" t="str">
        <f t="shared" si="17"/>
        <v>44p</v>
      </c>
      <c r="B143" s="538" t="str">
        <f>+VLOOKUP(LEFT($A143,LEN(A143)-1)*1,Master!$D$25:$G$223,4,FALSE)</f>
        <v>Kapitalni budžet</v>
      </c>
      <c r="C143" s="539"/>
      <c r="D143" s="539"/>
      <c r="E143" s="539"/>
      <c r="F143" s="539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7">
        <f t="shared" si="20"/>
        <v>284697076.99999994</v>
      </c>
      <c r="T143" s="128">
        <f t="shared" si="21"/>
        <v>7.8537124689655152E-2</v>
      </c>
    </row>
    <row r="144" spans="1:20">
      <c r="A144" s="137" t="str">
        <f t="shared" si="17"/>
        <v>451p</v>
      </c>
      <c r="B144" s="540" t="str">
        <f>+VLOOKUP(LEFT($A144,LEN(A144)-1)*1,Master!$D$25:$G$223,4,FALSE)</f>
        <v>Pozajmice i krediti</v>
      </c>
      <c r="C144" s="541"/>
      <c r="D144" s="541"/>
      <c r="E144" s="541"/>
      <c r="F144" s="541"/>
      <c r="G144" s="91">
        <f>+INDEX(DataEx!$1:$1048576,MATCH('2015'!$A144,DataEx!$D:$D,0),MATCH('2015'!G$100,DataEx!$216:$216,0))</f>
        <v>187500</v>
      </c>
      <c r="H144" s="91">
        <f>+INDEX(DataEx!$1:$1048576,MATCH('2015'!$A144,DataEx!$D:$D,0),MATCH('2015'!H$100,DataEx!$216:$216,0))</f>
        <v>187500</v>
      </c>
      <c r="I144" s="91">
        <f>+INDEX(DataEx!$1:$1048576,MATCH('2015'!$A144,DataEx!$D:$D,0),MATCH('2015'!I$100,DataEx!$216:$216,0))</f>
        <v>187500</v>
      </c>
      <c r="J144" s="91">
        <f>+INDEX(DataEx!$1:$1048576,MATCH('2015'!$A144,DataEx!$D:$D,0),MATCH('2015'!J$100,DataEx!$216:$216,0))</f>
        <v>187500</v>
      </c>
      <c r="K144" s="91">
        <f>+INDEX(DataEx!$1:$1048576,MATCH('2015'!$A144,DataEx!$D:$D,0),MATCH('2015'!K$100,DataEx!$216:$216,0))</f>
        <v>187500</v>
      </c>
      <c r="L144" s="91">
        <f>+INDEX(DataEx!$1:$1048576,MATCH('2015'!$A144,DataEx!$D:$D,0),MATCH('2015'!L$100,DataEx!$216:$216,0))</f>
        <v>187500</v>
      </c>
      <c r="M144" s="91">
        <f>+INDEX(DataEx!$1:$1048576,MATCH('2015'!$A144,DataEx!$D:$D,0),MATCH('2015'!M$100,DataEx!$216:$216,0))</f>
        <v>187500</v>
      </c>
      <c r="N144" s="91">
        <f>+INDEX(DataEx!$1:$1048576,MATCH('2015'!$A144,DataEx!$D:$D,0),MATCH('2015'!N$100,DataEx!$216:$216,0))</f>
        <v>187500</v>
      </c>
      <c r="O144" s="91">
        <f>+INDEX(DataEx!$1:$1048576,MATCH('2015'!$A144,DataEx!$D:$D,0),MATCH('2015'!O$100,DataEx!$216:$216,0))</f>
        <v>187500</v>
      </c>
      <c r="P144" s="91">
        <f>+INDEX(DataEx!$1:$1048576,MATCH('2015'!$A144,DataEx!$D:$D,0),MATCH('2015'!P$100,DataEx!$216:$216,0))</f>
        <v>187500</v>
      </c>
      <c r="Q144" s="91">
        <f>+INDEX(DataEx!$1:$1048576,MATCH('2015'!$A144,DataEx!$D:$D,0),MATCH('2015'!Q$100,DataEx!$216:$216,0))</f>
        <v>187500</v>
      </c>
      <c r="R144" s="91">
        <f>+INDEX(DataEx!$1:$1048576,MATCH('2015'!$A144,DataEx!$D:$D,0),MATCH('2015'!R$100,DataEx!$216:$216,0))</f>
        <v>187500</v>
      </c>
      <c r="S144" s="125">
        <f t="shared" si="20"/>
        <v>2250000</v>
      </c>
      <c r="T144" s="126">
        <f t="shared" si="21"/>
        <v>6.2068965517241383E-4</v>
      </c>
    </row>
    <row r="145" spans="1:20">
      <c r="A145" s="137" t="str">
        <f t="shared" si="17"/>
        <v>47p</v>
      </c>
      <c r="B145" s="540" t="str">
        <f>+VLOOKUP(LEFT($A145,LEN(A145)-1)*1,Master!$D$25:$G$223,4,FALSE)</f>
        <v>Rezerve</v>
      </c>
      <c r="C145" s="541"/>
      <c r="D145" s="541"/>
      <c r="E145" s="541"/>
      <c r="F145" s="541"/>
      <c r="G145" s="91">
        <f>+INDEX(DataEx!$1:$1048576,MATCH('2015'!$A145,DataEx!$D:$D,0),MATCH('2015'!G$100,DataEx!$216:$216,0))</f>
        <v>1087930.2858333334</v>
      </c>
      <c r="H145" s="91">
        <f>+INDEX(DataEx!$1:$1048576,MATCH('2015'!$A145,DataEx!$D:$D,0),MATCH('2015'!H$100,DataEx!$216:$216,0))</f>
        <v>1087930.2858333334</v>
      </c>
      <c r="I145" s="91">
        <f>+INDEX(DataEx!$1:$1048576,MATCH('2015'!$A145,DataEx!$D:$D,0),MATCH('2015'!I$100,DataEx!$216:$216,0))</f>
        <v>1087930.2858333334</v>
      </c>
      <c r="J145" s="91">
        <f>+INDEX(DataEx!$1:$1048576,MATCH('2015'!$A145,DataEx!$D:$D,0),MATCH('2015'!J$100,DataEx!$216:$216,0))</f>
        <v>1087930.2858333334</v>
      </c>
      <c r="K145" s="91">
        <f>+INDEX(DataEx!$1:$1048576,MATCH('2015'!$A145,DataEx!$D:$D,0),MATCH('2015'!K$100,DataEx!$216:$216,0))</f>
        <v>1087930.2858333334</v>
      </c>
      <c r="L145" s="91">
        <f>+INDEX(DataEx!$1:$1048576,MATCH('2015'!$A145,DataEx!$D:$D,0),MATCH('2015'!L$100,DataEx!$216:$216,0))</f>
        <v>1087930.2858333334</v>
      </c>
      <c r="M145" s="91">
        <f>+INDEX(DataEx!$1:$1048576,MATCH('2015'!$A145,DataEx!$D:$D,0),MATCH('2015'!M$100,DataEx!$216:$216,0))</f>
        <v>1087930.2858333334</v>
      </c>
      <c r="N145" s="91">
        <f>+INDEX(DataEx!$1:$1048576,MATCH('2015'!$A145,DataEx!$D:$D,0),MATCH('2015'!N$100,DataEx!$216:$216,0))</f>
        <v>1087930.2858333334</v>
      </c>
      <c r="O145" s="91">
        <f>+INDEX(DataEx!$1:$1048576,MATCH('2015'!$A145,DataEx!$D:$D,0),MATCH('2015'!O$100,DataEx!$216:$216,0))</f>
        <v>1087930.2858333334</v>
      </c>
      <c r="P145" s="91">
        <f>+INDEX(DataEx!$1:$1048576,MATCH('2015'!$A145,DataEx!$D:$D,0),MATCH('2015'!P$100,DataEx!$216:$216,0))</f>
        <v>1087930.2858333334</v>
      </c>
      <c r="Q145" s="91">
        <f>+INDEX(DataEx!$1:$1048576,MATCH('2015'!$A145,DataEx!$D:$D,0),MATCH('2015'!Q$100,DataEx!$216:$216,0))</f>
        <v>1087930.2858333334</v>
      </c>
      <c r="R145" s="91">
        <f>+INDEX(DataEx!$1:$1048576,MATCH('2015'!$A145,DataEx!$D:$D,0),MATCH('2015'!R$100,DataEx!$216:$216,0))</f>
        <v>1087930.2858333334</v>
      </c>
      <c r="S145" s="125">
        <f t="shared" si="20"/>
        <v>13055163.429999998</v>
      </c>
      <c r="T145" s="126">
        <f t="shared" si="21"/>
        <v>3.6014243944827579E-3</v>
      </c>
    </row>
    <row r="146" spans="1:20" ht="13.5" thickBot="1">
      <c r="A146" s="137" t="str">
        <f t="shared" si="17"/>
        <v>462p</v>
      </c>
      <c r="B146" s="552" t="str">
        <f>+VLOOKUP(LEFT($A146,LEN(A146)-1)*1,Master!$D$25:$G$223,4,FALSE)</f>
        <v>Otplata garancija</v>
      </c>
      <c r="C146" s="553"/>
      <c r="D146" s="553"/>
      <c r="E146" s="553"/>
      <c r="F146" s="553"/>
      <c r="G146" s="91">
        <f>+INDEX(DataEx!$1:$1048576,MATCH('2015'!$A146,DataEx!$D:$D,0),MATCH('2015'!G$100,DataEx!$216:$216,0))</f>
        <v>0</v>
      </c>
      <c r="H146" s="91">
        <f>+INDEX(DataEx!$1:$1048576,MATCH('2015'!$A146,DataEx!$D:$D,0),MATCH('2015'!H$100,DataEx!$216:$216,0))</f>
        <v>0</v>
      </c>
      <c r="I146" s="91">
        <f>+INDEX(DataEx!$1:$1048576,MATCH('2015'!$A146,DataEx!$D:$D,0),MATCH('2015'!I$100,DataEx!$216:$216,0))</f>
        <v>0</v>
      </c>
      <c r="J146" s="91">
        <f>+INDEX(DataEx!$1:$1048576,MATCH('2015'!$A146,DataEx!$D:$D,0),MATCH('2015'!J$100,DataEx!$216:$216,0))</f>
        <v>0</v>
      </c>
      <c r="K146" s="91">
        <f>+INDEX(DataEx!$1:$1048576,MATCH('2015'!$A146,DataEx!$D:$D,0),MATCH('2015'!K$100,DataEx!$216:$216,0))</f>
        <v>0</v>
      </c>
      <c r="L146" s="91">
        <f>+INDEX(DataEx!$1:$1048576,MATCH('2015'!$A146,DataEx!$D:$D,0),MATCH('2015'!L$100,DataEx!$216:$216,0))</f>
        <v>0</v>
      </c>
      <c r="M146" s="91">
        <f>+INDEX(DataEx!$1:$1048576,MATCH('2015'!$A146,DataEx!$D:$D,0),MATCH('2015'!M$100,DataEx!$216:$216,0))</f>
        <v>0</v>
      </c>
      <c r="N146" s="91">
        <f>+INDEX(DataEx!$1:$1048576,MATCH('2015'!$A146,DataEx!$D:$D,0),MATCH('2015'!N$100,DataEx!$216:$216,0))</f>
        <v>0</v>
      </c>
      <c r="O146" s="91">
        <f>+INDEX(DataEx!$1:$1048576,MATCH('2015'!$A146,DataEx!$D:$D,0),MATCH('2015'!O$100,DataEx!$216:$216,0))</f>
        <v>0</v>
      </c>
      <c r="P146" s="91">
        <f>+INDEX(DataEx!$1:$1048576,MATCH('2015'!$A146,DataEx!$D:$D,0),MATCH('2015'!P$100,DataEx!$216:$216,0))</f>
        <v>0</v>
      </c>
      <c r="Q146" s="91">
        <f>+INDEX(DataEx!$1:$1048576,MATCH('2015'!$A146,DataEx!$D:$D,0),MATCH('2015'!Q$100,DataEx!$216:$216,0))</f>
        <v>0</v>
      </c>
      <c r="R146" s="91">
        <f>+INDEX(DataEx!$1:$1048576,MATCH('2015'!$A146,DataEx!$D:$D,0),MATCH('2015'!R$100,DataEx!$216:$216,0))</f>
        <v>0</v>
      </c>
      <c r="S146" s="135">
        <f t="shared" si="20"/>
        <v>0</v>
      </c>
      <c r="T146" s="136">
        <f t="shared" si="21"/>
        <v>0</v>
      </c>
    </row>
    <row r="147" spans="1:20" ht="13.5" thickBot="1">
      <c r="A147" s="138" t="str">
        <f>+CONCATENATE(A55,"p")</f>
        <v>1000p</v>
      </c>
      <c r="B147" s="548" t="str">
        <f>+VLOOKUP(LEFT($A147,LEN(A147)-1)*1,Master!$D$25:$G$223,4,FALSE)</f>
        <v>Suficit / deficit</v>
      </c>
      <c r="C147" s="549"/>
      <c r="D147" s="549"/>
      <c r="E147" s="549"/>
      <c r="F147" s="549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3">
        <f t="shared" si="20"/>
        <v>-235789554.46661687</v>
      </c>
      <c r="T147" s="114">
        <f t="shared" si="21"/>
        <v>-6.5045394335618442E-2</v>
      </c>
    </row>
    <row r="148" spans="1:20" ht="13.5" thickBot="1">
      <c r="A148" s="138" t="str">
        <f>+CONCATENATE(A56,"p")</f>
        <v>1001p</v>
      </c>
      <c r="B148" s="550" t="str">
        <f>+VLOOKUP(LEFT($A148,LEN(A148)-1)*1,Master!$D$25:$G$223,4,FALSE)</f>
        <v>Primarni bilans</v>
      </c>
      <c r="C148" s="551"/>
      <c r="D148" s="551"/>
      <c r="E148" s="551"/>
      <c r="F148" s="551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3">
        <f t="shared" si="20"/>
        <v>-160023670.49661687</v>
      </c>
      <c r="T148" s="114">
        <f t="shared" si="21"/>
        <v>-4.414446082665293E-2</v>
      </c>
    </row>
    <row r="149" spans="1:20">
      <c r="A149" s="138" t="str">
        <f>+CONCATENATE(A57,"p")</f>
        <v>46p</v>
      </c>
      <c r="B149" s="542" t="str">
        <f>+VLOOKUP(LEFT($A149,LEN(A149)-1)*1,Master!$D$25:$G$223,4,FALSE)</f>
        <v>Otplata dugova</v>
      </c>
      <c r="C149" s="543"/>
      <c r="D149" s="543"/>
      <c r="E149" s="543"/>
      <c r="F149" s="543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09">
        <f t="shared" si="20"/>
        <v>398292084.37000012</v>
      </c>
      <c r="T149" s="110">
        <f t="shared" si="21"/>
        <v>0.10987367844689659</v>
      </c>
    </row>
    <row r="150" spans="1:20">
      <c r="A150" s="138" t="str">
        <f>+CONCATENATE(A58,"p")</f>
        <v>4611p</v>
      </c>
      <c r="B150" s="546" t="str">
        <f>+VLOOKUP(LEFT($A150,LEN(A150)-1)*1,Master!$D$25:$G$223,4,FALSE)</f>
        <v>Otplata hartija od vrijednosti i kredita rezidentima</v>
      </c>
      <c r="C150" s="547"/>
      <c r="D150" s="547"/>
      <c r="E150" s="547"/>
      <c r="F150" s="547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7">
        <f t="shared" si="20"/>
        <v>46710121.919999987</v>
      </c>
      <c r="T150" s="108">
        <f t="shared" si="21"/>
        <v>1.2885550874482754E-2</v>
      </c>
    </row>
    <row r="151" spans="1:20">
      <c r="A151" s="138" t="str">
        <f>+CONCATENATE(A59,"p")</f>
        <v>4612p</v>
      </c>
      <c r="B151" s="540" t="str">
        <f>+VLOOKUP(LEFT($A151,LEN(A151)-1)*1,Master!$D$25:$G$223,4,FALSE)</f>
        <v>Otplata hartija od vrijednosti i kredita nerezidentima</v>
      </c>
      <c r="C151" s="541"/>
      <c r="D151" s="541"/>
      <c r="E151" s="541"/>
      <c r="F151" s="541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7">
        <f t="shared" si="20"/>
        <v>317770882.44999999</v>
      </c>
      <c r="T151" s="108">
        <f t="shared" si="21"/>
        <v>8.7660933089655169E-2</v>
      </c>
    </row>
    <row r="152" spans="1:20" ht="13.5" thickBot="1">
      <c r="A152" s="138" t="str">
        <f>+CONCATENATE(A53,"p")</f>
        <v>4630p</v>
      </c>
      <c r="B152" s="552" t="str">
        <f>+VLOOKUP(LEFT($A152,LEN(A152)-1)*1,Master!$D$25:$G$223,4,FALSE)</f>
        <v>Otplata obaveza iz prethodnih godina</v>
      </c>
      <c r="C152" s="553"/>
      <c r="D152" s="553"/>
      <c r="E152" s="553"/>
      <c r="F152" s="553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7">
        <f t="shared" si="20"/>
        <v>33811080</v>
      </c>
      <c r="T152" s="108">
        <f t="shared" si="21"/>
        <v>9.32719448275862E-3</v>
      </c>
    </row>
    <row r="153" spans="1:20" ht="13.5" thickBot="1">
      <c r="A153" s="138" t="str">
        <f t="shared" ref="A153:A158" si="30">+CONCATENATE(A60,"p")</f>
        <v>1002p</v>
      </c>
      <c r="B153" s="544" t="str">
        <f>+VLOOKUP(LEFT($A153,LEN(A153)-1)*1,Master!$D$25:$G$223,4,FALSE)</f>
        <v>Nedostajuća sredstva</v>
      </c>
      <c r="C153" s="545"/>
      <c r="D153" s="545"/>
      <c r="E153" s="545"/>
      <c r="F153" s="545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7">
        <f t="shared" si="20"/>
        <v>-634081638.83661699</v>
      </c>
      <c r="T153" s="118">
        <f t="shared" si="21"/>
        <v>-0.17491907278251503</v>
      </c>
    </row>
    <row r="154" spans="1:20" ht="13.5" thickBot="1">
      <c r="A154" s="138" t="str">
        <f t="shared" si="30"/>
        <v>1003p</v>
      </c>
      <c r="B154" s="532" t="str">
        <f>+VLOOKUP(LEFT($A154,LEN(A154)-1)*1,Master!$D$25:$G$223,4,FALSE)</f>
        <v>Finansiranje</v>
      </c>
      <c r="C154" s="533"/>
      <c r="D154" s="533"/>
      <c r="E154" s="533"/>
      <c r="F154" s="533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19">
        <f t="shared" si="20"/>
        <v>634081638.83661699</v>
      </c>
      <c r="T154" s="120">
        <f t="shared" si="21"/>
        <v>0.17491907278251503</v>
      </c>
    </row>
    <row r="155" spans="1:20">
      <c r="A155" s="138" t="str">
        <f t="shared" si="30"/>
        <v>7511p</v>
      </c>
      <c r="B155" s="546" t="str">
        <f>+VLOOKUP(LEFT($A155,LEN(A155)-1)*1,Master!$D$25:$G$223,4,FALSE)</f>
        <v>Pozajmice i krediti od domaćih izvora</v>
      </c>
      <c r="C155" s="547"/>
      <c r="D155" s="547"/>
      <c r="E155" s="547"/>
      <c r="F155" s="547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7">
        <f t="shared" si="20"/>
        <v>0</v>
      </c>
      <c r="T155" s="108">
        <f t="shared" si="21"/>
        <v>0</v>
      </c>
    </row>
    <row r="156" spans="1:20">
      <c r="A156" s="138" t="str">
        <f t="shared" si="30"/>
        <v>7512p</v>
      </c>
      <c r="B156" s="540" t="str">
        <f>+VLOOKUP(LEFT($A156,LEN(A156)-1)*1,Master!$D$25:$G$223,4,FALSE)</f>
        <v>Pozajmice i krediti od inostranih izvora</v>
      </c>
      <c r="C156" s="541"/>
      <c r="D156" s="541"/>
      <c r="E156" s="541"/>
      <c r="F156" s="541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7">
        <f t="shared" si="20"/>
        <v>634081638.83661723</v>
      </c>
      <c r="T156" s="108">
        <f t="shared" si="21"/>
        <v>0.17491907278251509</v>
      </c>
    </row>
    <row r="157" spans="1:20">
      <c r="A157" s="138" t="str">
        <f t="shared" si="30"/>
        <v>72p</v>
      </c>
      <c r="B157" s="540" t="str">
        <f>+VLOOKUP(LEFT($A157,LEN(A157)-1)*1,Master!$D$25:$G$223,4,FALSE)</f>
        <v>Primici od prodaje imovine</v>
      </c>
      <c r="C157" s="541"/>
      <c r="D157" s="541"/>
      <c r="E157" s="541"/>
      <c r="F157" s="54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7">
        <f t="shared" si="20"/>
        <v>0</v>
      </c>
      <c r="T157" s="108">
        <f t="shared" si="21"/>
        <v>0</v>
      </c>
    </row>
    <row r="158" spans="1:20" ht="13.5" thickBot="1">
      <c r="A158" s="138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1">
        <f t="shared" si="20"/>
        <v>-2.384185791015625E-7</v>
      </c>
      <c r="T158" s="112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530</v>
      </c>
      <c r="H6" s="259" t="s">
        <v>531</v>
      </c>
      <c r="I6" s="259" t="s">
        <v>532</v>
      </c>
      <c r="J6" s="259" t="s">
        <v>533</v>
      </c>
      <c r="K6" s="259" t="s">
        <v>534</v>
      </c>
      <c r="L6" s="259" t="s">
        <v>535</v>
      </c>
      <c r="M6" s="259" t="s">
        <v>536</v>
      </c>
      <c r="N6" s="259" t="s">
        <v>537</v>
      </c>
      <c r="O6" s="259" t="s">
        <v>538</v>
      </c>
      <c r="P6" s="259" t="s">
        <v>539</v>
      </c>
      <c r="Q6" s="259" t="s">
        <v>540</v>
      </c>
      <c r="R6" s="259" t="s">
        <v>541</v>
      </c>
      <c r="S6" s="258"/>
      <c r="T6" s="258"/>
    </row>
    <row r="7" spans="1:20" ht="15" customHeight="1" thickBot="1">
      <c r="A7" s="169"/>
      <c r="B7" s="498" t="str">
        <f>+Master!G249</f>
        <v>Ostvarenje budžeta</v>
      </c>
      <c r="C7" s="479"/>
      <c r="D7" s="479"/>
      <c r="E7" s="479"/>
      <c r="F7" s="479"/>
      <c r="G7" s="487">
        <v>2014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+Master!G246</f>
        <v>BDP</v>
      </c>
      <c r="T7" s="261">
        <v>3457880000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+Master!G229</f>
        <v>Januar</v>
      </c>
      <c r="H8" s="170" t="str">
        <f>+Master!G230</f>
        <v>Februar</v>
      </c>
      <c r="I8" s="170" t="str">
        <f>+Master!G231</f>
        <v>Mart</v>
      </c>
      <c r="J8" s="170" t="str">
        <f>+Master!G232</f>
        <v>April</v>
      </c>
      <c r="K8" s="170" t="str">
        <f>+Master!G233</f>
        <v>Maj</v>
      </c>
      <c r="L8" s="170" t="str">
        <f>+Master!G234</f>
        <v>Jun</v>
      </c>
      <c r="M8" s="170" t="str">
        <f>+Master!G235</f>
        <v>Jul</v>
      </c>
      <c r="N8" s="170" t="str">
        <f>+Master!G236</f>
        <v>Avgust</v>
      </c>
      <c r="O8" s="170" t="str">
        <f>+Master!G237</f>
        <v>Septembar</v>
      </c>
      <c r="P8" s="170" t="str">
        <f>+Master!G238</f>
        <v>Oktobar</v>
      </c>
      <c r="Q8" s="170" t="str">
        <f>+Master!G239</f>
        <v>Novembar</v>
      </c>
      <c r="R8" s="170" t="str">
        <f>+Master!G240</f>
        <v>Decembar</v>
      </c>
      <c r="S8" s="487" t="s">
        <v>705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BDP</v>
      </c>
    </row>
    <row r="10" spans="1:20" ht="13.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4" t="str">
        <f>+VLOOKUP($A55,Master!$D$25:$G$223,4,FALSE)</f>
        <v>Suficit / deficit</v>
      </c>
      <c r="C55" s="555"/>
      <c r="D55" s="555"/>
      <c r="E55" s="555"/>
      <c r="F55" s="555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+VLOOKUP($A65,Master!$D$25:$G$223,4,FALSE)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2014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5" t="str">
        <f>+S7</f>
        <v>BDP</v>
      </c>
      <c r="T101" s="116">
        <v>3393200615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5" t="e">
        <f>+VLOOKUP(LEFT($A112,LEN(A112)-1)*1,Master!$D$25:$G$223,4,FALSE)</f>
        <v>#REF!</v>
      </c>
      <c r="C112" s="516"/>
      <c r="D112" s="516"/>
      <c r="E112" s="516"/>
      <c r="F112" s="516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5" t="str">
        <f>+VLOOKUP(LEFT($A113,LEN(A113)-1)*1,Master!$D$25:$G$223,4,FALSE)</f>
        <v>Ostali državni porezi</v>
      </c>
      <c r="C113" s="516"/>
      <c r="D113" s="516"/>
      <c r="E113" s="516"/>
      <c r="F113" s="516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8" t="str">
        <f>+VLOOKUP(LEFT($A114,LEN(A114)-1)*1,Master!$D$25:$G$223,4,FALSE)</f>
        <v>Doprinosi</v>
      </c>
      <c r="C114" s="529"/>
      <c r="D114" s="529"/>
      <c r="E114" s="529"/>
      <c r="F114" s="529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5" t="str">
        <f>+VLOOKUP(LEFT($A115,LEN(A115)-1)*1,Master!$D$25:$G$223,4,FALSE)</f>
        <v>Doprinosi za penzijsko i invalidsko osiguranje</v>
      </c>
      <c r="C115" s="516"/>
      <c r="D115" s="516"/>
      <c r="E115" s="516"/>
      <c r="F115" s="516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5" t="str">
        <f>+VLOOKUP(LEFT($A116,LEN(A116)-1)*1,Master!$D$25:$G$223,4,FALSE)</f>
        <v>Doprinosi za zdravstveno osiguranje</v>
      </c>
      <c r="C116" s="516"/>
      <c r="D116" s="516"/>
      <c r="E116" s="516"/>
      <c r="F116" s="516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5" t="str">
        <f>+VLOOKUP(LEFT($A117,LEN(A117)-1)*1,Master!$D$25:$G$223,4,FALSE)</f>
        <v>Doprinosi za osiguranje od nezaposlenosti</v>
      </c>
      <c r="C117" s="516"/>
      <c r="D117" s="516"/>
      <c r="E117" s="516"/>
      <c r="F117" s="516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5" t="str">
        <f>+VLOOKUP(LEFT($A118,LEN(A118)-1)*1,Master!$D$25:$G$223,4,FALSE)</f>
        <v>Ostali doprinosi</v>
      </c>
      <c r="C118" s="516"/>
      <c r="D118" s="516"/>
      <c r="E118" s="516"/>
      <c r="F118" s="516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6" t="str">
        <f>+VLOOKUP(LEFT($A119,LEN(A119)-1)*1,Master!$D$25:$G$223,4,FALSE)</f>
        <v>Takse</v>
      </c>
      <c r="C119" s="527"/>
      <c r="D119" s="527"/>
      <c r="E119" s="527"/>
      <c r="F119" s="527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6" t="str">
        <f>+VLOOKUP(LEFT($A120,LEN(A120)-1)*1,Master!$D$25:$G$223,4,FALSE)</f>
        <v>Naknade</v>
      </c>
      <c r="C120" s="527"/>
      <c r="D120" s="527"/>
      <c r="E120" s="527"/>
      <c r="F120" s="527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6" t="str">
        <f>+VLOOKUP(LEFT($A121,LEN(A121)-1)*1,Master!$D$25:$G$223,4,FALSE)</f>
        <v>Ostali prihodi</v>
      </c>
      <c r="C121" s="527"/>
      <c r="D121" s="527"/>
      <c r="E121" s="527"/>
      <c r="F121" s="527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6" t="str">
        <f>+VLOOKUP(LEFT($A122,LEN(A122)-1)*1,Master!$D$25:$G$223,4,FALSE)</f>
        <v>Primici od otplate kredita i sredstva prenesena iz prethodne godine</v>
      </c>
      <c r="C122" s="527"/>
      <c r="D122" s="527"/>
      <c r="E122" s="527"/>
      <c r="F122" s="527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30" t="str">
        <f>+VLOOKUP(LEFT($A123,LEN(A123)-1)*1,Master!$D$25:$G$223,4,FALSE)</f>
        <v>Donacije i transferi</v>
      </c>
      <c r="C123" s="531"/>
      <c r="D123" s="531"/>
      <c r="E123" s="531"/>
      <c r="F123" s="531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32" t="str">
        <f>+VLOOKUP(LEFT($A124,LEN(A124)-1)*1,Master!$D$25:$G$223,4,FALSE)</f>
        <v>Budžetski izdaci</v>
      </c>
      <c r="C124" s="533"/>
      <c r="D124" s="533"/>
      <c r="E124" s="533"/>
      <c r="F124" s="533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34" t="str">
        <f>+VLOOKUP(LEFT($A125,LEN(A125)-1)*1,Master!$D$25:$G$223,4,FALSE)</f>
        <v>Tekući izdaci</v>
      </c>
      <c r="C125" s="535"/>
      <c r="D125" s="535"/>
      <c r="E125" s="535"/>
      <c r="F125" s="535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36" t="str">
        <f>+VLOOKUP(LEFT($A126,LEN(A126)-1)*1,Master!$D$25:$G$223,4,FALSE)</f>
        <v>Tekući budžetski izdaci</v>
      </c>
      <c r="C126" s="537"/>
      <c r="D126" s="537"/>
      <c r="E126" s="537"/>
      <c r="F126" s="537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5" t="str">
        <f>+VLOOKUP(LEFT($A127,LEN(A127)-1)*1,Master!$D$25:$G$223,4,FALSE)</f>
        <v>Bruto zarade i doprinosi na teret poslodavca</v>
      </c>
      <c r="C127" s="516"/>
      <c r="D127" s="516"/>
      <c r="E127" s="516"/>
      <c r="F127" s="516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5" t="str">
        <f>+VLOOKUP(LEFT($A128,LEN(A128)-1)*1,Master!$D$25:$G$223,4,FALSE)</f>
        <v>Ostala lična primanja</v>
      </c>
      <c r="C128" s="516"/>
      <c r="D128" s="516"/>
      <c r="E128" s="516"/>
      <c r="F128" s="516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5" t="str">
        <f>+VLOOKUP(LEFT($A129,LEN(A129)-1)*1,Master!$D$25:$G$223,4,FALSE)</f>
        <v>Rashodi za materijal</v>
      </c>
      <c r="C129" s="516"/>
      <c r="D129" s="516"/>
      <c r="E129" s="516"/>
      <c r="F129" s="516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5" t="str">
        <f>+VLOOKUP(LEFT($A130,LEN(A130)-1)*1,Master!$D$25:$G$223,4,FALSE)</f>
        <v>Rashodi za usluge</v>
      </c>
      <c r="C130" s="516"/>
      <c r="D130" s="516"/>
      <c r="E130" s="516"/>
      <c r="F130" s="516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5" t="str">
        <f>+VLOOKUP(LEFT($A131,LEN(A131)-1)*1,Master!$D$25:$G$223,4,FALSE)</f>
        <v>Rashodi za tekuće održavanje</v>
      </c>
      <c r="C131" s="516"/>
      <c r="D131" s="516"/>
      <c r="E131" s="516"/>
      <c r="F131" s="516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5" t="str">
        <f>+VLOOKUP(LEFT($A132,LEN(A132)-1)*1,Master!$D$25:$G$223,4,FALSE)</f>
        <v>Kamate</v>
      </c>
      <c r="C132" s="516"/>
      <c r="D132" s="516"/>
      <c r="E132" s="516"/>
      <c r="F132" s="516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5" t="str">
        <f>+VLOOKUP(LEFT($A133,LEN(A133)-1)*1,Master!$D$25:$G$223,4,FALSE)</f>
        <v>Renta</v>
      </c>
      <c r="C133" s="516"/>
      <c r="D133" s="516"/>
      <c r="E133" s="516"/>
      <c r="F133" s="516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5" t="str">
        <f>+VLOOKUP(LEFT($A134,LEN(A134)-1)*1,Master!$D$25:$G$223,4,FALSE)</f>
        <v>Subvencije</v>
      </c>
      <c r="C134" s="516"/>
      <c r="D134" s="516"/>
      <c r="E134" s="516"/>
      <c r="F134" s="516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5" t="str">
        <f>+VLOOKUP(LEFT($A135,LEN(A135)-1)*1,Master!$D$25:$G$223,4,FALSE)</f>
        <v>Ostali izdaci</v>
      </c>
      <c r="C135" s="516"/>
      <c r="D135" s="516"/>
      <c r="E135" s="516"/>
      <c r="F135" s="516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5" t="str">
        <f>+VLOOKUP(LEFT($A136,LEN(A136)-1)*1,Master!$D$25:$G$223,4,FALSE)</f>
        <v>Kapitalni izdaci u tekućem budžetu</v>
      </c>
      <c r="C136" s="516"/>
      <c r="D136" s="516"/>
      <c r="E136" s="516"/>
      <c r="F136" s="516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42" t="str">
        <f>+VLOOKUP(LEFT($A137,LEN(A137)-1)*1,Master!$D$25:$G$223,4,FALSE)</f>
        <v>Transferi za socijalnu zaštitu</v>
      </c>
      <c r="C137" s="543"/>
      <c r="D137" s="543"/>
      <c r="E137" s="543"/>
      <c r="F137" s="543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5" t="str">
        <f>+VLOOKUP(LEFT($A138,LEN(A138)-1)*1,Master!$D$25:$G$223,4,FALSE)</f>
        <v>Prava iz oblasti socijalne zaštite</v>
      </c>
      <c r="C138" s="516"/>
      <c r="D138" s="516"/>
      <c r="E138" s="516"/>
      <c r="F138" s="516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5" t="str">
        <f>+VLOOKUP(LEFT($A139,LEN(A139)-1)*1,Master!$D$25:$G$223,4,FALSE)</f>
        <v>Sredstva za tehnološke viškove</v>
      </c>
      <c r="C139" s="516"/>
      <c r="D139" s="516"/>
      <c r="E139" s="516"/>
      <c r="F139" s="516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5" t="str">
        <f>+VLOOKUP(LEFT($A140,LEN(A140)-1)*1,Master!$D$25:$G$223,4,FALSE)</f>
        <v>Prava iz oblasti penzijskog i invalidskog osiguranja</v>
      </c>
      <c r="C140" s="516"/>
      <c r="D140" s="516"/>
      <c r="E140" s="516"/>
      <c r="F140" s="516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5" t="str">
        <f>+VLOOKUP(LEFT($A141,LEN(A141)-1)*1,Master!$D$25:$G$223,4,FALSE)</f>
        <v>Ostala prava iz oblasti zdravstvene zaštite</v>
      </c>
      <c r="C141" s="516"/>
      <c r="D141" s="516"/>
      <c r="E141" s="516"/>
      <c r="F141" s="516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5" t="str">
        <f>+VLOOKUP(LEFT($A142,LEN(A142)-1)*1,Master!$D$25:$G$223,4,FALSE)</f>
        <v>Ostala prava iz zdravstvenog osiguranja</v>
      </c>
      <c r="C142" s="516"/>
      <c r="D142" s="516"/>
      <c r="E142" s="516"/>
      <c r="F142" s="516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38" t="str">
        <f>+VLOOKUP(LEFT($A143,LEN(A143)-1)*1,Master!$D$25:$G$223,4,FALSE)</f>
        <v xml:space="preserve">Transferi institucijama, pojedincima, nevladinom i javnom sektoru </v>
      </c>
      <c r="C143" s="539"/>
      <c r="D143" s="539"/>
      <c r="E143" s="539"/>
      <c r="F143" s="539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38" t="str">
        <f>+VLOOKUP(LEFT($A144,LEN(A144)-1)*1,Master!$D$25:$G$223,4,FALSE)</f>
        <v>Kapitalni budžet</v>
      </c>
      <c r="C144" s="539"/>
      <c r="D144" s="539"/>
      <c r="E144" s="539"/>
      <c r="F144" s="539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40" t="str">
        <f>+VLOOKUP(LEFT($A145,LEN(A145)-1)*1,Master!$D$25:$G$223,4,FALSE)</f>
        <v>Pozajmice i krediti</v>
      </c>
      <c r="C145" s="541"/>
      <c r="D145" s="541"/>
      <c r="E145" s="541"/>
      <c r="F145" s="541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40" t="str">
        <f>+VLOOKUP(LEFT($A146,LEN(A146)-1)*1,Master!$D$25:$G$223,4,FALSE)</f>
        <v>Rezerve</v>
      </c>
      <c r="C146" s="541"/>
      <c r="D146" s="541"/>
      <c r="E146" s="541"/>
      <c r="F146" s="541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2" t="str">
        <f>+VLOOKUP(LEFT($A147,LEN(A147)-1)*1,Master!$D$25:$G$223,4,FALSE)</f>
        <v>Otplata garancija</v>
      </c>
      <c r="C147" s="553"/>
      <c r="D147" s="553"/>
      <c r="E147" s="553"/>
      <c r="F147" s="553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48" t="str">
        <f>+VLOOKUP(LEFT($A148,LEN(A148)-1)*1,Master!$D$25:$G$223,4,FALSE)</f>
        <v>Suficit / deficit</v>
      </c>
      <c r="C148" s="549"/>
      <c r="D148" s="549"/>
      <c r="E148" s="549"/>
      <c r="F148" s="549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50" t="str">
        <f>+VLOOKUP(LEFT($A149,LEN(A149)-1)*1,Master!$D$25:$G$223,4,FALSE)</f>
        <v>Primarni bilans</v>
      </c>
      <c r="C149" s="551"/>
      <c r="D149" s="551"/>
      <c r="E149" s="551"/>
      <c r="F149" s="551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42" t="str">
        <f>+VLOOKUP(LEFT($A150,LEN(A150)-1)*1,Master!$D$25:$G$223,4,FALSE)</f>
        <v>Otplata dugova</v>
      </c>
      <c r="C150" s="543"/>
      <c r="D150" s="543"/>
      <c r="E150" s="543"/>
      <c r="F150" s="543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46" t="str">
        <f>+VLOOKUP(LEFT($A151,LEN(A151)-1)*1,Master!$D$25:$G$223,4,FALSE)</f>
        <v>Otplata hartija od vrijednosti i kredita rezidentima</v>
      </c>
      <c r="C151" s="547"/>
      <c r="D151" s="547"/>
      <c r="E151" s="547"/>
      <c r="F151" s="547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40" t="str">
        <f>+VLOOKUP(LEFT($A152,LEN(A152)-1)*1,Master!$D$25:$G$223,4,FALSE)</f>
        <v>Otplata hartija od vrijednosti i kredita nerezidentima</v>
      </c>
      <c r="C152" s="541"/>
      <c r="D152" s="541"/>
      <c r="E152" s="541"/>
      <c r="F152" s="54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2" t="str">
        <f>+VLOOKUP(LEFT($A153,LEN(A153)-1)*1,Master!$D$25:$G$223,4,FALSE)</f>
        <v>Otplata obaveza iz prethodnih godina</v>
      </c>
      <c r="C153" s="553"/>
      <c r="D153" s="553"/>
      <c r="E153" s="553"/>
      <c r="F153" s="553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44" t="str">
        <f>+VLOOKUP(LEFT($A154,LEN(A154)-1)*1,Master!$D$25:$G$223,4,FALSE)</f>
        <v>Nedostajuća sredstva</v>
      </c>
      <c r="C154" s="545"/>
      <c r="D154" s="545"/>
      <c r="E154" s="545"/>
      <c r="F154" s="54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32" t="str">
        <f>+VLOOKUP(LEFT($A155,LEN(A155)-1)*1,Master!$D$25:$G$223,4,FALSE)</f>
        <v>Finansiranje</v>
      </c>
      <c r="C155" s="533"/>
      <c r="D155" s="533"/>
      <c r="E155" s="533"/>
      <c r="F155" s="533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46" t="str">
        <f>+VLOOKUP(LEFT($A156,LEN(A156)-1)*1,Master!$D$25:$G$223,4,FALSE)</f>
        <v>Pozajmice i krediti od domaćih izvora</v>
      </c>
      <c r="C156" s="547"/>
      <c r="D156" s="547"/>
      <c r="E156" s="547"/>
      <c r="F156" s="547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40" t="str">
        <f>+VLOOKUP(LEFT($A157,LEN(A157)-1)*1,Master!$D$25:$G$223,4,FALSE)</f>
        <v>Pozajmice i krediti od inostranih izvora</v>
      </c>
      <c r="C157" s="541"/>
      <c r="D157" s="541"/>
      <c r="E157" s="541"/>
      <c r="F157" s="54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40" t="str">
        <f>+VLOOKUP(LEFT($A158,LEN(A158)-1)*1,Master!$D$25:$G$223,4,FALSE)</f>
        <v>Primici od prodaje imovine</v>
      </c>
      <c r="C158" s="541"/>
      <c r="D158" s="541"/>
      <c r="E158" s="541"/>
      <c r="F158" s="54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17" t="str">
        <f>+Master!G249</f>
        <v>Ostvarenje budžeta</v>
      </c>
      <c r="C7" s="518"/>
      <c r="D7" s="518"/>
      <c r="E7" s="518"/>
      <c r="F7" s="518"/>
      <c r="G7" s="509">
        <v>2013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5"/>
      <c r="S7" s="525"/>
      <c r="T7" s="525"/>
      <c r="U7" s="510"/>
      <c r="V7" s="360"/>
      <c r="W7" s="115" t="str">
        <f>+Master!G246</f>
        <v>BDP</v>
      </c>
      <c r="X7" s="116">
        <v>3327000000</v>
      </c>
    </row>
    <row r="8" spans="1:24" ht="16.5" customHeight="1">
      <c r="B8" s="519"/>
      <c r="C8" s="520"/>
      <c r="D8" s="520"/>
      <c r="E8" s="520"/>
      <c r="F8" s="521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509" t="s">
        <v>706</v>
      </c>
      <c r="X8" s="510"/>
    </row>
    <row r="9" spans="1:24" ht="13.5" thickBot="1">
      <c r="B9" s="522"/>
      <c r="C9" s="523"/>
      <c r="D9" s="523"/>
      <c r="E9" s="523"/>
      <c r="F9" s="524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511" t="str">
        <f>+VLOOKUP($A10,Master!$D$25:$G$223,4,FALSE)</f>
        <v>Prihodi budžeta</v>
      </c>
      <c r="C10" s="512"/>
      <c r="D10" s="512"/>
      <c r="E10" s="512"/>
      <c r="F10" s="512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13" t="str">
        <f>+VLOOKUP($A11,Master!$D$25:$G$223,4,FALSE)</f>
        <v>Porezi</v>
      </c>
      <c r="C11" s="514"/>
      <c r="D11" s="514"/>
      <c r="E11" s="514"/>
      <c r="F11" s="514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5" t="str">
        <f>+VLOOKUP($A12,Master!$D$25:$G$223,4,FALSE)</f>
        <v>Porez na dohodak fizičkih lica</v>
      </c>
      <c r="C12" s="516"/>
      <c r="D12" s="516"/>
      <c r="E12" s="516"/>
      <c r="F12" s="516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5" t="str">
        <f>+VLOOKUP($A13,Master!$D$25:$G$223,4,FALSE)</f>
        <v>Porez na dobit pravnih lica</v>
      </c>
      <c r="C13" s="516"/>
      <c r="D13" s="516"/>
      <c r="E13" s="516"/>
      <c r="F13" s="516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5" t="str">
        <f>+VLOOKUP($A14,Master!$D$25:$G$223,4,FALSE)</f>
        <v>Porez na promet nepokretnosti</v>
      </c>
      <c r="C14" s="516"/>
      <c r="D14" s="516"/>
      <c r="E14" s="516"/>
      <c r="F14" s="516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5" t="str">
        <f>+VLOOKUP($A15,Master!$D$25:$G$223,4,FALSE)</f>
        <v>Porez na dodatu vrijednost</v>
      </c>
      <c r="C15" s="516"/>
      <c r="D15" s="516"/>
      <c r="E15" s="516"/>
      <c r="F15" s="516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5" t="str">
        <f>+VLOOKUP($A16,Master!$D$25:$G$223,4,FALSE)</f>
        <v>Akcize</v>
      </c>
      <c r="C16" s="516"/>
      <c r="D16" s="516"/>
      <c r="E16" s="516"/>
      <c r="F16" s="516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5" t="str">
        <f>+VLOOKUP($A17,Master!$D$25:$G$223,4,FALSE)</f>
        <v>Porez na međunarodnu trgovinu i transakcije</v>
      </c>
      <c r="C17" s="516"/>
      <c r="D17" s="516"/>
      <c r="E17" s="516"/>
      <c r="F17" s="516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5" t="e">
        <f>+VLOOKUP($A18,Master!$D$25:$G$223,4,FALSE)</f>
        <v>#N/A</v>
      </c>
      <c r="C18" s="516"/>
      <c r="D18" s="516"/>
      <c r="E18" s="516"/>
      <c r="F18" s="516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5" t="str">
        <f>+VLOOKUP($A19,Master!$D$25:$G$223,4,FALSE)</f>
        <v>Ostali državni porezi</v>
      </c>
      <c r="C19" s="516"/>
      <c r="D19" s="516"/>
      <c r="E19" s="516"/>
      <c r="F19" s="516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8" t="str">
        <f>+VLOOKUP($A20,Master!$D$25:$G$223,4,FALSE)</f>
        <v>Doprinosi</v>
      </c>
      <c r="C20" s="529"/>
      <c r="D20" s="529"/>
      <c r="E20" s="529"/>
      <c r="F20" s="52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5" t="str">
        <f>+VLOOKUP($A21,Master!$D$25:$G$223,4,FALSE)</f>
        <v>Doprinosi za penzijsko i invalidsko osiguranje</v>
      </c>
      <c r="C21" s="516"/>
      <c r="D21" s="516"/>
      <c r="E21" s="516"/>
      <c r="F21" s="516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5" t="str">
        <f>+VLOOKUP($A22,Master!$D$25:$G$223,4,FALSE)</f>
        <v>Doprinosi za zdravstveno osiguranje</v>
      </c>
      <c r="C22" s="516"/>
      <c r="D22" s="516"/>
      <c r="E22" s="516"/>
      <c r="F22" s="516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5" t="str">
        <f>+VLOOKUP($A23,Master!$D$25:$G$223,4,FALSE)</f>
        <v>Doprinosi za osiguranje od nezaposlenosti</v>
      </c>
      <c r="C23" s="516"/>
      <c r="D23" s="516"/>
      <c r="E23" s="516"/>
      <c r="F23" s="516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5" t="str">
        <f>+VLOOKUP($A24,Master!$D$25:$G$223,4,FALSE)</f>
        <v>Ostali doprinosi</v>
      </c>
      <c r="C24" s="516"/>
      <c r="D24" s="516"/>
      <c r="E24" s="516"/>
      <c r="F24" s="516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6" t="str">
        <f>+VLOOKUP($A25,Master!$D$25:$G$223,4,FALSE)</f>
        <v>Takse</v>
      </c>
      <c r="C25" s="527"/>
      <c r="D25" s="527"/>
      <c r="E25" s="527"/>
      <c r="F25" s="527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6" t="str">
        <f>+VLOOKUP($A26,Master!$D$25:$G$223,4,FALSE)</f>
        <v>Naknade</v>
      </c>
      <c r="C26" s="527"/>
      <c r="D26" s="527"/>
      <c r="E26" s="527"/>
      <c r="F26" s="527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6" t="str">
        <f>+VLOOKUP($A27,Master!$D$25:$G$223,4,FALSE)</f>
        <v>Ostali prihodi</v>
      </c>
      <c r="C27" s="527"/>
      <c r="D27" s="527"/>
      <c r="E27" s="527"/>
      <c r="F27" s="527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6" t="str">
        <f>+VLOOKUP($A28,Master!$D$25:$G$223,4,FALSE)</f>
        <v>Primici od otplate kredita i sredstva prenesena iz prethodne godine</v>
      </c>
      <c r="C28" s="527"/>
      <c r="D28" s="527"/>
      <c r="E28" s="527"/>
      <c r="F28" s="527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30" t="str">
        <f>+VLOOKUP($A29,Master!$D$25:$G$223,4,FALSE)</f>
        <v>Donacije i transferi</v>
      </c>
      <c r="C29" s="531"/>
      <c r="D29" s="531"/>
      <c r="E29" s="531"/>
      <c r="F29" s="531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32" t="str">
        <f>+VLOOKUP($A30,Master!$D$25:$G$223,4,FALSE)</f>
        <v>Budžetski izdaci</v>
      </c>
      <c r="C30" s="533"/>
      <c r="D30" s="533"/>
      <c r="E30" s="533"/>
      <c r="F30" s="533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34" t="str">
        <f>+VLOOKUP($A31,Master!$D$25:$G$223,4,FALSE)</f>
        <v>Tekući izdaci</v>
      </c>
      <c r="C31" s="535"/>
      <c r="D31" s="535"/>
      <c r="E31" s="535"/>
      <c r="F31" s="535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36" t="str">
        <f>+VLOOKUP($A32,Master!$D$25:$G$223,4,FALSE)</f>
        <v>Tekući budžetski izdaci</v>
      </c>
      <c r="C32" s="537"/>
      <c r="D32" s="537"/>
      <c r="E32" s="537"/>
      <c r="F32" s="537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5" t="str">
        <f>+VLOOKUP($A33,Master!$D$25:$G$223,4,FALSE)</f>
        <v>Bruto zarade i doprinosi na teret poslodavca</v>
      </c>
      <c r="C33" s="516"/>
      <c r="D33" s="516"/>
      <c r="E33" s="516"/>
      <c r="F33" s="516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5" t="str">
        <f>+VLOOKUP($A34,Master!$D$25:$G$223,4,FALSE)</f>
        <v>Ostala lična primanja</v>
      </c>
      <c r="C34" s="516"/>
      <c r="D34" s="516"/>
      <c r="E34" s="516"/>
      <c r="F34" s="516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5" t="str">
        <f>+VLOOKUP($A35,Master!$D$25:$G$223,4,FALSE)</f>
        <v>Rashodi za materijal</v>
      </c>
      <c r="C35" s="516"/>
      <c r="D35" s="516"/>
      <c r="E35" s="516"/>
      <c r="F35" s="516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5" t="str">
        <f>+VLOOKUP($A36,Master!$D$25:$G$223,4,FALSE)</f>
        <v>Rashodi za usluge</v>
      </c>
      <c r="C36" s="516"/>
      <c r="D36" s="516"/>
      <c r="E36" s="516"/>
      <c r="F36" s="516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5" t="str">
        <f>+VLOOKUP($A37,Master!$D$25:$G$223,4,FALSE)</f>
        <v>Rashodi za tekuće održavanje</v>
      </c>
      <c r="C37" s="516"/>
      <c r="D37" s="516"/>
      <c r="E37" s="516"/>
      <c r="F37" s="516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5" t="str">
        <f>+VLOOKUP($A38,Master!$D$25:$G$223,4,FALSE)</f>
        <v>Kamate</v>
      </c>
      <c r="C38" s="516"/>
      <c r="D38" s="516"/>
      <c r="E38" s="516"/>
      <c r="F38" s="516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5" t="str">
        <f>+VLOOKUP($A39,Master!$D$25:$G$223,4,FALSE)</f>
        <v>Renta</v>
      </c>
      <c r="C39" s="516"/>
      <c r="D39" s="516"/>
      <c r="E39" s="516"/>
      <c r="F39" s="516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5" t="str">
        <f>+VLOOKUP($A40,Master!$D$25:$G$223,4,FALSE)</f>
        <v>Subvencije</v>
      </c>
      <c r="C40" s="516"/>
      <c r="D40" s="516"/>
      <c r="E40" s="516"/>
      <c r="F40" s="516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5" t="str">
        <f>+VLOOKUP($A41,Master!$D$25:$G$223,4,FALSE)</f>
        <v>Ostali izdaci</v>
      </c>
      <c r="C41" s="516"/>
      <c r="D41" s="516"/>
      <c r="E41" s="516"/>
      <c r="F41" s="516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5" t="str">
        <f>+VLOOKUP($A42,Master!$D$25:$G$223,4,FALSE)</f>
        <v>Kapitalni izdaci u tekućem budžetu</v>
      </c>
      <c r="C42" s="516"/>
      <c r="D42" s="516"/>
      <c r="E42" s="516"/>
      <c r="F42" s="516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42" t="str">
        <f>+VLOOKUP($A43,Master!$D$25:$G$223,4,FALSE)</f>
        <v>Transferi za socijalnu zaštitu</v>
      </c>
      <c r="C43" s="543"/>
      <c r="D43" s="543"/>
      <c r="E43" s="543"/>
      <c r="F43" s="543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5" t="str">
        <f>+VLOOKUP($A44,Master!$D$25:$G$223,4,FALSE)</f>
        <v>Prava iz oblasti socijalne zaštite</v>
      </c>
      <c r="C44" s="516"/>
      <c r="D44" s="516"/>
      <c r="E44" s="516"/>
      <c r="F44" s="516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5" t="str">
        <f>+VLOOKUP($A45,Master!$D$25:$G$223,4,FALSE)</f>
        <v>Sredstva za tehnološke viškove</v>
      </c>
      <c r="C45" s="516"/>
      <c r="D45" s="516"/>
      <c r="E45" s="516"/>
      <c r="F45" s="516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5" t="str">
        <f>+VLOOKUP($A46,Master!$D$25:$G$223,4,FALSE)</f>
        <v>Prava iz oblasti penzijskog i invalidskog osiguranja</v>
      </c>
      <c r="C46" s="516"/>
      <c r="D46" s="516"/>
      <c r="E46" s="516"/>
      <c r="F46" s="516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5" t="str">
        <f>+VLOOKUP($A47,Master!$D$25:$G$223,4,FALSE)</f>
        <v>Ostala prava iz oblasti zdravstvene zaštite</v>
      </c>
      <c r="C47" s="516"/>
      <c r="D47" s="516"/>
      <c r="E47" s="516"/>
      <c r="F47" s="516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5" t="str">
        <f>+VLOOKUP($A48,Master!$D$25:$G$223,4,FALSE)</f>
        <v>Ostala prava iz zdravstvenog osiguranja</v>
      </c>
      <c r="C48" s="516"/>
      <c r="D48" s="516"/>
      <c r="E48" s="516"/>
      <c r="F48" s="516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38" t="str">
        <f>+VLOOKUP($A49,Master!$D$25:$G$223,4,FALSE)</f>
        <v xml:space="preserve">Transferi institucijama, pojedincima, nevladinom i javnom sektoru </v>
      </c>
      <c r="C49" s="539"/>
      <c r="D49" s="539"/>
      <c r="E49" s="539"/>
      <c r="F49" s="539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38" t="str">
        <f>+VLOOKUP($A50,Master!$D$25:$G$223,4,FALSE)</f>
        <v>Kapitalni budžet</v>
      </c>
      <c r="C50" s="539"/>
      <c r="D50" s="539"/>
      <c r="E50" s="539"/>
      <c r="F50" s="539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40" t="str">
        <f>+VLOOKUP($A51,Master!$D$25:$G$223,4,FALSE)</f>
        <v>Pozajmice i krediti</v>
      </c>
      <c r="C51" s="541"/>
      <c r="D51" s="541"/>
      <c r="E51" s="541"/>
      <c r="F51" s="54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40" t="str">
        <f>+VLOOKUP($A52,Master!$D$25:$G$223,4,FALSE)</f>
        <v>Rezerve</v>
      </c>
      <c r="C52" s="541"/>
      <c r="D52" s="541"/>
      <c r="E52" s="541"/>
      <c r="F52" s="54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2" t="str">
        <f>+VLOOKUP($A53,Master!$D$25:$G$223,4,FALSE)</f>
        <v>Otplata garancija</v>
      </c>
      <c r="C53" s="553"/>
      <c r="D53" s="553"/>
      <c r="E53" s="553"/>
      <c r="F53" s="553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2" t="str">
        <f>+VLOOKUP($A54,Master!$D$25:$G$223,4,FALSE)</f>
        <v>Otplata obaveza iz prethodnih godina</v>
      </c>
      <c r="C54" s="553"/>
      <c r="D54" s="553"/>
      <c r="E54" s="553"/>
      <c r="F54" s="553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2" t="str">
        <f>+VLOOKUP($A55,Master!$D$25:$G$225,4,FALSE)</f>
        <v>Neto povećanje obaveza</v>
      </c>
      <c r="C55" s="553"/>
      <c r="D55" s="553"/>
      <c r="E55" s="553"/>
      <c r="F55" s="553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48" t="str">
        <f>+VLOOKUP($A56,Master!$D$25:$G$223,4,FALSE)</f>
        <v>Suficit / deficit</v>
      </c>
      <c r="C56" s="549"/>
      <c r="D56" s="549"/>
      <c r="E56" s="549"/>
      <c r="F56" s="549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50" t="str">
        <f>+VLOOKUP($A57,Master!$D$25:$G$223,4,FALSE)</f>
        <v>Primarni bilans</v>
      </c>
      <c r="C57" s="551"/>
      <c r="D57" s="551"/>
      <c r="E57" s="551"/>
      <c r="F57" s="551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42" t="str">
        <f>+VLOOKUP($A58,Master!$D$25:$G$223,4,FALSE)</f>
        <v>Otplata dugova</v>
      </c>
      <c r="C58" s="543"/>
      <c r="D58" s="543"/>
      <c r="E58" s="543"/>
      <c r="F58" s="543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46" t="str">
        <f>+VLOOKUP($A59,Master!$D$25:$G$223,4,FALSE)</f>
        <v>Otplata hartija od vrijednosti i kredita rezidentima</v>
      </c>
      <c r="C59" s="547"/>
      <c r="D59" s="547"/>
      <c r="E59" s="547"/>
      <c r="F59" s="547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40" t="str">
        <f>+VLOOKUP($A60,Master!$D$25:$G$223,4,FALSE)</f>
        <v>Otplata hartija od vrijednosti i kredita nerezidentima</v>
      </c>
      <c r="C60" s="541"/>
      <c r="D60" s="541"/>
      <c r="E60" s="541"/>
      <c r="F60" s="54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44" t="str">
        <f>+VLOOKUP($A61,Master!$D$25:$G$223,4,FALSE)</f>
        <v>Nedostajuća sredstva</v>
      </c>
      <c r="C61" s="545"/>
      <c r="D61" s="545"/>
      <c r="E61" s="545"/>
      <c r="F61" s="54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32" t="str">
        <f>+VLOOKUP($A62,Master!$D$25:$G$223,4,FALSE)</f>
        <v>Finansiranje</v>
      </c>
      <c r="C62" s="533"/>
      <c r="D62" s="533"/>
      <c r="E62" s="533"/>
      <c r="F62" s="533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46" t="str">
        <f>+VLOOKUP($A63,Master!$D$25:$G$223,4,FALSE)</f>
        <v>Pozajmice i krediti od domaćih izvora</v>
      </c>
      <c r="C63" s="547"/>
      <c r="D63" s="547"/>
      <c r="E63" s="547"/>
      <c r="F63" s="547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40" t="str">
        <f>+VLOOKUP($A64,Master!$D$25:$G$223,4,FALSE)</f>
        <v>Pozajmice i krediti od inostranih izvora</v>
      </c>
      <c r="C64" s="541"/>
      <c r="D64" s="541"/>
      <c r="E64" s="541"/>
      <c r="F64" s="54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40" t="str">
        <f>+VLOOKUP($A65,Master!$D$25:$G$223,4,FALSE)</f>
        <v>Primici od prodaje imovine</v>
      </c>
      <c r="C65" s="541"/>
      <c r="D65" s="541"/>
      <c r="E65" s="541"/>
      <c r="F65" s="54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498" t="str">
        <f>+Master!G250</f>
        <v>Plan ostvarenja budžeta</v>
      </c>
      <c r="C102" s="479"/>
      <c r="D102" s="479"/>
      <c r="E102" s="479"/>
      <c r="F102" s="479"/>
      <c r="G102" s="487">
        <v>2013</v>
      </c>
      <c r="H102" s="488"/>
      <c r="I102" s="488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91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80"/>
      <c r="C103" s="481"/>
      <c r="D103" s="481"/>
      <c r="E103" s="481"/>
      <c r="F103" s="482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87" t="str">
        <f>+Master!G244</f>
        <v>Jan - Dec</v>
      </c>
      <c r="X103" s="491">
        <f>+X8</f>
        <v>0</v>
      </c>
    </row>
    <row r="104" spans="1:24" ht="13.5" thickBot="1">
      <c r="A104" s="169"/>
      <c r="B104" s="483"/>
      <c r="C104" s="484"/>
      <c r="D104" s="484"/>
      <c r="E104" s="484"/>
      <c r="F104" s="485"/>
      <c r="G104" s="162" t="s">
        <v>428</v>
      </c>
      <c r="H104" s="162" t="s">
        <v>428</v>
      </c>
      <c r="I104" s="162" t="s">
        <v>428</v>
      </c>
      <c r="J104" s="162"/>
      <c r="K104" s="162" t="s">
        <v>428</v>
      </c>
      <c r="L104" s="162" t="s">
        <v>428</v>
      </c>
      <c r="M104" s="162" t="s">
        <v>428</v>
      </c>
      <c r="N104" s="162"/>
      <c r="O104" s="162" t="s">
        <v>428</v>
      </c>
      <c r="P104" s="162" t="s">
        <v>428</v>
      </c>
      <c r="Q104" s="162" t="s">
        <v>428</v>
      </c>
      <c r="R104" s="162"/>
      <c r="S104" s="162" t="s">
        <v>428</v>
      </c>
      <c r="T104" s="162" t="s">
        <v>428</v>
      </c>
      <c r="U104" s="162" t="s">
        <v>428</v>
      </c>
      <c r="V104" s="162"/>
      <c r="W104" s="262" t="s">
        <v>428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46" t="str">
        <f>+VLOOKUP(LEFT($A105,LEN(A105)-1)*1,Master!$D$25:$G$223,4,FALSE)</f>
        <v>Prihodi budžeta</v>
      </c>
      <c r="C105" s="447"/>
      <c r="D105" s="447"/>
      <c r="E105" s="447"/>
      <c r="F105" s="447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48" t="str">
        <f>+VLOOKUP(LEFT($A106,LEN(A106)-1)*1,Master!$D$25:$G$223,4,FALSE)</f>
        <v>Porezi</v>
      </c>
      <c r="C106" s="449"/>
      <c r="D106" s="449"/>
      <c r="E106" s="449"/>
      <c r="F106" s="449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50" t="str">
        <f>+VLOOKUP(LEFT($A107,LEN(A107)-1)*1,Master!$D$25:$G$223,4,FALSE)</f>
        <v>Porez na dohodak fizičkih lica</v>
      </c>
      <c r="C107" s="451"/>
      <c r="D107" s="451"/>
      <c r="E107" s="451"/>
      <c r="F107" s="451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50" t="str">
        <f>+VLOOKUP(LEFT($A108,LEN(A108)-1)*1,Master!$D$25:$G$223,4,FALSE)</f>
        <v>Porez na dobit pravnih lica</v>
      </c>
      <c r="C108" s="451"/>
      <c r="D108" s="451"/>
      <c r="E108" s="451"/>
      <c r="F108" s="451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50" t="str">
        <f>+VLOOKUP(LEFT($A109,LEN(A109)-1)*1,Master!$D$25:$G$223,4,FALSE)</f>
        <v>Porez na promet nepokretnosti</v>
      </c>
      <c r="C109" s="451"/>
      <c r="D109" s="451"/>
      <c r="E109" s="451"/>
      <c r="F109" s="451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50" t="str">
        <f>+VLOOKUP(LEFT($A110,LEN(A110)-1)*1,Master!$D$25:$G$223,4,FALSE)</f>
        <v>Porez na dodatu vrijednost</v>
      </c>
      <c r="C110" s="451"/>
      <c r="D110" s="451"/>
      <c r="E110" s="451"/>
      <c r="F110" s="451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50" t="str">
        <f>+VLOOKUP(LEFT($A111,LEN(A111)-1)*1,Master!$D$25:$G$223,4,FALSE)</f>
        <v>Akcize</v>
      </c>
      <c r="C111" s="451"/>
      <c r="D111" s="451"/>
      <c r="E111" s="451"/>
      <c r="F111" s="451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50" t="str">
        <f>+VLOOKUP(LEFT($A112,LEN(A112)-1)*1,Master!$D$25:$G$223,4,FALSE)</f>
        <v>Porez na međunarodnu trgovinu i transakcije</v>
      </c>
      <c r="C112" s="451"/>
      <c r="D112" s="451"/>
      <c r="E112" s="451"/>
      <c r="F112" s="451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50" t="e">
        <f>+VLOOKUP(LEFT($A113,LEN(A113)-1)*1,Master!$D$25:$G$223,4,FALSE)</f>
        <v>#N/A</v>
      </c>
      <c r="C113" s="451"/>
      <c r="D113" s="451"/>
      <c r="E113" s="451"/>
      <c r="F113" s="451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50" t="str">
        <f>+VLOOKUP(LEFT($A114,LEN(A114)-1)*1,Master!$D$25:$G$223,4,FALSE)</f>
        <v>Ostali državni porezi</v>
      </c>
      <c r="C114" s="451"/>
      <c r="D114" s="451"/>
      <c r="E114" s="451"/>
      <c r="F114" s="451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54" t="str">
        <f>+VLOOKUP(LEFT($A115,LEN(A115)-1)*1,Master!$D$25:$G$223,4,FALSE)</f>
        <v>Doprinosi</v>
      </c>
      <c r="C115" s="455"/>
      <c r="D115" s="455"/>
      <c r="E115" s="455"/>
      <c r="F115" s="455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50" t="str">
        <f>+VLOOKUP(LEFT($A116,LEN(A116)-1)*1,Master!$D$25:$G$223,4,FALSE)</f>
        <v>Doprinosi za penzijsko i invalidsko osiguranje</v>
      </c>
      <c r="C116" s="451"/>
      <c r="D116" s="451"/>
      <c r="E116" s="451"/>
      <c r="F116" s="451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50" t="str">
        <f>+VLOOKUP(LEFT($A117,LEN(A117)-1)*1,Master!$D$25:$G$223,4,FALSE)</f>
        <v>Doprinosi za zdravstveno osiguranje</v>
      </c>
      <c r="C117" s="451"/>
      <c r="D117" s="451"/>
      <c r="E117" s="451"/>
      <c r="F117" s="451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50" t="str">
        <f>+VLOOKUP(LEFT($A118,LEN(A118)-1)*1,Master!$D$25:$G$223,4,FALSE)</f>
        <v>Doprinosi za osiguranje od nezaposlenosti</v>
      </c>
      <c r="C118" s="451"/>
      <c r="D118" s="451"/>
      <c r="E118" s="451"/>
      <c r="F118" s="451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50" t="str">
        <f>+VLOOKUP(LEFT($A119,LEN(A119)-1)*1,Master!$D$25:$G$223,4,FALSE)</f>
        <v>Ostali doprinosi</v>
      </c>
      <c r="C119" s="451"/>
      <c r="D119" s="451"/>
      <c r="E119" s="451"/>
      <c r="F119" s="451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52" t="str">
        <f>+VLOOKUP(LEFT($A120,LEN(A120)-1)*1,Master!$D$25:$G$223,4,FALSE)</f>
        <v>Takse</v>
      </c>
      <c r="C120" s="453"/>
      <c r="D120" s="453"/>
      <c r="E120" s="453"/>
      <c r="F120" s="453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52" t="str">
        <f>+VLOOKUP(LEFT($A121,LEN(A121)-1)*1,Master!$D$25:$G$223,4,FALSE)</f>
        <v>Naknade</v>
      </c>
      <c r="C121" s="453"/>
      <c r="D121" s="453"/>
      <c r="E121" s="453"/>
      <c r="F121" s="453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52" t="str">
        <f>+VLOOKUP(LEFT($A122,LEN(A122)-1)*1,Master!$D$25:$G$223,4,FALSE)</f>
        <v>Ostali prihodi</v>
      </c>
      <c r="C122" s="453"/>
      <c r="D122" s="453"/>
      <c r="E122" s="453"/>
      <c r="F122" s="453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52" t="str">
        <f>+VLOOKUP(LEFT($A123,LEN(A123)-1)*1,Master!$D$25:$G$223,4,FALSE)</f>
        <v>Primici od otplate kredita i sredstva prenesena iz prethodne godine</v>
      </c>
      <c r="C123" s="453"/>
      <c r="D123" s="453"/>
      <c r="E123" s="453"/>
      <c r="F123" s="453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56" t="str">
        <f>+VLOOKUP(LEFT($A124,LEN(A124)-1)*1,Master!$D$25:$G$223,4,FALSE)</f>
        <v>Donacije i transferi</v>
      </c>
      <c r="C124" s="457"/>
      <c r="D124" s="457"/>
      <c r="E124" s="457"/>
      <c r="F124" s="457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58" t="str">
        <f>+VLOOKUP(LEFT($A125,LEN(A125)-1)*1,Master!$D$25:$G$223,4,FALSE)</f>
        <v>Budžetski izdaci</v>
      </c>
      <c r="C125" s="459"/>
      <c r="D125" s="459"/>
      <c r="E125" s="459"/>
      <c r="F125" s="459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60" t="str">
        <f>+VLOOKUP(LEFT($A126,LEN(A126)-1)*1,Master!$D$25:$G$223,4,FALSE)</f>
        <v>Tekući izdaci</v>
      </c>
      <c r="C126" s="461"/>
      <c r="D126" s="461"/>
      <c r="E126" s="461"/>
      <c r="F126" s="461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62" t="str">
        <f>+VLOOKUP(LEFT($A127,LEN(A127)-1)*1,Master!$D$25:$G$223,4,FALSE)</f>
        <v>Tekući budžetski izdaci</v>
      </c>
      <c r="C127" s="463"/>
      <c r="D127" s="463"/>
      <c r="E127" s="463"/>
      <c r="F127" s="463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50" t="str">
        <f>+VLOOKUP(LEFT($A128,LEN(A128)-1)*1,Master!$D$25:$G$223,4,FALSE)</f>
        <v>Bruto zarade i doprinosi na teret poslodavca</v>
      </c>
      <c r="C128" s="451"/>
      <c r="D128" s="451"/>
      <c r="E128" s="451"/>
      <c r="F128" s="451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50" t="str">
        <f>+VLOOKUP(LEFT($A129,LEN(A129)-1)*1,Master!$D$25:$G$223,4,FALSE)</f>
        <v>Ostala lična primanja</v>
      </c>
      <c r="C129" s="451"/>
      <c r="D129" s="451"/>
      <c r="E129" s="451"/>
      <c r="F129" s="451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50" t="str">
        <f>+VLOOKUP(LEFT($A130,LEN(A130)-1)*1,Master!$D$25:$G$223,4,FALSE)</f>
        <v>Rashodi za materijal</v>
      </c>
      <c r="C130" s="451"/>
      <c r="D130" s="451"/>
      <c r="E130" s="451"/>
      <c r="F130" s="451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50" t="str">
        <f>+VLOOKUP(LEFT($A131,LEN(A131)-1)*1,Master!$D$25:$G$223,4,FALSE)</f>
        <v>Rashodi za usluge</v>
      </c>
      <c r="C131" s="451"/>
      <c r="D131" s="451"/>
      <c r="E131" s="451"/>
      <c r="F131" s="451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50" t="str">
        <f>+VLOOKUP(LEFT($A132,LEN(A132)-1)*1,Master!$D$25:$G$223,4,FALSE)</f>
        <v>Rashodi za tekuće održavanje</v>
      </c>
      <c r="C132" s="451"/>
      <c r="D132" s="451"/>
      <c r="E132" s="451"/>
      <c r="F132" s="451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50" t="str">
        <f>+VLOOKUP(LEFT($A133,LEN(A133)-1)*1,Master!$D$25:$G$223,4,FALSE)</f>
        <v>Kamate</v>
      </c>
      <c r="C133" s="451"/>
      <c r="D133" s="451"/>
      <c r="E133" s="451"/>
      <c r="F133" s="451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50" t="str">
        <f>+VLOOKUP(LEFT($A134,LEN(A134)-1)*1,Master!$D$25:$G$223,4,FALSE)</f>
        <v>Renta</v>
      </c>
      <c r="C134" s="451"/>
      <c r="D134" s="451"/>
      <c r="E134" s="451"/>
      <c r="F134" s="451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50" t="str">
        <f>+VLOOKUP(LEFT($A135,LEN(A135)-1)*1,Master!$D$25:$G$223,4,FALSE)</f>
        <v>Subvencije</v>
      </c>
      <c r="C135" s="451"/>
      <c r="D135" s="451"/>
      <c r="E135" s="451"/>
      <c r="F135" s="451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50" t="str">
        <f>+VLOOKUP(LEFT($A136,LEN(A136)-1)*1,Master!$D$25:$G$223,4,FALSE)</f>
        <v>Ostali izdaci</v>
      </c>
      <c r="C136" s="451"/>
      <c r="D136" s="451"/>
      <c r="E136" s="451"/>
      <c r="F136" s="451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50" t="str">
        <f>+VLOOKUP(LEFT($A137,LEN(A137)-1)*1,Master!$D$25:$G$223,4,FALSE)</f>
        <v>Kapitalni izdaci u tekućem budžetu</v>
      </c>
      <c r="C137" s="451"/>
      <c r="D137" s="451"/>
      <c r="E137" s="451"/>
      <c r="F137" s="451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66" t="str">
        <f>+VLOOKUP(LEFT($A138,LEN(A138)-1)*1,Master!$D$25:$G$223,4,FALSE)</f>
        <v>Transferi za socijalnu zaštitu</v>
      </c>
      <c r="C138" s="467"/>
      <c r="D138" s="467"/>
      <c r="E138" s="467"/>
      <c r="F138" s="467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50" t="str">
        <f>+VLOOKUP(LEFT($A139,LEN(A139)-1)*1,Master!$D$25:$G$223,4,FALSE)</f>
        <v>Prava iz oblasti socijalne zaštite</v>
      </c>
      <c r="C139" s="451"/>
      <c r="D139" s="451"/>
      <c r="E139" s="451"/>
      <c r="F139" s="451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50" t="str">
        <f>+VLOOKUP(LEFT($A140,LEN(A140)-1)*1,Master!$D$25:$G$223,4,FALSE)</f>
        <v>Sredstva za tehnološke viškove</v>
      </c>
      <c r="C140" s="451"/>
      <c r="D140" s="451"/>
      <c r="E140" s="451"/>
      <c r="F140" s="451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50" t="str">
        <f>+VLOOKUP(LEFT($A141,LEN(A141)-1)*1,Master!$D$25:$G$223,4,FALSE)</f>
        <v>Prava iz oblasti penzijskog i invalidskog osiguranja</v>
      </c>
      <c r="C141" s="451"/>
      <c r="D141" s="451"/>
      <c r="E141" s="451"/>
      <c r="F141" s="451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50" t="str">
        <f>+VLOOKUP(LEFT($A142,LEN(A142)-1)*1,Master!$D$25:$G$223,4,FALSE)</f>
        <v>Ostala prava iz oblasti zdravstvene zaštite</v>
      </c>
      <c r="C142" s="451"/>
      <c r="D142" s="451"/>
      <c r="E142" s="451"/>
      <c r="F142" s="451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50" t="str">
        <f>+VLOOKUP(LEFT($A143,LEN(A143)-1)*1,Master!$D$25:$G$223,4,FALSE)</f>
        <v>Ostala prava iz zdravstvenog osiguranja</v>
      </c>
      <c r="C143" s="451"/>
      <c r="D143" s="451"/>
      <c r="E143" s="451"/>
      <c r="F143" s="451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64" t="str">
        <f>+VLOOKUP(LEFT($A144,LEN(A144)-1)*1,Master!$D$25:$G$223,4,FALSE)</f>
        <v xml:space="preserve">Transferi institucijama, pojedincima, nevladinom i javnom sektoru </v>
      </c>
      <c r="C144" s="465"/>
      <c r="D144" s="465"/>
      <c r="E144" s="465"/>
      <c r="F144" s="465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64" t="str">
        <f>+VLOOKUP(LEFT($A145,LEN(A145)-1)*1,Master!$D$25:$G$223,4,FALSE)</f>
        <v>Kapitalni budžet</v>
      </c>
      <c r="C145" s="465"/>
      <c r="D145" s="465"/>
      <c r="E145" s="465"/>
      <c r="F145" s="465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68" t="str">
        <f>+VLOOKUP(LEFT($A146,LEN(A146)-1)*1,Master!$D$25:$G$223,4,FALSE)</f>
        <v>Pozajmice i krediti</v>
      </c>
      <c r="C146" s="469"/>
      <c r="D146" s="469"/>
      <c r="E146" s="469"/>
      <c r="F146" s="469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68" t="str">
        <f>+VLOOKUP(LEFT($A147,LEN(A147)-1)*1,Master!$D$25:$G$223,4,FALSE)</f>
        <v>Rezerve</v>
      </c>
      <c r="C147" s="469"/>
      <c r="D147" s="469"/>
      <c r="E147" s="469"/>
      <c r="F147" s="469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0" t="str">
        <f>+VLOOKUP(LEFT($A148,LEN(A148)-1)*1,Master!$D$25:$G$223,4,FALSE)</f>
        <v>Otplata garancija</v>
      </c>
      <c r="C148" s="471"/>
      <c r="D148" s="471"/>
      <c r="E148" s="471"/>
      <c r="F148" s="471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2" t="str">
        <f>+VLOOKUP(LEFT($A149,LEN(A149)-1)*1,Master!$D$25:$G$223,4,FALSE)</f>
        <v>Suficit / deficit</v>
      </c>
      <c r="C149" s="473"/>
      <c r="D149" s="473"/>
      <c r="E149" s="473"/>
      <c r="F149" s="473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4" t="str">
        <f>+VLOOKUP(LEFT($A150,LEN(A150)-1)*1,Master!$D$25:$G$223,4,FALSE)</f>
        <v>Primarni bilans</v>
      </c>
      <c r="C150" s="475"/>
      <c r="D150" s="475"/>
      <c r="E150" s="475"/>
      <c r="F150" s="475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66" t="str">
        <f>+VLOOKUP(LEFT($A151,LEN(A151)-1)*1,Master!$D$25:$G$223,4,FALSE)</f>
        <v>Otplata dugova</v>
      </c>
      <c r="C151" s="467"/>
      <c r="D151" s="467"/>
      <c r="E151" s="467"/>
      <c r="F151" s="467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92" t="str">
        <f>+VLOOKUP(LEFT($A152,LEN(A152)-1)*1,Master!$D$25:$G$223,4,FALSE)</f>
        <v>Otplata hartija od vrijednosti i kredita rezidentima</v>
      </c>
      <c r="C152" s="493"/>
      <c r="D152" s="493"/>
      <c r="E152" s="493"/>
      <c r="F152" s="493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68" t="str">
        <f>+VLOOKUP(LEFT($A153,LEN(A153)-1)*1,Master!$D$25:$G$223,4,FALSE)</f>
        <v>Otplata hartija od vrijednosti i kredita nerezidentima</v>
      </c>
      <c r="C153" s="469"/>
      <c r="D153" s="469"/>
      <c r="E153" s="469"/>
      <c r="F153" s="469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0" t="str">
        <f>+VLOOKUP(LEFT($A154,LEN(A154)-1)*1,Master!$D$25:$G$223,4,FALSE)</f>
        <v>Otplata obaveza iz prethodnih godina</v>
      </c>
      <c r="C154" s="471"/>
      <c r="D154" s="471"/>
      <c r="E154" s="471"/>
      <c r="F154" s="471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94" t="str">
        <f>+VLOOKUP(LEFT($A155,LEN(A155)-1)*1,Master!$D$25:$G$223,4,FALSE)</f>
        <v>Nedostajuća sredstva</v>
      </c>
      <c r="C155" s="495"/>
      <c r="D155" s="495"/>
      <c r="E155" s="495"/>
      <c r="F155" s="495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58" t="str">
        <f>+VLOOKUP(LEFT($A156,LEN(A156)-1)*1,Master!$D$25:$G$223,4,FALSE)</f>
        <v>Finansiranje</v>
      </c>
      <c r="C156" s="459"/>
      <c r="D156" s="459"/>
      <c r="E156" s="459"/>
      <c r="F156" s="459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92" t="str">
        <f>+VLOOKUP(LEFT($A157,LEN(A157)-1)*1,Master!$D$25:$G$223,4,FALSE)</f>
        <v>Pozajmice i krediti od domaćih izvora</v>
      </c>
      <c r="C157" s="493"/>
      <c r="D157" s="493"/>
      <c r="E157" s="493"/>
      <c r="F157" s="493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68" t="str">
        <f>+VLOOKUP(LEFT($A158,LEN(A158)-1)*1,Master!$D$25:$G$223,4,FALSE)</f>
        <v>Pozajmice i krediti od inostranih izvora</v>
      </c>
      <c r="C158" s="469"/>
      <c r="D158" s="469"/>
      <c r="E158" s="469"/>
      <c r="F158" s="469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68" t="str">
        <f>+VLOOKUP(LEFT($A159,LEN(A159)-1)*1,Master!$D$25:$G$223,4,FALSE)</f>
        <v>Primici od prodaje imovine</v>
      </c>
      <c r="C159" s="469"/>
      <c r="D159" s="469"/>
      <c r="E159" s="469"/>
      <c r="F159" s="469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+VLOOKUP(LEFT($A160,LEN(A160)-1)*1,Master!$D$25:$G$223,4,FALSE)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aleksandar.bozovic</cp:lastModifiedBy>
  <cp:lastPrinted>2017-03-01T13:10:49Z</cp:lastPrinted>
  <dcterms:created xsi:type="dcterms:W3CDTF">2014-09-15T13:41:17Z</dcterms:created>
  <dcterms:modified xsi:type="dcterms:W3CDTF">2018-09-03T08:10:52Z</dcterms:modified>
</cp:coreProperties>
</file>