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ropbox\MINISTARSTVO FINANSIJA\SEP\99_Arhiva\01_Analize\Bilten - 2017\Bilten - 2017 - II kvartal - Analiza\"/>
    </mc:Choice>
  </mc:AlternateContent>
  <bookViews>
    <workbookView xWindow="0" yWindow="0" windowWidth="16590" windowHeight="5985" tabRatio="817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Budget'!$B$13:$C$74</definedName>
    <definedName name="Z_05AB59A7_9F04_4F70_A17E_8EF60EF35C7C_.wvu.PrintArea" localSheetId="1" hidden="1">'Local Government'!$B$13:$M$75</definedName>
    <definedName name="Z_05AB59A7_9F04_4F70_A17E_8EF60EF35C7C_.wvu.PrintArea" localSheetId="2" hidden="1">'Public Expenditure'!$B$13:$M$76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62913" concurrentCalc="0" concurrentManualCount="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H69" i="10" l="1"/>
  <c r="L63" i="10"/>
  <c r="M63" i="10"/>
  <c r="M62" i="10"/>
  <c r="M61" i="10"/>
  <c r="D56" i="33"/>
  <c r="D33" i="32"/>
  <c r="F52" i="32"/>
  <c r="F21" i="32"/>
  <c r="D54" i="10"/>
  <c r="E18" i="10"/>
  <c r="E19" i="10"/>
  <c r="E20" i="10"/>
  <c r="E21" i="10"/>
  <c r="E22" i="10"/>
  <c r="E23" i="10"/>
  <c r="E24" i="10"/>
  <c r="J56" i="33"/>
  <c r="F56" i="33"/>
  <c r="F75" i="33"/>
  <c r="D75" i="33"/>
  <c r="H75" i="33"/>
  <c r="J75" i="33"/>
  <c r="M75" i="33"/>
  <c r="L75" i="33"/>
  <c r="I75" i="33"/>
  <c r="M55" i="10"/>
  <c r="M56" i="10"/>
  <c r="L55" i="10"/>
  <c r="L56" i="10"/>
  <c r="I55" i="10"/>
  <c r="I56" i="10"/>
  <c r="H55" i="10"/>
  <c r="H56" i="10"/>
  <c r="G56" i="10"/>
  <c r="F54" i="10"/>
  <c r="G55" i="10"/>
  <c r="J54" i="10"/>
  <c r="K56" i="10"/>
  <c r="K55" i="10"/>
  <c r="D54" i="33"/>
  <c r="D53" i="33"/>
  <c r="D52" i="33"/>
  <c r="D51" i="33"/>
  <c r="D50" i="33"/>
  <c r="D35" i="33"/>
  <c r="D17" i="32"/>
  <c r="D21" i="32"/>
  <c r="D27" i="32"/>
  <c r="D16" i="32"/>
  <c r="D42" i="32"/>
  <c r="D52" i="32"/>
  <c r="D55" i="32"/>
  <c r="D40" i="32"/>
  <c r="D64" i="32"/>
  <c r="D66" i="32"/>
  <c r="D70" i="32"/>
  <c r="D75" i="32"/>
  <c r="D71" i="32"/>
  <c r="F65" i="10"/>
  <c r="L68" i="10"/>
  <c r="K68" i="10"/>
  <c r="I68" i="10"/>
  <c r="H68" i="10"/>
  <c r="M68" i="10"/>
  <c r="C33" i="10"/>
  <c r="F62" i="33"/>
  <c r="J35" i="33"/>
  <c r="F35" i="33"/>
  <c r="I46" i="32"/>
  <c r="I38" i="32"/>
  <c r="H14" i="32"/>
  <c r="L14" i="32"/>
  <c r="D15" i="32"/>
  <c r="E15" i="32"/>
  <c r="F15" i="32"/>
  <c r="G15" i="32"/>
  <c r="H15" i="32"/>
  <c r="J15" i="32"/>
  <c r="K15" i="32"/>
  <c r="L15" i="32"/>
  <c r="C16" i="32"/>
  <c r="C17" i="32"/>
  <c r="F17" i="32"/>
  <c r="J17" i="32"/>
  <c r="C18" i="32"/>
  <c r="H18" i="32"/>
  <c r="I18" i="32"/>
  <c r="L18" i="32"/>
  <c r="M18" i="32"/>
  <c r="C19" i="32"/>
  <c r="H19" i="32"/>
  <c r="I19" i="32"/>
  <c r="L19" i="32"/>
  <c r="M19" i="32"/>
  <c r="H20" i="32"/>
  <c r="I20" i="32"/>
  <c r="L20" i="32"/>
  <c r="M20" i="32"/>
  <c r="C21" i="32"/>
  <c r="J21" i="32"/>
  <c r="C22" i="32"/>
  <c r="H22" i="32"/>
  <c r="I22" i="32"/>
  <c r="L22" i="32"/>
  <c r="M22" i="32"/>
  <c r="C23" i="32"/>
  <c r="H23" i="32"/>
  <c r="I23" i="32"/>
  <c r="L23" i="32"/>
  <c r="M23" i="32"/>
  <c r="H24" i="32"/>
  <c r="I24" i="32"/>
  <c r="L24" i="32"/>
  <c r="M24" i="32"/>
  <c r="H25" i="32"/>
  <c r="I25" i="32"/>
  <c r="L25" i="32"/>
  <c r="M25" i="32"/>
  <c r="H26" i="32"/>
  <c r="I26" i="32"/>
  <c r="L26" i="32"/>
  <c r="M26" i="32"/>
  <c r="C27" i="32"/>
  <c r="F27" i="32"/>
  <c r="J27" i="32"/>
  <c r="C28" i="32"/>
  <c r="H28" i="32"/>
  <c r="I28" i="32"/>
  <c r="L28" i="32"/>
  <c r="M28" i="32"/>
  <c r="C29" i="32"/>
  <c r="H29" i="32"/>
  <c r="I29" i="32"/>
  <c r="L29" i="32"/>
  <c r="M29" i="32"/>
  <c r="H30" i="32"/>
  <c r="I30" i="32"/>
  <c r="L30" i="32"/>
  <c r="M30" i="32"/>
  <c r="H31" i="32"/>
  <c r="I31" i="32"/>
  <c r="L31" i="32"/>
  <c r="M31" i="32"/>
  <c r="C32" i="32"/>
  <c r="H32" i="32"/>
  <c r="I32" i="32"/>
  <c r="L32" i="32"/>
  <c r="M32" i="32"/>
  <c r="C33" i="32"/>
  <c r="F33" i="32"/>
  <c r="J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7" i="32"/>
  <c r="I37" i="32"/>
  <c r="L37" i="32"/>
  <c r="M37" i="32"/>
  <c r="C38" i="32"/>
  <c r="H38" i="32"/>
  <c r="L38" i="32"/>
  <c r="M38" i="32"/>
  <c r="H39" i="32"/>
  <c r="I39" i="32"/>
  <c r="L39" i="32"/>
  <c r="M39" i="32"/>
  <c r="C40" i="32"/>
  <c r="C41" i="32"/>
  <c r="C42" i="32"/>
  <c r="F42" i="32"/>
  <c r="J42" i="32"/>
  <c r="C43" i="32"/>
  <c r="H43" i="32"/>
  <c r="I43" i="32"/>
  <c r="L43" i="32"/>
  <c r="M43" i="32"/>
  <c r="C44" i="32"/>
  <c r="H44" i="32"/>
  <c r="I44" i="32"/>
  <c r="L44" i="32"/>
  <c r="M44" i="32"/>
  <c r="C45" i="32"/>
  <c r="H45" i="32"/>
  <c r="I45" i="32"/>
  <c r="L45" i="32"/>
  <c r="M45" i="32"/>
  <c r="C46" i="32"/>
  <c r="H46" i="32"/>
  <c r="L46" i="32"/>
  <c r="M46" i="32"/>
  <c r="C47" i="32"/>
  <c r="H47" i="32"/>
  <c r="I47" i="32"/>
  <c r="L47" i="32"/>
  <c r="M47" i="32"/>
  <c r="C48" i="32"/>
  <c r="H48" i="32"/>
  <c r="I48" i="32"/>
  <c r="L48" i="32"/>
  <c r="M48" i="32"/>
  <c r="C49" i="32"/>
  <c r="H49" i="32"/>
  <c r="I49" i="32"/>
  <c r="L49" i="32"/>
  <c r="M49" i="32"/>
  <c r="C50" i="32"/>
  <c r="H50" i="32"/>
  <c r="I50" i="32"/>
  <c r="L50" i="32"/>
  <c r="M50" i="32"/>
  <c r="C51" i="32"/>
  <c r="H51" i="32"/>
  <c r="I51" i="32"/>
  <c r="L51" i="32"/>
  <c r="M51" i="32"/>
  <c r="C52" i="32"/>
  <c r="J52" i="32"/>
  <c r="H53" i="32"/>
  <c r="I53" i="32"/>
  <c r="L53" i="32"/>
  <c r="M53" i="32"/>
  <c r="H54" i="32"/>
  <c r="I54" i="32"/>
  <c r="L54" i="32"/>
  <c r="M54" i="32"/>
  <c r="C55" i="32"/>
  <c r="F55" i="32"/>
  <c r="J55" i="32"/>
  <c r="H56" i="32"/>
  <c r="I56" i="32"/>
  <c r="L56" i="32"/>
  <c r="M56" i="32"/>
  <c r="H57" i="32"/>
  <c r="I57" i="32"/>
  <c r="L57" i="32"/>
  <c r="M57" i="32"/>
  <c r="C58" i="32"/>
  <c r="H58" i="32"/>
  <c r="I58" i="32"/>
  <c r="L58" i="32"/>
  <c r="M58" i="32"/>
  <c r="C59" i="32"/>
  <c r="H59" i="32"/>
  <c r="I59" i="32"/>
  <c r="L59" i="32"/>
  <c r="M59" i="32"/>
  <c r="C60" i="32"/>
  <c r="H60" i="32"/>
  <c r="I60" i="32"/>
  <c r="L60" i="32"/>
  <c r="M60" i="32"/>
  <c r="H61" i="32"/>
  <c r="I61" i="32"/>
  <c r="L61" i="32"/>
  <c r="M61" i="32"/>
  <c r="H63" i="32"/>
  <c r="L63" i="32"/>
  <c r="C64" i="32"/>
  <c r="C65" i="32"/>
  <c r="C66" i="32"/>
  <c r="F66" i="32"/>
  <c r="J66" i="32"/>
  <c r="C67" i="32"/>
  <c r="H67" i="32"/>
  <c r="I67" i="32"/>
  <c r="L67" i="32"/>
  <c r="M67" i="32"/>
  <c r="C68" i="32"/>
  <c r="H68" i="32"/>
  <c r="I68" i="32"/>
  <c r="L68" i="32"/>
  <c r="M68" i="32"/>
  <c r="C69" i="32"/>
  <c r="H69" i="32"/>
  <c r="I69" i="32"/>
  <c r="L69" i="32"/>
  <c r="M69" i="32"/>
  <c r="C70" i="32"/>
  <c r="C71" i="32"/>
  <c r="C72" i="32"/>
  <c r="H72" i="32"/>
  <c r="I72" i="32"/>
  <c r="L72" i="32"/>
  <c r="M72" i="32"/>
  <c r="C73" i="32"/>
  <c r="H73" i="32"/>
  <c r="I73" i="32"/>
  <c r="L73" i="32"/>
  <c r="M73" i="32"/>
  <c r="C74" i="32"/>
  <c r="H74" i="32"/>
  <c r="I74" i="32"/>
  <c r="L74" i="32"/>
  <c r="M74" i="32"/>
  <c r="C75" i="32"/>
  <c r="H76" i="32"/>
  <c r="I76" i="32"/>
  <c r="L76" i="32"/>
  <c r="M76" i="32"/>
  <c r="H55" i="32"/>
  <c r="I33" i="32"/>
  <c r="H52" i="32"/>
  <c r="J16" i="32"/>
  <c r="H66" i="32"/>
  <c r="M33" i="32"/>
  <c r="L55" i="32"/>
  <c r="L52" i="32"/>
  <c r="H17" i="32"/>
  <c r="L66" i="32"/>
  <c r="F16" i="32"/>
  <c r="L17" i="32"/>
  <c r="I52" i="32"/>
  <c r="M52" i="32"/>
  <c r="M42" i="32"/>
  <c r="I42" i="32"/>
  <c r="L33" i="32"/>
  <c r="H33" i="32"/>
  <c r="M27" i="32"/>
  <c r="I27" i="32"/>
  <c r="M21" i="32"/>
  <c r="I21" i="32"/>
  <c r="M66" i="32"/>
  <c r="I66" i="32"/>
  <c r="M55" i="32"/>
  <c r="I55" i="32"/>
  <c r="L42" i="32"/>
  <c r="H42" i="32"/>
  <c r="J40" i="32"/>
  <c r="F40" i="32"/>
  <c r="L27" i="32"/>
  <c r="H27" i="32"/>
  <c r="L21" i="32"/>
  <c r="H21" i="32"/>
  <c r="M17" i="32"/>
  <c r="I17" i="32"/>
  <c r="J64" i="32"/>
  <c r="J70" i="32"/>
  <c r="J75" i="32"/>
  <c r="J71" i="32"/>
  <c r="F64" i="32"/>
  <c r="H16" i="32"/>
  <c r="M16" i="32"/>
  <c r="I16" i="32"/>
  <c r="L16" i="32"/>
  <c r="I40" i="32"/>
  <c r="M40" i="32"/>
  <c r="L40" i="32"/>
  <c r="D41" i="32"/>
  <c r="H40" i="32"/>
  <c r="F41" i="32"/>
  <c r="J41" i="32"/>
  <c r="J65" i="32"/>
  <c r="D65" i="32"/>
  <c r="M64" i="32"/>
  <c r="I64" i="32"/>
  <c r="L64" i="32"/>
  <c r="M41" i="32"/>
  <c r="H41" i="32"/>
  <c r="L41" i="32"/>
  <c r="I41" i="32"/>
  <c r="L70" i="32"/>
  <c r="F70" i="32"/>
  <c r="F65" i="32"/>
  <c r="H64" i="32"/>
  <c r="D63" i="33"/>
  <c r="D47" i="33"/>
  <c r="D57" i="33"/>
  <c r="D55" i="33"/>
  <c r="E56" i="10"/>
  <c r="E55" i="10"/>
  <c r="J62" i="33"/>
  <c r="M65" i="32"/>
  <c r="L65" i="32"/>
  <c r="M70" i="32"/>
  <c r="H70" i="32"/>
  <c r="I65" i="32"/>
  <c r="I70" i="32"/>
  <c r="H65" i="32"/>
  <c r="F75" i="32"/>
  <c r="F71" i="32"/>
  <c r="M71" i="32"/>
  <c r="I75" i="32"/>
  <c r="L75" i="32"/>
  <c r="M75" i="32"/>
  <c r="H75" i="32"/>
  <c r="I71" i="32"/>
  <c r="L71" i="32"/>
  <c r="H71" i="32"/>
  <c r="J34" i="33"/>
  <c r="D74" i="33"/>
  <c r="D73" i="33"/>
  <c r="D72" i="33"/>
  <c r="D68" i="33"/>
  <c r="D67" i="33"/>
  <c r="D62" i="33"/>
  <c r="D61" i="33"/>
  <c r="D60" i="33"/>
  <c r="D59" i="33"/>
  <c r="D58" i="33"/>
  <c r="D48" i="33"/>
  <c r="D46" i="33"/>
  <c r="D45" i="33"/>
  <c r="D44" i="33"/>
  <c r="D43" i="33"/>
  <c r="D42" i="33"/>
  <c r="D41" i="33"/>
  <c r="D40" i="33"/>
  <c r="D39" i="33"/>
  <c r="D34" i="33"/>
  <c r="D33" i="33"/>
  <c r="D32" i="33"/>
  <c r="D31" i="33"/>
  <c r="D25" i="33"/>
  <c r="D24" i="33"/>
  <c r="D23" i="33"/>
  <c r="D22" i="33"/>
  <c r="D21" i="33"/>
  <c r="D20" i="33"/>
  <c r="D19" i="33"/>
  <c r="D18" i="33"/>
  <c r="L73" i="10"/>
  <c r="F31" i="33"/>
  <c r="D37" i="10"/>
  <c r="D48" i="10"/>
  <c r="E48" i="10"/>
  <c r="D17" i="10"/>
  <c r="E17" i="10"/>
  <c r="D25" i="10"/>
  <c r="J65" i="10"/>
  <c r="G65" i="10"/>
  <c r="D65" i="10"/>
  <c r="J67" i="33"/>
  <c r="L67" i="33"/>
  <c r="J68" i="33"/>
  <c r="F67" i="33"/>
  <c r="F68" i="33"/>
  <c r="J17" i="10"/>
  <c r="J25" i="10"/>
  <c r="F32" i="33"/>
  <c r="J37" i="10"/>
  <c r="H73" i="10"/>
  <c r="M73" i="10"/>
  <c r="H72" i="10"/>
  <c r="M72" i="10"/>
  <c r="H71" i="10"/>
  <c r="M71" i="10"/>
  <c r="M59" i="10"/>
  <c r="M58" i="10"/>
  <c r="M57" i="10"/>
  <c r="M54" i="10"/>
  <c r="M53" i="10"/>
  <c r="M52" i="10"/>
  <c r="M51" i="10"/>
  <c r="M50" i="10"/>
  <c r="M49" i="10"/>
  <c r="M47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7" i="10"/>
  <c r="M60" i="10"/>
  <c r="F25" i="10"/>
  <c r="F17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J70" i="36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D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/>
  <c r="E54" i="36"/>
  <c r="F54" i="36"/>
  <c r="C54" i="36"/>
  <c r="D54" i="36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/>
  <c r="C43" i="36"/>
  <c r="D43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/>
  <c r="E34" i="36"/>
  <c r="F34" i="36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H27" i="36"/>
  <c r="E27" i="36"/>
  <c r="F27" i="36"/>
  <c r="C27" i="36"/>
  <c r="D27" i="36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/>
  <c r="F22" i="36"/>
  <c r="E22" i="36"/>
  <c r="C22" i="36"/>
  <c r="D22" i="36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H17" i="36"/>
  <c r="E17" i="36"/>
  <c r="F17" i="36"/>
  <c r="C17" i="36"/>
  <c r="D17" i="36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G8" i="36"/>
  <c r="L16" i="36"/>
  <c r="E9" i="36"/>
  <c r="F9" i="36"/>
  <c r="C9" i="36"/>
  <c r="C8" i="36"/>
  <c r="D7" i="36"/>
  <c r="C7" i="36"/>
  <c r="P7" i="31"/>
  <c r="P6" i="31"/>
  <c r="P5" i="31"/>
  <c r="E22" i="30"/>
  <c r="E21" i="30"/>
  <c r="E20" i="30"/>
  <c r="E19" i="30"/>
  <c r="E18" i="30"/>
  <c r="G18" i="30"/>
  <c r="E15" i="30"/>
  <c r="E14" i="30"/>
  <c r="E13" i="30"/>
  <c r="E12" i="30"/>
  <c r="G12" i="30"/>
  <c r="E11" i="30"/>
  <c r="E9" i="30"/>
  <c r="E7" i="30"/>
  <c r="G7" i="30"/>
  <c r="E8" i="30"/>
  <c r="D58" i="29"/>
  <c r="D57" i="29"/>
  <c r="D56" i="29"/>
  <c r="D55" i="29"/>
  <c r="D53" i="29"/>
  <c r="D52" i="29"/>
  <c r="D45" i="29"/>
  <c r="D44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F4" i="29"/>
  <c r="C77" i="33"/>
  <c r="J74" i="33"/>
  <c r="F74" i="33"/>
  <c r="J73" i="33"/>
  <c r="F73" i="33"/>
  <c r="J72" i="33"/>
  <c r="F72" i="33"/>
  <c r="J69" i="33"/>
  <c r="F69" i="33"/>
  <c r="D69" i="33"/>
  <c r="J63" i="33"/>
  <c r="F63" i="33"/>
  <c r="I62" i="33"/>
  <c r="J61" i="33"/>
  <c r="F61" i="33"/>
  <c r="J60" i="33"/>
  <c r="F60" i="33"/>
  <c r="J59" i="33"/>
  <c r="F59" i="33"/>
  <c r="J58" i="33"/>
  <c r="F58" i="33"/>
  <c r="J57" i="33"/>
  <c r="F57" i="33"/>
  <c r="I57" i="33"/>
  <c r="J54" i="33"/>
  <c r="F54" i="33"/>
  <c r="J53" i="33"/>
  <c r="F53" i="33"/>
  <c r="J52" i="33"/>
  <c r="F52" i="33"/>
  <c r="J51" i="33"/>
  <c r="F51" i="33"/>
  <c r="J50" i="33"/>
  <c r="F50" i="33"/>
  <c r="J48" i="10"/>
  <c r="J49" i="33"/>
  <c r="F48" i="10"/>
  <c r="F49" i="33"/>
  <c r="J48" i="33"/>
  <c r="F48" i="33"/>
  <c r="J47" i="33"/>
  <c r="F47" i="33"/>
  <c r="J46" i="33"/>
  <c r="F46" i="33"/>
  <c r="J45" i="33"/>
  <c r="F45" i="33"/>
  <c r="J44" i="33"/>
  <c r="F44" i="33"/>
  <c r="J43" i="33"/>
  <c r="F43" i="33"/>
  <c r="J42" i="33"/>
  <c r="F42" i="33"/>
  <c r="J41" i="33"/>
  <c r="F41" i="33"/>
  <c r="J40" i="33"/>
  <c r="F40" i="33"/>
  <c r="J39" i="33"/>
  <c r="F39" i="33"/>
  <c r="F34" i="33"/>
  <c r="C34" i="33"/>
  <c r="J33" i="33"/>
  <c r="F33" i="33"/>
  <c r="C33" i="33"/>
  <c r="J32" i="33"/>
  <c r="C32" i="33"/>
  <c r="J31" i="33"/>
  <c r="C31" i="33"/>
  <c r="J30" i="33"/>
  <c r="F30" i="33"/>
  <c r="D30" i="33"/>
  <c r="C30" i="33"/>
  <c r="J29" i="33"/>
  <c r="F29" i="33"/>
  <c r="D29" i="33"/>
  <c r="C29" i="33"/>
  <c r="J28" i="33"/>
  <c r="F28" i="33"/>
  <c r="D28" i="33"/>
  <c r="C28" i="33"/>
  <c r="J27" i="33"/>
  <c r="F27" i="33"/>
  <c r="D27" i="33"/>
  <c r="C27" i="33"/>
  <c r="C26" i="33"/>
  <c r="J25" i="33"/>
  <c r="F25" i="33"/>
  <c r="J24" i="33"/>
  <c r="F24" i="33"/>
  <c r="J23" i="33"/>
  <c r="F23" i="33"/>
  <c r="C23" i="33"/>
  <c r="J22" i="33"/>
  <c r="F22" i="33"/>
  <c r="C22" i="33"/>
  <c r="J21" i="33"/>
  <c r="F21" i="33"/>
  <c r="C21" i="33"/>
  <c r="J20" i="33"/>
  <c r="F20" i="33"/>
  <c r="C20" i="33"/>
  <c r="J19" i="33"/>
  <c r="F19" i="33"/>
  <c r="C19" i="33"/>
  <c r="J18" i="33"/>
  <c r="F18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/>
  <c r="J11" i="33"/>
  <c r="D11" i="33"/>
  <c r="C11" i="33"/>
  <c r="C77" i="32"/>
  <c r="K11" i="32"/>
  <c r="J11" i="32"/>
  <c r="D11" i="32"/>
  <c r="C75" i="10"/>
  <c r="K17" i="10"/>
  <c r="K25" i="10"/>
  <c r="F37" i="10"/>
  <c r="F35" i="10"/>
  <c r="F63" i="10"/>
  <c r="K73" i="10"/>
  <c r="I73" i="10"/>
  <c r="G73" i="10"/>
  <c r="E73" i="10"/>
  <c r="L72" i="10"/>
  <c r="K72" i="10"/>
  <c r="I72" i="10"/>
  <c r="G72" i="10"/>
  <c r="E72" i="10"/>
  <c r="L71" i="10"/>
  <c r="K71" i="10"/>
  <c r="I71" i="10"/>
  <c r="G71" i="10"/>
  <c r="E71" i="10"/>
  <c r="G68" i="10"/>
  <c r="E68" i="10"/>
  <c r="L67" i="10"/>
  <c r="K67" i="10"/>
  <c r="I67" i="10"/>
  <c r="H67" i="10"/>
  <c r="M67" i="10"/>
  <c r="G67" i="10"/>
  <c r="E67" i="10"/>
  <c r="L66" i="10"/>
  <c r="K66" i="10"/>
  <c r="I66" i="10"/>
  <c r="H66" i="10"/>
  <c r="M66" i="10"/>
  <c r="G66" i="10"/>
  <c r="E66" i="10"/>
  <c r="K65" i="10"/>
  <c r="L62" i="10"/>
  <c r="K62" i="10"/>
  <c r="I62" i="10"/>
  <c r="H62" i="10"/>
  <c r="G62" i="10"/>
  <c r="E62" i="10"/>
  <c r="L61" i="10"/>
  <c r="K61" i="10"/>
  <c r="I61" i="10"/>
  <c r="H61" i="10"/>
  <c r="G61" i="10"/>
  <c r="E61" i="10"/>
  <c r="L60" i="10"/>
  <c r="K60" i="10"/>
  <c r="I60" i="10"/>
  <c r="H60" i="10"/>
  <c r="G60" i="10"/>
  <c r="E60" i="10"/>
  <c r="L59" i="10"/>
  <c r="K59" i="10"/>
  <c r="I59" i="10"/>
  <c r="H59" i="10"/>
  <c r="G59" i="10"/>
  <c r="E59" i="10"/>
  <c r="L58" i="10"/>
  <c r="K58" i="10"/>
  <c r="I58" i="10"/>
  <c r="H58" i="10"/>
  <c r="G58" i="10"/>
  <c r="E58" i="10"/>
  <c r="K57" i="10"/>
  <c r="I57" i="10"/>
  <c r="H57" i="10"/>
  <c r="G57" i="10"/>
  <c r="E57" i="10"/>
  <c r="L54" i="10"/>
  <c r="K54" i="10"/>
  <c r="I54" i="10"/>
  <c r="H54" i="10"/>
  <c r="G54" i="10"/>
  <c r="E54" i="10"/>
  <c r="L53" i="10"/>
  <c r="K53" i="10"/>
  <c r="I53" i="10"/>
  <c r="H53" i="10"/>
  <c r="G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L47" i="10"/>
  <c r="K47" i="10"/>
  <c r="I47" i="10"/>
  <c r="H47" i="10"/>
  <c r="G47" i="10"/>
  <c r="E47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H38" i="10"/>
  <c r="G38" i="10"/>
  <c r="E38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I25" i="10"/>
  <c r="G25" i="10"/>
  <c r="C25" i="10"/>
  <c r="L24" i="10"/>
  <c r="K24" i="10"/>
  <c r="I24" i="10"/>
  <c r="H24" i="10"/>
  <c r="G24" i="10"/>
  <c r="L23" i="10"/>
  <c r="K23" i="10"/>
  <c r="I23" i="10"/>
  <c r="H23" i="10"/>
  <c r="G23" i="10"/>
  <c r="C23" i="10"/>
  <c r="L22" i="10"/>
  <c r="K22" i="10"/>
  <c r="I22" i="10"/>
  <c r="H22" i="10"/>
  <c r="G22" i="10"/>
  <c r="C22" i="10"/>
  <c r="L21" i="10"/>
  <c r="K21" i="10"/>
  <c r="I21" i="10"/>
  <c r="H21" i="10"/>
  <c r="G21" i="10"/>
  <c r="C21" i="10"/>
  <c r="L20" i="10"/>
  <c r="K20" i="10"/>
  <c r="I20" i="10"/>
  <c r="H20" i="10"/>
  <c r="G20" i="10"/>
  <c r="C20" i="10"/>
  <c r="L19" i="10"/>
  <c r="K19" i="10"/>
  <c r="I19" i="10"/>
  <c r="H19" i="10"/>
  <c r="G19" i="10"/>
  <c r="C19" i="10"/>
  <c r="L18" i="10"/>
  <c r="K18" i="10"/>
  <c r="I18" i="10"/>
  <c r="H18" i="10"/>
  <c r="G18" i="10"/>
  <c r="C18" i="10"/>
  <c r="C17" i="10"/>
  <c r="C16" i="10"/>
  <c r="E15" i="10"/>
  <c r="D15" i="10"/>
  <c r="C15" i="10"/>
  <c r="L14" i="10"/>
  <c r="C14" i="10"/>
  <c r="C11" i="10"/>
  <c r="C11" i="32"/>
  <c r="J9" i="10"/>
  <c r="J8" i="10"/>
  <c r="E25" i="10"/>
  <c r="H25" i="10"/>
  <c r="J27" i="36"/>
  <c r="I22" i="36"/>
  <c r="J22" i="36"/>
  <c r="J34" i="36"/>
  <c r="H43" i="36"/>
  <c r="I54" i="36"/>
  <c r="J54" i="36"/>
  <c r="I70" i="36"/>
  <c r="L25" i="10"/>
  <c r="I17" i="36"/>
  <c r="J60" i="36"/>
  <c r="H60" i="36"/>
  <c r="G41" i="36"/>
  <c r="H79" i="36"/>
  <c r="G75" i="36"/>
  <c r="M25" i="10"/>
  <c r="J17" i="36"/>
  <c r="F60" i="36"/>
  <c r="I60" i="36"/>
  <c r="G42" i="36"/>
  <c r="H41" i="36"/>
  <c r="H75" i="36"/>
  <c r="K62" i="33"/>
  <c r="K75" i="33"/>
  <c r="K48" i="10"/>
  <c r="E25" i="33"/>
  <c r="G75" i="33"/>
  <c r="E75" i="33"/>
  <c r="K37" i="10"/>
  <c r="J35" i="10"/>
  <c r="G48" i="10"/>
  <c r="G37" i="10"/>
  <c r="H48" i="10"/>
  <c r="L48" i="10"/>
  <c r="M48" i="10"/>
  <c r="I48" i="10"/>
  <c r="J16" i="10"/>
  <c r="I17" i="10"/>
  <c r="D16" i="10"/>
  <c r="E41" i="36"/>
  <c r="F41" i="36"/>
  <c r="I9" i="36"/>
  <c r="H9" i="36"/>
  <c r="M17" i="10"/>
  <c r="I27" i="36"/>
  <c r="E6" i="30"/>
  <c r="J43" i="36"/>
  <c r="D35" i="10"/>
  <c r="L65" i="10"/>
  <c r="I43" i="36"/>
  <c r="D26" i="33"/>
  <c r="E33" i="33"/>
  <c r="E5" i="30"/>
  <c r="E4" i="30"/>
  <c r="D5" i="29"/>
  <c r="D4" i="29"/>
  <c r="G4" i="29"/>
  <c r="D8" i="36"/>
  <c r="H42" i="36"/>
  <c r="J41" i="36"/>
  <c r="E42" i="36"/>
  <c r="E8" i="36"/>
  <c r="I8" i="36"/>
  <c r="C41" i="36"/>
  <c r="C68" i="36"/>
  <c r="J9" i="36"/>
  <c r="H65" i="10"/>
  <c r="M65" i="10"/>
  <c r="I34" i="36"/>
  <c r="F16" i="10"/>
  <c r="G17" i="10"/>
  <c r="D9" i="36"/>
  <c r="F70" i="36"/>
  <c r="D49" i="33"/>
  <c r="H8" i="36"/>
  <c r="I65" i="10"/>
  <c r="G68" i="36"/>
  <c r="E65" i="10"/>
  <c r="H17" i="10"/>
  <c r="L17" i="10"/>
  <c r="E10" i="30"/>
  <c r="G4" i="30"/>
  <c r="K21" i="33"/>
  <c r="E41" i="32"/>
  <c r="E70" i="32"/>
  <c r="G64" i="32"/>
  <c r="E65" i="32"/>
  <c r="G41" i="32"/>
  <c r="G65" i="32"/>
  <c r="G70" i="32"/>
  <c r="E75" i="32"/>
  <c r="E71" i="32"/>
  <c r="G75" i="32"/>
  <c r="G71" i="32"/>
  <c r="K41" i="32"/>
  <c r="K65" i="32"/>
  <c r="K70" i="32"/>
  <c r="K75" i="32"/>
  <c r="K71" i="32"/>
  <c r="E22" i="32"/>
  <c r="E23" i="32"/>
  <c r="G24" i="32"/>
  <c r="E28" i="32"/>
  <c r="E29" i="32"/>
  <c r="G30" i="32"/>
  <c r="G39" i="32"/>
  <c r="E43" i="32"/>
  <c r="E44" i="32"/>
  <c r="E45" i="32"/>
  <c r="E46" i="32"/>
  <c r="G47" i="32"/>
  <c r="G48" i="32"/>
  <c r="G49" i="32"/>
  <c r="G50" i="32"/>
  <c r="G51" i="32"/>
  <c r="E54" i="32"/>
  <c r="E61" i="32"/>
  <c r="G63" i="32"/>
  <c r="G67" i="32"/>
  <c r="G68" i="32"/>
  <c r="G69" i="32"/>
  <c r="G76" i="32"/>
  <c r="E39" i="32"/>
  <c r="E48" i="32"/>
  <c r="E20" i="32"/>
  <c r="G22" i="32"/>
  <c r="G23" i="32"/>
  <c r="E26" i="32"/>
  <c r="G28" i="32"/>
  <c r="G29" i="32"/>
  <c r="E34" i="32"/>
  <c r="E35" i="32"/>
  <c r="E36" i="32"/>
  <c r="E37" i="32"/>
  <c r="E38" i="32"/>
  <c r="G43" i="32"/>
  <c r="G44" i="32"/>
  <c r="G45" i="32"/>
  <c r="G46" i="32"/>
  <c r="E53" i="32"/>
  <c r="G54" i="32"/>
  <c r="E57" i="32"/>
  <c r="E58" i="32"/>
  <c r="E59" i="32"/>
  <c r="E60" i="32"/>
  <c r="G61" i="32"/>
  <c r="E72" i="32"/>
  <c r="E73" i="32"/>
  <c r="E74" i="32"/>
  <c r="E24" i="32"/>
  <c r="G25" i="32"/>
  <c r="E30" i="32"/>
  <c r="E49" i="32"/>
  <c r="E18" i="32"/>
  <c r="E19" i="32"/>
  <c r="G20" i="32"/>
  <c r="E25" i="32"/>
  <c r="G26" i="32"/>
  <c r="E31" i="32"/>
  <c r="E32" i="32"/>
  <c r="G34" i="32"/>
  <c r="G35" i="32"/>
  <c r="G36" i="32"/>
  <c r="G37" i="32"/>
  <c r="G38" i="32"/>
  <c r="G52" i="32"/>
  <c r="G53" i="32"/>
  <c r="E56" i="32"/>
  <c r="G57" i="32"/>
  <c r="G58" i="32"/>
  <c r="G59" i="32"/>
  <c r="G60" i="32"/>
  <c r="G72" i="32"/>
  <c r="G73" i="32"/>
  <c r="G74" i="32"/>
  <c r="G18" i="32"/>
  <c r="G19" i="32"/>
  <c r="G31" i="32"/>
  <c r="G32" i="32"/>
  <c r="E33" i="32"/>
  <c r="E47" i="32"/>
  <c r="E50" i="32"/>
  <c r="G55" i="32"/>
  <c r="G66" i="32"/>
  <c r="E69" i="32"/>
  <c r="E76" i="32"/>
  <c r="E51" i="32"/>
  <c r="G56" i="32"/>
  <c r="E63" i="32"/>
  <c r="E68" i="32"/>
  <c r="E67" i="32"/>
  <c r="G27" i="32"/>
  <c r="E55" i="32"/>
  <c r="E16" i="32"/>
  <c r="E17" i="32"/>
  <c r="G42" i="32"/>
  <c r="G16" i="32"/>
  <c r="E21" i="32"/>
  <c r="G17" i="32"/>
  <c r="G33" i="32"/>
  <c r="E42" i="32"/>
  <c r="E52" i="32"/>
  <c r="E66" i="32"/>
  <c r="E27" i="32"/>
  <c r="G21" i="32"/>
  <c r="E64" i="32"/>
  <c r="G40" i="32"/>
  <c r="E40" i="32"/>
  <c r="K22" i="32"/>
  <c r="K23" i="32"/>
  <c r="K28" i="32"/>
  <c r="K29" i="32"/>
  <c r="K38" i="32"/>
  <c r="K43" i="32"/>
  <c r="K44" i="32"/>
  <c r="K45" i="32"/>
  <c r="K54" i="32"/>
  <c r="K61" i="32"/>
  <c r="K46" i="32"/>
  <c r="K49" i="32"/>
  <c r="K20" i="32"/>
  <c r="K26" i="32"/>
  <c r="K34" i="32"/>
  <c r="K35" i="32"/>
  <c r="K36" i="32"/>
  <c r="K37" i="32"/>
  <c r="K53" i="32"/>
  <c r="K57" i="32"/>
  <c r="K58" i="32"/>
  <c r="K59" i="32"/>
  <c r="K60" i="32"/>
  <c r="K72" i="32"/>
  <c r="K73" i="32"/>
  <c r="K74" i="32"/>
  <c r="K30" i="32"/>
  <c r="K47" i="32"/>
  <c r="K18" i="32"/>
  <c r="K19" i="32"/>
  <c r="K25" i="32"/>
  <c r="K31" i="32"/>
  <c r="K32" i="32"/>
  <c r="K52" i="32"/>
  <c r="K56" i="32"/>
  <c r="K24" i="32"/>
  <c r="K39" i="32"/>
  <c r="K48" i="32"/>
  <c r="K51" i="32"/>
  <c r="K63" i="32"/>
  <c r="K68" i="32"/>
  <c r="K69" i="32"/>
  <c r="K76" i="32"/>
  <c r="K50" i="32"/>
  <c r="K67" i="32"/>
  <c r="K55" i="32"/>
  <c r="K66" i="32"/>
  <c r="K21" i="32"/>
  <c r="K27" i="32"/>
  <c r="K17" i="32"/>
  <c r="K42" i="32"/>
  <c r="K16" i="32"/>
  <c r="K33" i="32"/>
  <c r="K64" i="32"/>
  <c r="K40" i="32"/>
  <c r="J26" i="33"/>
  <c r="K26" i="33"/>
  <c r="H37" i="10"/>
  <c r="L37" i="10"/>
  <c r="M37" i="10"/>
  <c r="I37" i="10"/>
  <c r="E37" i="10"/>
  <c r="K28" i="33"/>
  <c r="K30" i="33"/>
  <c r="K73" i="33"/>
  <c r="K20" i="33"/>
  <c r="K48" i="33"/>
  <c r="K53" i="33"/>
  <c r="K59" i="33"/>
  <c r="K63" i="33"/>
  <c r="K68" i="33"/>
  <c r="K24" i="33"/>
  <c r="K29" i="33"/>
  <c r="K19" i="33"/>
  <c r="K23" i="33"/>
  <c r="K31" i="33"/>
  <c r="K34" i="33"/>
  <c r="K41" i="33"/>
  <c r="K52" i="33"/>
  <c r="K56" i="33"/>
  <c r="K32" i="33"/>
  <c r="G49" i="33"/>
  <c r="K18" i="33"/>
  <c r="K22" i="33"/>
  <c r="G35" i="33"/>
  <c r="G42" i="33"/>
  <c r="K47" i="33"/>
  <c r="K58" i="33"/>
  <c r="K60" i="33"/>
  <c r="G60" i="33"/>
  <c r="K40" i="33"/>
  <c r="K42" i="33"/>
  <c r="K44" i="33"/>
  <c r="K49" i="33"/>
  <c r="F36" i="10"/>
  <c r="G35" i="10"/>
  <c r="E24" i="33"/>
  <c r="G25" i="33"/>
  <c r="E28" i="33"/>
  <c r="E29" i="33"/>
  <c r="E30" i="33"/>
  <c r="G33" i="33"/>
  <c r="G34" i="33"/>
  <c r="G41" i="33"/>
  <c r="E44" i="33"/>
  <c r="G45" i="33"/>
  <c r="E48" i="33"/>
  <c r="G50" i="33"/>
  <c r="E53" i="33"/>
  <c r="G54" i="33"/>
  <c r="G59" i="33"/>
  <c r="G63" i="33"/>
  <c r="G74" i="33"/>
  <c r="G32" i="33"/>
  <c r="G68" i="33"/>
  <c r="G31" i="33"/>
  <c r="E20" i="33"/>
  <c r="E22" i="33"/>
  <c r="G24" i="33"/>
  <c r="G27" i="33"/>
  <c r="G30" i="33"/>
  <c r="E39" i="33"/>
  <c r="G40" i="33"/>
  <c r="G44" i="33"/>
  <c r="E52" i="33"/>
  <c r="G53" i="33"/>
  <c r="G58" i="33"/>
  <c r="G62" i="33"/>
  <c r="G67" i="33"/>
  <c r="G18" i="33"/>
  <c r="G19" i="33"/>
  <c r="G20" i="33"/>
  <c r="G21" i="33"/>
  <c r="G22" i="33"/>
  <c r="G23" i="33"/>
  <c r="E35" i="33"/>
  <c r="G39" i="33"/>
  <c r="E42" i="33"/>
  <c r="G43" i="33"/>
  <c r="E46" i="33"/>
  <c r="G47" i="33"/>
  <c r="E51" i="33"/>
  <c r="G52" i="33"/>
  <c r="E56" i="33"/>
  <c r="G57" i="33"/>
  <c r="E60" i="33"/>
  <c r="G61" i="33"/>
  <c r="E69" i="33"/>
  <c r="G72" i="33"/>
  <c r="E68" i="33"/>
  <c r="I61" i="33"/>
  <c r="E63" i="33"/>
  <c r="I63" i="33"/>
  <c r="H72" i="33"/>
  <c r="E55" i="33"/>
  <c r="H19" i="33"/>
  <c r="H23" i="33"/>
  <c r="H34" i="33"/>
  <c r="I50" i="33"/>
  <c r="H54" i="33"/>
  <c r="H74" i="33"/>
  <c r="E67" i="33"/>
  <c r="H57" i="33"/>
  <c r="H44" i="33"/>
  <c r="I59" i="33"/>
  <c r="I52" i="33"/>
  <c r="M21" i="33"/>
  <c r="I29" i="33"/>
  <c r="M45" i="33"/>
  <c r="L61" i="33"/>
  <c r="I69" i="33"/>
  <c r="M72" i="33"/>
  <c r="J66" i="33"/>
  <c r="K66" i="33"/>
  <c r="I32" i="33"/>
  <c r="L25" i="33"/>
  <c r="H28" i="33"/>
  <c r="J38" i="33"/>
  <c r="M41" i="33"/>
  <c r="M43" i="33"/>
  <c r="H46" i="33"/>
  <c r="I51" i="33"/>
  <c r="I56" i="33"/>
  <c r="L57" i="33"/>
  <c r="I31" i="33"/>
  <c r="M28" i="33"/>
  <c r="M35" i="33"/>
  <c r="H40" i="33"/>
  <c r="L46" i="33"/>
  <c r="M51" i="33"/>
  <c r="L56" i="33"/>
  <c r="H58" i="33"/>
  <c r="L62" i="33"/>
  <c r="M69" i="33"/>
  <c r="M73" i="33"/>
  <c r="F66" i="33"/>
  <c r="G66" i="33"/>
  <c r="I33" i="33"/>
  <c r="K67" i="33"/>
  <c r="L28" i="33"/>
  <c r="L48" i="33"/>
  <c r="H33" i="33"/>
  <c r="I67" i="33"/>
  <c r="K46" i="33"/>
  <c r="M62" i="33"/>
  <c r="M33" i="33"/>
  <c r="M56" i="33"/>
  <c r="E58" i="33"/>
  <c r="L31" i="33"/>
  <c r="H29" i="33"/>
  <c r="M44" i="33"/>
  <c r="M29" i="33"/>
  <c r="K69" i="33"/>
  <c r="H25" i="33"/>
  <c r="K35" i="33"/>
  <c r="M48" i="33"/>
  <c r="E40" i="33"/>
  <c r="H63" i="33"/>
  <c r="L44" i="33"/>
  <c r="K51" i="33"/>
  <c r="L30" i="33"/>
  <c r="L29" i="33"/>
  <c r="I40" i="33"/>
  <c r="M46" i="33"/>
  <c r="L42" i="33"/>
  <c r="L58" i="33"/>
  <c r="L51" i="33"/>
  <c r="M20" i="33"/>
  <c r="D17" i="33"/>
  <c r="I30" i="33"/>
  <c r="I18" i="33"/>
  <c r="F55" i="33"/>
  <c r="G55" i="33"/>
  <c r="K72" i="33"/>
  <c r="M40" i="33"/>
  <c r="I34" i="33"/>
  <c r="M30" i="33"/>
  <c r="H68" i="33"/>
  <c r="M58" i="33"/>
  <c r="L69" i="33"/>
  <c r="L53" i="33"/>
  <c r="K27" i="33"/>
  <c r="E73" i="33"/>
  <c r="M22" i="33"/>
  <c r="H30" i="33"/>
  <c r="L60" i="33"/>
  <c r="L35" i="33"/>
  <c r="M42" i="33"/>
  <c r="E62" i="33"/>
  <c r="G29" i="33"/>
  <c r="L74" i="33"/>
  <c r="H48" i="33"/>
  <c r="H73" i="33"/>
  <c r="G46" i="33"/>
  <c r="I46" i="33"/>
  <c r="L40" i="33"/>
  <c r="H59" i="33"/>
  <c r="I45" i="33"/>
  <c r="L22" i="33"/>
  <c r="M18" i="33"/>
  <c r="I54" i="33"/>
  <c r="L73" i="33"/>
  <c r="M23" i="33"/>
  <c r="M53" i="33"/>
  <c r="H21" i="33"/>
  <c r="M60" i="33"/>
  <c r="G56" i="33"/>
  <c r="E19" i="33"/>
  <c r="L24" i="33"/>
  <c r="M27" i="33"/>
  <c r="H31" i="33"/>
  <c r="K61" i="33"/>
  <c r="L23" i="33"/>
  <c r="I35" i="33"/>
  <c r="E59" i="33"/>
  <c r="H50" i="33"/>
  <c r="H56" i="33"/>
  <c r="H35" i="33"/>
  <c r="H27" i="33"/>
  <c r="H22" i="33"/>
  <c r="L20" i="33"/>
  <c r="J55" i="33"/>
  <c r="E21" i="33"/>
  <c r="L19" i="33"/>
  <c r="I74" i="33"/>
  <c r="M19" i="33"/>
  <c r="H69" i="33"/>
  <c r="H42" i="33"/>
  <c r="L54" i="33"/>
  <c r="E54" i="33"/>
  <c r="E18" i="33"/>
  <c r="E45" i="33"/>
  <c r="G28" i="33"/>
  <c r="G69" i="33"/>
  <c r="L68" i="33"/>
  <c r="F26" i="33"/>
  <c r="G26" i="33"/>
  <c r="D66" i="33"/>
  <c r="E74" i="33"/>
  <c r="I20" i="33"/>
  <c r="K57" i="33"/>
  <c r="H20" i="33"/>
  <c r="H45" i="33"/>
  <c r="H60" i="33"/>
  <c r="E50" i="33"/>
  <c r="I19" i="33"/>
  <c r="L21" i="33"/>
  <c r="J17" i="33"/>
  <c r="H18" i="33"/>
  <c r="H51" i="33"/>
  <c r="H41" i="33"/>
  <c r="I24" i="33"/>
  <c r="F38" i="33"/>
  <c r="I28" i="33"/>
  <c r="I41" i="33"/>
  <c r="I27" i="33"/>
  <c r="I68" i="33"/>
  <c r="M68" i="33"/>
  <c r="G51" i="33"/>
  <c r="E34" i="33"/>
  <c r="K25" i="33"/>
  <c r="L33" i="33"/>
  <c r="L34" i="33"/>
  <c r="H39" i="33"/>
  <c r="L43" i="33"/>
  <c r="L45" i="33"/>
  <c r="H47" i="33"/>
  <c r="M50" i="33"/>
  <c r="L52" i="33"/>
  <c r="M54" i="33"/>
  <c r="M57" i="33"/>
  <c r="I58" i="33"/>
  <c r="M59" i="33"/>
  <c r="M61" i="33"/>
  <c r="M74" i="33"/>
  <c r="K43" i="33"/>
  <c r="L18" i="33"/>
  <c r="I21" i="33"/>
  <c r="I23" i="33"/>
  <c r="I60" i="33"/>
  <c r="I22" i="33"/>
  <c r="I42" i="33"/>
  <c r="K39" i="33"/>
  <c r="E41" i="33"/>
  <c r="E23" i="33"/>
  <c r="M25" i="33"/>
  <c r="E31" i="33"/>
  <c r="E32" i="33"/>
  <c r="M32" i="33"/>
  <c r="K33" i="33"/>
  <c r="K54" i="33"/>
  <c r="K74" i="33"/>
  <c r="F17" i="33"/>
  <c r="E72" i="33"/>
  <c r="E61" i="33"/>
  <c r="L59" i="33"/>
  <c r="E57" i="33"/>
  <c r="H52" i="33"/>
  <c r="M39" i="33"/>
  <c r="M34" i="33"/>
  <c r="E27" i="33"/>
  <c r="E43" i="33"/>
  <c r="E47" i="33"/>
  <c r="L41" i="33"/>
  <c r="I39" i="33"/>
  <c r="I25" i="33"/>
  <c r="L72" i="33"/>
  <c r="H32" i="33"/>
  <c r="I72" i="33"/>
  <c r="H61" i="33"/>
  <c r="I53" i="33"/>
  <c r="M52" i="33"/>
  <c r="L50" i="33"/>
  <c r="I48" i="33"/>
  <c r="I47" i="33"/>
  <c r="I43" i="33"/>
  <c r="L27" i="33"/>
  <c r="L47" i="33"/>
  <c r="I73" i="33"/>
  <c r="L39" i="33"/>
  <c r="H67" i="33"/>
  <c r="H24" i="33"/>
  <c r="H62" i="33"/>
  <c r="G48" i="33"/>
  <c r="M24" i="33"/>
  <c r="M47" i="33"/>
  <c r="M67" i="33"/>
  <c r="K50" i="33"/>
  <c r="L32" i="33"/>
  <c r="M31" i="33"/>
  <c r="G73" i="33"/>
  <c r="K45" i="33"/>
  <c r="H53" i="33"/>
  <c r="I44" i="33"/>
  <c r="H43" i="33"/>
  <c r="D38" i="33"/>
  <c r="M63" i="33"/>
  <c r="L63" i="33"/>
  <c r="M35" i="10"/>
  <c r="E35" i="10"/>
  <c r="K16" i="10"/>
  <c r="G9" i="10"/>
  <c r="M16" i="10"/>
  <c r="I35" i="10"/>
  <c r="D36" i="10"/>
  <c r="E36" i="10"/>
  <c r="H35" i="10"/>
  <c r="D63" i="10"/>
  <c r="D69" i="10"/>
  <c r="L16" i="10"/>
  <c r="J36" i="10"/>
  <c r="K36" i="10"/>
  <c r="E49" i="33"/>
  <c r="J63" i="10"/>
  <c r="K63" i="10"/>
  <c r="L35" i="10"/>
  <c r="K35" i="10"/>
  <c r="H16" i="10"/>
  <c r="I16" i="10"/>
  <c r="G8" i="10"/>
  <c r="I41" i="36"/>
  <c r="E16" i="10"/>
  <c r="M49" i="33"/>
  <c r="H49" i="33"/>
  <c r="D16" i="33"/>
  <c r="L49" i="33"/>
  <c r="D36" i="33"/>
  <c r="I49" i="33"/>
  <c r="C69" i="36"/>
  <c r="D69" i="36"/>
  <c r="C74" i="36"/>
  <c r="D68" i="36"/>
  <c r="J42" i="36"/>
  <c r="F42" i="36"/>
  <c r="G69" i="36"/>
  <c r="H68" i="36"/>
  <c r="G16" i="10"/>
  <c r="C42" i="36"/>
  <c r="D42" i="36"/>
  <c r="D41" i="36"/>
  <c r="E68" i="36"/>
  <c r="J68" i="36"/>
  <c r="F8" i="36"/>
  <c r="J8" i="36"/>
  <c r="I42" i="36"/>
  <c r="G10" i="30"/>
  <c r="E17" i="30"/>
  <c r="F69" i="10"/>
  <c r="F64" i="10"/>
  <c r="G64" i="10"/>
  <c r="G63" i="10"/>
  <c r="J36" i="33"/>
  <c r="G36" i="10"/>
  <c r="K38" i="33"/>
  <c r="G38" i="33"/>
  <c r="F36" i="33"/>
  <c r="I55" i="33"/>
  <c r="L55" i="33"/>
  <c r="H66" i="33"/>
  <c r="I66" i="33"/>
  <c r="H17" i="33"/>
  <c r="H55" i="33"/>
  <c r="M17" i="33"/>
  <c r="E17" i="33"/>
  <c r="L66" i="33"/>
  <c r="E66" i="33"/>
  <c r="M66" i="33"/>
  <c r="K55" i="33"/>
  <c r="M55" i="33"/>
  <c r="J16" i="33"/>
  <c r="K17" i="33"/>
  <c r="L17" i="33"/>
  <c r="M26" i="33"/>
  <c r="E26" i="33"/>
  <c r="L26" i="33"/>
  <c r="H26" i="33"/>
  <c r="I26" i="33"/>
  <c r="I38" i="33"/>
  <c r="H38" i="33"/>
  <c r="L38" i="33"/>
  <c r="E38" i="33"/>
  <c r="M38" i="33"/>
  <c r="F16" i="33"/>
  <c r="G17" i="33"/>
  <c r="I17" i="33"/>
  <c r="H36" i="10"/>
  <c r="I36" i="10"/>
  <c r="J64" i="10"/>
  <c r="K64" i="10"/>
  <c r="G69" i="10"/>
  <c r="F74" i="10"/>
  <c r="I63" i="10"/>
  <c r="D74" i="10"/>
  <c r="D64" i="10"/>
  <c r="L36" i="10"/>
  <c r="E63" i="10"/>
  <c r="H63" i="10"/>
  <c r="D64" i="33"/>
  <c r="J69" i="10"/>
  <c r="L69" i="10"/>
  <c r="M36" i="10"/>
  <c r="E69" i="36"/>
  <c r="F69" i="36"/>
  <c r="F68" i="36"/>
  <c r="E74" i="36"/>
  <c r="D74" i="36"/>
  <c r="C79" i="36"/>
  <c r="H69" i="36"/>
  <c r="I68" i="36"/>
  <c r="E23" i="30"/>
  <c r="G23" i="30"/>
  <c r="G17" i="30"/>
  <c r="I69" i="10"/>
  <c r="E69" i="10"/>
  <c r="I64" i="10"/>
  <c r="F37" i="33"/>
  <c r="G37" i="33"/>
  <c r="J37" i="33"/>
  <c r="K37" i="33"/>
  <c r="G36" i="33"/>
  <c r="H16" i="33"/>
  <c r="E16" i="33"/>
  <c r="L16" i="33"/>
  <c r="K36" i="33"/>
  <c r="J64" i="33"/>
  <c r="K16" i="33"/>
  <c r="M16" i="33"/>
  <c r="I16" i="33"/>
  <c r="F64" i="33"/>
  <c r="G16" i="33"/>
  <c r="E36" i="33"/>
  <c r="H36" i="33"/>
  <c r="L36" i="33"/>
  <c r="M36" i="33"/>
  <c r="I36" i="33"/>
  <c r="D37" i="33"/>
  <c r="K69" i="10"/>
  <c r="J74" i="10"/>
  <c r="F70" i="10"/>
  <c r="G70" i="10"/>
  <c r="G74" i="10"/>
  <c r="H64" i="33"/>
  <c r="M69" i="10"/>
  <c r="L64" i="10"/>
  <c r="H64" i="10"/>
  <c r="M64" i="10"/>
  <c r="I74" i="10"/>
  <c r="D70" i="10"/>
  <c r="H74" i="10"/>
  <c r="E74" i="10"/>
  <c r="E64" i="10"/>
  <c r="I69" i="36"/>
  <c r="J69" i="36"/>
  <c r="C75" i="36"/>
  <c r="D75" i="36"/>
  <c r="D79" i="36"/>
  <c r="I74" i="36"/>
  <c r="F74" i="36"/>
  <c r="J74" i="36"/>
  <c r="E79" i="36"/>
  <c r="D65" i="33"/>
  <c r="L64" i="33"/>
  <c r="D70" i="33"/>
  <c r="E64" i="33"/>
  <c r="M64" i="33"/>
  <c r="J70" i="33"/>
  <c r="J76" i="33"/>
  <c r="J65" i="33"/>
  <c r="K65" i="33"/>
  <c r="K64" i="33"/>
  <c r="M37" i="33"/>
  <c r="L37" i="33"/>
  <c r="E37" i="33"/>
  <c r="H37" i="33"/>
  <c r="I37" i="33"/>
  <c r="F65" i="33"/>
  <c r="G65" i="33"/>
  <c r="F70" i="33"/>
  <c r="F76" i="33"/>
  <c r="G64" i="33"/>
  <c r="I64" i="33"/>
  <c r="D76" i="33"/>
  <c r="K74" i="10"/>
  <c r="J70" i="10"/>
  <c r="K70" i="10"/>
  <c r="L74" i="10"/>
  <c r="L70" i="10"/>
  <c r="M74" i="10"/>
  <c r="H70" i="10"/>
  <c r="E70" i="10"/>
  <c r="I70" i="10"/>
  <c r="I79" i="36"/>
  <c r="F79" i="36"/>
  <c r="J79" i="36"/>
  <c r="E75" i="36"/>
  <c r="E65" i="33"/>
  <c r="E70" i="33"/>
  <c r="L70" i="33"/>
  <c r="M70" i="33"/>
  <c r="I70" i="33"/>
  <c r="H65" i="33"/>
  <c r="I65" i="33"/>
  <c r="L65" i="33"/>
  <c r="M65" i="33"/>
  <c r="H70" i="33"/>
  <c r="K70" i="33"/>
  <c r="G70" i="33"/>
  <c r="M70" i="10"/>
  <c r="F75" i="36"/>
  <c r="J75" i="36"/>
  <c r="I75" i="36"/>
  <c r="D71" i="33"/>
  <c r="E76" i="33"/>
  <c r="I76" i="33"/>
  <c r="M76" i="33"/>
  <c r="L76" i="33"/>
  <c r="J71" i="33"/>
  <c r="K71" i="33"/>
  <c r="K76" i="33"/>
  <c r="G76" i="33"/>
  <c r="F71" i="33"/>
  <c r="G71" i="33"/>
  <c r="H76" i="33"/>
  <c r="E71" i="33"/>
  <c r="I71" i="33"/>
  <c r="M71" i="33"/>
  <c r="L71" i="33"/>
  <c r="H71" i="33"/>
</calcChain>
</file>

<file path=xl/sharedStrings.xml><?xml version="1.0" encoding="utf-8"?>
<sst xmlns="http://schemas.openxmlformats.org/spreadsheetml/2006/main" count="1252" uniqueCount="471">
  <si>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</si>
  <si>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</si>
  <si>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</si>
  <si>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</si>
  <si>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</si>
  <si>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</si>
  <si>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</si>
  <si>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</si>
  <si>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</si>
  <si>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</si>
  <si>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</si>
  <si>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</si>
  <si>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</si>
  <si>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</si>
  <si>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</si>
  <si>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</si>
  <si>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</si>
  <si>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</si>
  <si>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</si>
  <si>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</si>
  <si>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</si>
  <si>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</si>
  <si>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</si>
  <si>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</si>
  <si>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</si>
  <si>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</si>
  <si>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</si>
  <si>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</si>
  <si>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</si>
  <si>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</si>
  <si>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</si>
  <si>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</si>
  <si>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</si>
  <si>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</si>
  <si>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</si>
  <si>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</si>
  <si>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</si>
  <si>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</si>
  <si>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</si>
  <si>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</si>
  <si>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</si>
  <si>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</si>
  <si>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</si>
  <si>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</si>
  <si>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</si>
  <si>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</si>
  <si>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</si>
  <si>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</si>
  <si>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</si>
  <si>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</si>
  <si>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</si>
  <si>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</si>
  <si>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</si>
  <si>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</si>
  <si>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</si>
  <si>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</si>
  <si>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</si>
  <si>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</si>
  <si>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</si>
  <si>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</si>
  <si>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</si>
  <si>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</si>
  <si>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</si>
  <si>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</si>
  <si>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</si>
  <si>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</si>
  <si>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</si>
  <si>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</si>
  <si>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</si>
  <si>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</si>
  <si>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</si>
  <si>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</si>
  <si>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</si>
  <si>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</si>
  <si>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</si>
  <si>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</si>
  <si>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</si>
  <si>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</si>
  <si>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</si>
  <si>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</si>
  <si>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</si>
  <si>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</si>
  <si>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</si>
  <si>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</si>
  <si>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</si>
  <si>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</si>
  <si>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</si>
  <si>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</si>
  <si>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</si>
  <si>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</si>
  <si>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</si>
  <si>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</si>
  <si>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</si>
  <si>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</si>
  <si>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</si>
  <si>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</si>
  <si>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</si>
  <si>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</si>
  <si>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</si>
  <si>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</si>
  <si>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</si>
  <si>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</si>
  <si>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</si>
  <si>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</si>
  <si>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</si>
  <si>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</si>
  <si>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</si>
  <si>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</si>
  <si>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</si>
  <si>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</si>
  <si>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</si>
  <si>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</si>
  <si>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</si>
  <si>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</si>
  <si>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</si>
  <si>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</si>
  <si>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</si>
  <si>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</si>
  <si>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</si>
  <si>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</si>
  <si>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</si>
  <si>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</si>
  <si>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</si>
  <si>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</si>
  <si>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</si>
  <si>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</si>
  <si>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</si>
  <si>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</si>
  <si>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</si>
  <si>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</si>
  <si>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</si>
  <si>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</si>
  <si>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</si>
  <si>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</si>
  <si>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</si>
  <si>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</si>
  <si>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</si>
  <si>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</si>
  <si>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</si>
  <si>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</si>
  <si>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</si>
  <si>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</si>
  <si>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</si>
  <si>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</si>
  <si>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</si>
  <si>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</si>
  <si>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</si>
  <si>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</si>
  <si>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</si>
  <si>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</si>
  <si>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</si>
  <si>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</si>
  <si>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</si>
  <si>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</si>
  <si>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</si>
  <si>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</si>
  <si>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</si>
  <si>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</si>
  <si>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</si>
  <si>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</si>
  <si>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</si>
  <si>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</si>
  <si>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</si>
  <si>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</si>
  <si>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</si>
  <si>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</si>
  <si>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</si>
  <si>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</si>
  <si>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</si>
  <si>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</si>
  <si>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</si>
  <si>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</si>
  <si>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</si>
  <si>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</si>
  <si>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</si>
  <si>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</si>
  <si>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</si>
  <si>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</si>
  <si>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</si>
  <si>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</si>
  <si>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</si>
  <si>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</si>
  <si>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</si>
  <si>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</si>
  <si>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</si>
  <si>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</si>
  <si>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</si>
  <si>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</si>
  <si>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</si>
  <si>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</si>
  <si>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</si>
  <si>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</si>
  <si>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</si>
  <si>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</si>
  <si>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</si>
  <si>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</si>
  <si>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</si>
  <si>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</si>
  <si>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</si>
  <si>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</si>
  <si>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</si>
  <si>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</si>
  <si>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</si>
  <si>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</si>
  <si>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</si>
  <si>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</si>
  <si>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</si>
  <si>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</si>
  <si>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</si>
  <si>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</si>
  <si>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</si>
  <si>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</si>
  <si>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</si>
  <si>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</si>
  <si>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</si>
  <si>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</si>
  <si>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</si>
  <si>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</si>
  <si>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</si>
  <si>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</si>
  <si>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</si>
  <si>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</si>
  <si>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</si>
  <si>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</si>
  <si>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</si>
  <si>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</si>
  <si>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</si>
  <si>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</si>
  <si>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</si>
  <si>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</si>
  <si>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</si>
  <si>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</si>
  <si>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</si>
  <si>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</si>
  <si>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</si>
  <si>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</si>
  <si>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</si>
  <si>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</si>
  <si>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</si>
  <si>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</si>
  <si>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</si>
  <si>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</si>
  <si>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</si>
  <si>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</si>
  <si>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</si>
  <si>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</si>
  <si>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</si>
  <si>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</si>
  <si>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</si>
  <si>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</si>
  <si>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</si>
  <si>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</si>
  <si>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</si>
  <si>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</si>
  <si>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</si>
  <si>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</si>
  <si>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</si>
  <si>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</si>
  <si>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</si>
  <si>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</si>
  <si>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</si>
  <si>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</si>
  <si>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</si>
  <si>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</si>
  <si>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</si>
  <si>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</si>
  <si>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</si>
  <si>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</si>
  <si>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</si>
  <si>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</si>
  <si>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</si>
  <si>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</si>
  <si>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</si>
  <si>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</si>
  <si>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</si>
  <si>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</si>
  <si>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</si>
  <si>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</si>
  <si>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</si>
  <si>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</si>
  <si>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</si>
  <si>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</si>
  <si>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</si>
  <si>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</si>
  <si>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</si>
  <si>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</si>
  <si>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</si>
  <si>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</si>
  <si>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</si>
  <si>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</si>
  <si>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</si>
  <si>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</si>
  <si>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</si>
  <si>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</si>
  <si>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</si>
  <si>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</si>
  <si>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</si>
  <si>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</si>
  <si>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</si>
  <si>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</si>
  <si>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</si>
  <si>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</si>
  <si>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</si>
  <si>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</si>
  <si>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</si>
  <si>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</si>
  <si>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</si>
  <si>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</si>
  <si>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</si>
  <si>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</si>
  <si>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</si>
  <si>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</si>
  <si>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</si>
  <si>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</si>
  <si>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</si>
  <si>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</si>
  <si>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</si>
  <si>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</si>
  <si>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</si>
  <si>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</si>
  <si>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</si>
  <si>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</si>
  <si>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</si>
  <si>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</si>
  <si>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</si>
  <si>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</si>
  <si>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</si>
  <si>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</si>
  <si>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</si>
  <si>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</si>
  <si>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</si>
  <si>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</si>
  <si>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</si>
  <si>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</si>
  <si>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</si>
  <si>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</si>
  <si>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</si>
  <si>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</si>
  <si>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</si>
  <si>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</si>
  <si>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</si>
  <si>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</si>
  <si>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</si>
  <si>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</si>
  <si>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</si>
  <si>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</si>
  <si>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</si>
  <si>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</si>
  <si>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</si>
  <si>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</si>
  <si>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</si>
  <si>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</si>
  <si>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</si>
  <si>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</si>
  <si>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</si>
  <si>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</si>
  <si>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</si>
  <si>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</si>
  <si>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</si>
  <si>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</si>
  <si>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</si>
  <si>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</si>
  <si>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</si>
  <si>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</si>
  <si>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</si>
  <si>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</si>
  <si>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</si>
  <si>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</si>
  <si>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</si>
  <si>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</si>
  <si>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</si>
  <si>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</si>
  <si>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</si>
  <si>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</si>
  <si>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</si>
  <si>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</si>
  <si>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</si>
  <si>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</si>
  <si>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</si>
  <si>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</si>
  <si>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</si>
  <si>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</si>
  <si>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</si>
  <si>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</si>
  <si>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</si>
  <si>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</si>
  <si>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</si>
  <si>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</si>
  <si>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</si>
  <si>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</si>
  <si>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</si>
  <si>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</si>
  <si>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</si>
  <si>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</si>
  <si>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</si>
  <si>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</si>
  <si>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</si>
  <si>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</si>
  <si>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</si>
  <si>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</si>
  <si>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</si>
  <si>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</si>
  <si>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</si>
  <si>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</si>
  <si>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</si>
  <si>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</si>
  <si>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</si>
  <si>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</si>
  <si>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</si>
  <si>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</si>
  <si>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</si>
  <si>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</si>
  <si>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</si>
  <si>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</si>
  <si>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</si>
  <si>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</si>
  <si>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</si>
  <si>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</si>
  <si>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</si>
  <si>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</si>
  <si>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</si>
  <si>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</si>
  <si>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</si>
  <si>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</si>
  <si>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</si>
  <si>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</si>
  <si>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</si>
  <si>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</si>
  <si>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</si>
  <si>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</si>
  <si>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</si>
  <si>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</si>
  <si>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</si>
  <si>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</si>
  <si>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</si>
  <si>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</si>
  <si>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</si>
  <si>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</si>
  <si>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</si>
  <si>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</si>
  <si>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</si>
  <si>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</si>
  <si>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</si>
  <si>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</si>
  <si>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</si>
  <si>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Naknada za komunalno opremanje građevinskog zemljišta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</si>
  <si>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</si>
  <si>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</si>
  <si>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</si>
  <si>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</si>
  <si>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</si>
  <si>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</si>
  <si>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</si>
  <si>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</si>
  <si>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</si>
  <si>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</si>
  <si>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</si>
  <si>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</si>
  <si>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</si>
  <si>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</si>
  <si>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</si>
  <si>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Ostali državni prihodi</t>
  </si>
  <si>
    <t>Other State revenues</t>
  </si>
  <si>
    <t>Ostali transferi</t>
  </si>
  <si>
    <t>Ostvarenje 2016</t>
  </si>
  <si>
    <t xml:space="preserve">Receipts from repayment of loans </t>
  </si>
  <si>
    <t>Receipts from repayment of loans</t>
  </si>
  <si>
    <t>Primici od otplate kredita</t>
  </si>
  <si>
    <t>Ostvarenje 2017</t>
  </si>
  <si>
    <t>Plan 2017</t>
  </si>
  <si>
    <t>Transferi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</si>
</sst>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RSD&quot;_-;\-* #,##0.00\ &quot;RSD&quot;_-;_-* &quot;-&quot;??\ &quot;RSD&quot;_-;_-@_-"/>
    <numFmt numFmtId="164" formatCode="0.00,,"/>
    <numFmt numFmtId="165" formatCode="0.0,,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[&gt;0.05]#,##0.0;[&lt;-0.05]\-#,##0.0;\-\-&quot; &quot;;"/>
    <numFmt numFmtId="172" formatCode="[&gt;0.5]#,##0;[&lt;-0.5]\-#,##0;\-\-&quot; &quot;;"/>
    <numFmt numFmtId="173" formatCode="[Black]#,##0.0;[Black]\-#,##0.0;;"/>
    <numFmt numFmtId="174" formatCode="#,##0.0,,"/>
    <numFmt numFmtId="175" formatCode="0.0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1">
    <xf numFmtId="0" fontId="0" fillId="0" borderId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3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  <xf numFmtId="44" fontId="44" fillId="0" borderId="0" applyFont="0" applyFill="0" applyBorder="0" applyAlignment="0" applyProtection="0"/>
  </cellStyleXfs>
  <cellXfs count="354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4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4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4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5" fontId="27" fillId="2" borderId="0" xfId="0" applyNumberFormat="1" applyFont="1" applyFill="1" applyBorder="1" applyAlignment="1" applyProtection="1">
      <protection hidden="1"/>
    </xf>
    <xf numFmtId="165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4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4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4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5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5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5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5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4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4" fontId="29" fillId="2" borderId="30" xfId="36" applyNumberFormat="1" applyFont="1" applyFill="1" applyBorder="1" applyAlignment="1">
      <alignment vertical="center"/>
    </xf>
    <xf numFmtId="164" fontId="27" fillId="0" borderId="30" xfId="36" applyNumberFormat="1" applyFont="1" applyFill="1" applyBorder="1" applyAlignment="1">
      <alignment vertical="center"/>
    </xf>
    <xf numFmtId="164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4" fontId="29" fillId="5" borderId="5" xfId="36" applyNumberFormat="1" applyFont="1" applyFill="1" applyBorder="1" applyAlignment="1">
      <alignment vertical="center"/>
    </xf>
    <xf numFmtId="164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4" fontId="29" fillId="5" borderId="11" xfId="36" applyNumberFormat="1" applyFont="1" applyFill="1" applyBorder="1" applyAlignment="1">
      <alignment vertical="center"/>
    </xf>
    <xf numFmtId="164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4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4" fontId="29" fillId="6" borderId="11" xfId="36" applyNumberFormat="1" applyFont="1" applyFill="1" applyBorder="1" applyAlignment="1">
      <alignment vertical="center"/>
    </xf>
    <xf numFmtId="164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4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4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4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4" fontId="27" fillId="2" borderId="21" xfId="39" applyNumberFormat="1" applyFont="1" applyFill="1" applyBorder="1"/>
    <xf numFmtId="0" fontId="27" fillId="2" borderId="21" xfId="39" applyFont="1" applyFill="1" applyBorder="1"/>
    <xf numFmtId="164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5" fontId="30" fillId="2" borderId="0" xfId="0" applyNumberFormat="1" applyFont="1" applyFill="1" applyBorder="1" applyAlignment="1" applyProtection="1">
      <alignment vertical="center"/>
      <protection hidden="1"/>
    </xf>
    <xf numFmtId="164" fontId="29" fillId="14" borderId="30" xfId="22" applyNumberFormat="1" applyFont="1" applyFill="1" applyBorder="1" applyAlignment="1">
      <alignment vertical="center"/>
    </xf>
    <xf numFmtId="164" fontId="29" fillId="14" borderId="5" xfId="22" applyNumberFormat="1" applyFont="1" applyFill="1" applyBorder="1" applyAlignment="1">
      <alignment vertical="center"/>
    </xf>
    <xf numFmtId="164" fontId="29" fillId="14" borderId="30" xfId="36" applyNumberFormat="1" applyFont="1" applyFill="1" applyBorder="1" applyAlignment="1">
      <alignment vertical="center"/>
    </xf>
    <xf numFmtId="164" fontId="27" fillId="14" borderId="30" xfId="36" applyNumberFormat="1" applyFont="1" applyFill="1" applyBorder="1" applyAlignment="1">
      <alignment vertical="center"/>
    </xf>
    <xf numFmtId="164" fontId="29" fillId="14" borderId="5" xfId="36" applyNumberFormat="1" applyFont="1" applyFill="1" applyBorder="1" applyAlignment="1">
      <alignment vertical="center"/>
    </xf>
    <xf numFmtId="175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4" fontId="27" fillId="2" borderId="5" xfId="36" applyNumberFormat="1" applyFont="1" applyFill="1" applyBorder="1" applyAlignment="1">
      <alignment vertical="center"/>
    </xf>
    <xf numFmtId="164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164" fontId="29" fillId="8" borderId="5" xfId="0" applyNumberFormat="1" applyFont="1" applyFill="1" applyBorder="1"/>
    <xf numFmtId="164" fontId="29" fillId="2" borderId="29" xfId="0" applyNumberFormat="1" applyFont="1" applyFill="1" applyBorder="1"/>
    <xf numFmtId="164" fontId="29" fillId="14" borderId="29" xfId="0" applyNumberFormat="1" applyFont="1" applyFill="1" applyBorder="1"/>
    <xf numFmtId="164" fontId="27" fillId="2" borderId="30" xfId="0" applyNumberFormat="1" applyFont="1" applyFill="1" applyBorder="1"/>
    <xf numFmtId="164" fontId="27" fillId="14" borderId="30" xfId="0" applyNumberFormat="1" applyFont="1" applyFill="1" applyBorder="1"/>
    <xf numFmtId="164" fontId="27" fillId="2" borderId="30" xfId="0" applyNumberFormat="1" applyFont="1" applyFill="1" applyBorder="1" applyAlignment="1">
      <alignment vertical="center"/>
    </xf>
    <xf numFmtId="164" fontId="27" fillId="14" borderId="30" xfId="0" applyNumberFormat="1" applyFont="1" applyFill="1" applyBorder="1" applyAlignment="1">
      <alignment vertical="center"/>
    </xf>
    <xf numFmtId="164" fontId="27" fillId="2" borderId="30" xfId="22" applyNumberFormat="1" applyFont="1" applyFill="1" applyBorder="1" applyAlignment="1">
      <alignment vertical="center"/>
    </xf>
    <xf numFmtId="164" fontId="27" fillId="14" borderId="30" xfId="22" applyNumberFormat="1" applyFont="1" applyFill="1" applyBorder="1" applyAlignment="1">
      <alignment vertical="center"/>
    </xf>
    <xf numFmtId="164" fontId="29" fillId="2" borderId="30" xfId="0" applyNumberFormat="1" applyFont="1" applyFill="1" applyBorder="1"/>
    <xf numFmtId="164" fontId="29" fillId="14" borderId="30" xfId="0" applyNumberFormat="1" applyFont="1" applyFill="1" applyBorder="1"/>
    <xf numFmtId="164" fontId="29" fillId="8" borderId="5" xfId="22" applyNumberFormat="1" applyFont="1" applyFill="1" applyBorder="1" applyAlignment="1">
      <alignment vertical="center"/>
    </xf>
    <xf numFmtId="164" fontId="29" fillId="8" borderId="5" xfId="36" applyNumberFormat="1" applyFont="1" applyFill="1" applyBorder="1" applyAlignment="1">
      <alignment vertical="center"/>
    </xf>
    <xf numFmtId="164" fontId="29" fillId="2" borderId="11" xfId="0" applyNumberFormat="1" applyFont="1" applyFill="1" applyBorder="1"/>
    <xf numFmtId="164" fontId="29" fillId="14" borderId="11" xfId="0" applyNumberFormat="1" applyFont="1" applyFill="1" applyBorder="1"/>
    <xf numFmtId="164" fontId="29" fillId="2" borderId="15" xfId="0" applyNumberFormat="1" applyFont="1" applyFill="1" applyBorder="1"/>
    <xf numFmtId="164" fontId="29" fillId="14" borderId="15" xfId="0" applyNumberFormat="1" applyFont="1" applyFill="1" applyBorder="1"/>
    <xf numFmtId="164" fontId="29" fillId="2" borderId="5" xfId="0" applyNumberFormat="1" applyFont="1" applyFill="1" applyBorder="1"/>
    <xf numFmtId="164" fontId="29" fillId="14" borderId="5" xfId="0" applyNumberFormat="1" applyFont="1" applyFill="1" applyBorder="1"/>
    <xf numFmtId="164" fontId="27" fillId="2" borderId="29" xfId="36" applyNumberFormat="1" applyFont="1" applyFill="1" applyBorder="1"/>
    <xf numFmtId="164" fontId="27" fillId="14" borderId="29" xfId="0" applyNumberFormat="1" applyFont="1" applyFill="1" applyBorder="1"/>
    <xf numFmtId="164" fontId="27" fillId="2" borderId="30" xfId="36" applyNumberFormat="1" applyFont="1" applyFill="1" applyBorder="1"/>
    <xf numFmtId="0" fontId="39" fillId="2" borderId="22" xfId="36" applyFont="1" applyFill="1" applyBorder="1" applyAlignment="1"/>
    <xf numFmtId="164" fontId="27" fillId="2" borderId="21" xfId="36" applyNumberFormat="1" applyFont="1" applyFill="1" applyBorder="1" applyAlignment="1">
      <alignment horizontal="center" wrapText="1"/>
    </xf>
    <xf numFmtId="0" fontId="16" fillId="2" borderId="0" xfId="22" applyFont="1" applyFill="1"/>
    <xf numFmtId="2" fontId="16" fillId="2" borderId="16" xfId="22" applyNumberFormat="1" applyFont="1" applyFill="1" applyBorder="1" applyAlignment="1">
      <alignment vertical="center"/>
    </xf>
    <xf numFmtId="0" fontId="42" fillId="2" borderId="0" xfId="22" applyFont="1" applyFill="1" applyBorder="1"/>
    <xf numFmtId="2" fontId="16" fillId="2" borderId="0" xfId="22" applyNumberFormat="1" applyFont="1" applyFill="1" applyBorder="1" applyAlignment="1">
      <alignment horizontal="right"/>
    </xf>
    <xf numFmtId="0" fontId="16" fillId="2" borderId="0" xfId="22" applyFont="1" applyFill="1" applyAlignment="1">
      <alignment wrapText="1"/>
    </xf>
    <xf numFmtId="166" fontId="29" fillId="5" borderId="36" xfId="22" applyNumberFormat="1" applyFont="1" applyFill="1" applyBorder="1" applyAlignment="1">
      <alignment vertical="center"/>
    </xf>
    <xf numFmtId="166" fontId="29" fillId="2" borderId="12" xfId="22" applyNumberFormat="1" applyFont="1" applyFill="1" applyBorder="1" applyAlignment="1">
      <alignment vertical="center"/>
    </xf>
    <xf numFmtId="166" fontId="27" fillId="2" borderId="12" xfId="22" applyNumberFormat="1" applyFont="1" applyFill="1" applyBorder="1" applyAlignment="1">
      <alignment vertical="center"/>
    </xf>
    <xf numFmtId="166" fontId="29" fillId="5" borderId="13" xfId="22" applyNumberFormat="1" applyFont="1" applyFill="1" applyBorder="1" applyAlignment="1">
      <alignment vertical="center"/>
    </xf>
    <xf numFmtId="166" fontId="29" fillId="2" borderId="12" xfId="36" applyNumberFormat="1" applyFont="1" applyFill="1" applyBorder="1" applyAlignment="1">
      <alignment vertical="center"/>
    </xf>
    <xf numFmtId="166" fontId="29" fillId="2" borderId="13" xfId="22" applyNumberFormat="1" applyFont="1" applyFill="1" applyBorder="1" applyAlignment="1">
      <alignment vertical="center"/>
    </xf>
    <xf numFmtId="166" fontId="27" fillId="2" borderId="13" xfId="22" applyNumberFormat="1" applyFont="1" applyFill="1" applyBorder="1" applyAlignment="1">
      <alignment vertical="center"/>
    </xf>
    <xf numFmtId="166" fontId="27" fillId="0" borderId="12" xfId="22" applyNumberFormat="1" applyFont="1" applyFill="1" applyBorder="1" applyAlignment="1">
      <alignment vertical="center"/>
    </xf>
    <xf numFmtId="166" fontId="29" fillId="5" borderId="24" xfId="36" applyNumberFormat="1" applyFont="1" applyFill="1" applyBorder="1" applyAlignment="1">
      <alignment vertical="center"/>
    </xf>
    <xf numFmtId="166" fontId="29" fillId="2" borderId="14" xfId="36" applyNumberFormat="1" applyFont="1" applyFill="1" applyBorder="1" applyAlignment="1">
      <alignment vertical="center"/>
    </xf>
    <xf numFmtId="166" fontId="27" fillId="2" borderId="14" xfId="36" applyNumberFormat="1" applyFont="1" applyFill="1" applyBorder="1" applyAlignment="1">
      <alignment vertical="center"/>
    </xf>
    <xf numFmtId="166" fontId="29" fillId="2" borderId="24" xfId="36" applyNumberFormat="1" applyFont="1" applyFill="1" applyBorder="1" applyAlignment="1">
      <alignment vertical="center"/>
    </xf>
    <xf numFmtId="166" fontId="27" fillId="2" borderId="24" xfId="36" applyNumberFormat="1" applyFont="1" applyFill="1" applyBorder="1" applyAlignment="1">
      <alignment vertical="center"/>
    </xf>
    <xf numFmtId="166" fontId="27" fillId="0" borderId="14" xfId="36" applyNumberFormat="1" applyFont="1" applyFill="1" applyBorder="1" applyAlignment="1">
      <alignment vertical="center"/>
    </xf>
    <xf numFmtId="166" fontId="29" fillId="14" borderId="12" xfId="22" applyNumberFormat="1" applyFont="1" applyFill="1" applyBorder="1" applyAlignment="1">
      <alignment vertical="center"/>
    </xf>
    <xf numFmtId="166" fontId="27" fillId="14" borderId="12" xfId="22" applyNumberFormat="1" applyFont="1" applyFill="1" applyBorder="1" applyAlignment="1">
      <alignment vertical="center"/>
    </xf>
    <xf numFmtId="166" fontId="29" fillId="14" borderId="12" xfId="36" applyNumberFormat="1" applyFont="1" applyFill="1" applyBorder="1" applyAlignment="1">
      <alignment vertical="center"/>
    </xf>
    <xf numFmtId="166" fontId="29" fillId="14" borderId="13" xfId="22" applyNumberFormat="1" applyFont="1" applyFill="1" applyBorder="1" applyAlignment="1">
      <alignment horizontal="center" vertical="center"/>
    </xf>
    <xf numFmtId="166" fontId="27" fillId="14" borderId="13" xfId="22" applyNumberFormat="1" applyFont="1" applyFill="1" applyBorder="1" applyAlignment="1">
      <alignment horizontal="center" vertical="center"/>
    </xf>
    <xf numFmtId="166" fontId="29" fillId="14" borderId="12" xfId="22" applyNumberFormat="1" applyFont="1" applyFill="1" applyBorder="1" applyAlignment="1">
      <alignment horizontal="center" vertical="center"/>
    </xf>
    <xf numFmtId="166" fontId="29" fillId="14" borderId="13" xfId="22" applyNumberFormat="1" applyFont="1" applyFill="1" applyBorder="1" applyAlignment="1">
      <alignment vertical="center"/>
    </xf>
    <xf numFmtId="166" fontId="29" fillId="8" borderId="13" xfId="0" applyNumberFormat="1" applyFont="1" applyFill="1" applyBorder="1"/>
    <xf numFmtId="166" fontId="29" fillId="2" borderId="34" xfId="0" applyNumberFormat="1" applyFont="1" applyFill="1" applyBorder="1"/>
    <xf numFmtId="166" fontId="27" fillId="2" borderId="12" xfId="0" applyNumberFormat="1" applyFont="1" applyFill="1" applyBorder="1"/>
    <xf numFmtId="166" fontId="27" fillId="2" borderId="12" xfId="0" applyNumberFormat="1" applyFont="1" applyFill="1" applyBorder="1" applyAlignment="1">
      <alignment vertical="center"/>
    </xf>
    <xf numFmtId="166" fontId="29" fillId="2" borderId="12" xfId="0" applyNumberFormat="1" applyFont="1" applyFill="1" applyBorder="1"/>
    <xf numFmtId="166" fontId="29" fillId="8" borderId="13" xfId="22" applyNumberFormat="1" applyFont="1" applyFill="1" applyBorder="1" applyAlignment="1">
      <alignment vertical="center"/>
    </xf>
    <xf numFmtId="166" fontId="29" fillId="2" borderId="36" xfId="0" applyNumberFormat="1" applyFont="1" applyFill="1" applyBorder="1"/>
    <xf numFmtId="166" fontId="29" fillId="2" borderId="53" xfId="0" applyNumberFormat="1" applyFont="1" applyFill="1" applyBorder="1"/>
    <xf numFmtId="166" fontId="29" fillId="2" borderId="13" xfId="0" applyNumberFormat="1" applyFont="1" applyFill="1" applyBorder="1"/>
    <xf numFmtId="166" fontId="27" fillId="2" borderId="34" xfId="0" applyNumberFormat="1" applyFont="1" applyFill="1" applyBorder="1"/>
    <xf numFmtId="166" fontId="29" fillId="14" borderId="34" xfId="0" applyNumberFormat="1" applyFont="1" applyFill="1" applyBorder="1"/>
    <xf numFmtId="166" fontId="27" fillId="14" borderId="12" xfId="0" applyNumberFormat="1" applyFont="1" applyFill="1" applyBorder="1"/>
    <xf numFmtId="166" fontId="27" fillId="14" borderId="12" xfId="0" applyNumberFormat="1" applyFont="1" applyFill="1" applyBorder="1" applyAlignment="1">
      <alignment vertical="center"/>
    </xf>
    <xf numFmtId="166" fontId="29" fillId="14" borderId="12" xfId="0" applyNumberFormat="1" applyFont="1" applyFill="1" applyBorder="1"/>
    <xf numFmtId="166" fontId="29" fillId="14" borderId="36" xfId="0" applyNumberFormat="1" applyFont="1" applyFill="1" applyBorder="1"/>
    <xf numFmtId="166" fontId="29" fillId="14" borderId="53" xfId="0" applyNumberFormat="1" applyFont="1" applyFill="1" applyBorder="1"/>
    <xf numFmtId="166" fontId="29" fillId="14" borderId="13" xfId="0" applyNumberFormat="1" applyFont="1" applyFill="1" applyBorder="1"/>
    <xf numFmtId="166" fontId="27" fillId="14" borderId="34" xfId="0" applyNumberFormat="1" applyFont="1" applyFill="1" applyBorder="1"/>
    <xf numFmtId="166" fontId="29" fillId="6" borderId="24" xfId="22" applyNumberFormat="1" applyFont="1" applyFill="1" applyBorder="1" applyAlignment="1">
      <alignment vertical="center"/>
    </xf>
    <xf numFmtId="166" fontId="29" fillId="2" borderId="0" xfId="22" applyNumberFormat="1" applyFont="1" applyFill="1" applyBorder="1" applyAlignment="1">
      <alignment vertical="center"/>
    </xf>
    <xf numFmtId="166" fontId="27" fillId="2" borderId="14" xfId="22" applyNumberFormat="1" applyFont="1" applyFill="1" applyBorder="1" applyAlignment="1">
      <alignment vertical="center"/>
    </xf>
    <xf numFmtId="166" fontId="29" fillId="2" borderId="14" xfId="22" applyNumberFormat="1" applyFont="1" applyFill="1" applyBorder="1" applyAlignment="1">
      <alignment vertical="center"/>
    </xf>
    <xf numFmtId="166" fontId="29" fillId="2" borderId="24" xfId="22" applyNumberFormat="1" applyFont="1" applyFill="1" applyBorder="1" applyAlignment="1">
      <alignment vertical="center"/>
    </xf>
    <xf numFmtId="166" fontId="27" fillId="2" borderId="24" xfId="22" applyNumberFormat="1" applyFont="1" applyFill="1" applyBorder="1" applyAlignment="1">
      <alignment vertical="center"/>
    </xf>
    <xf numFmtId="166" fontId="27" fillId="0" borderId="14" xfId="22" applyNumberFormat="1" applyFont="1" applyFill="1" applyBorder="1" applyAlignment="1">
      <alignment vertical="center"/>
    </xf>
    <xf numFmtId="166" fontId="29" fillId="14" borderId="0" xfId="22" applyNumberFormat="1" applyFont="1" applyFill="1" applyBorder="1" applyAlignment="1">
      <alignment vertical="center"/>
    </xf>
    <xf numFmtId="166" fontId="27" fillId="14" borderId="14" xfId="22" applyNumberFormat="1" applyFont="1" applyFill="1" applyBorder="1" applyAlignment="1">
      <alignment vertical="center"/>
    </xf>
    <xf numFmtId="166" fontId="29" fillId="14" borderId="14" xfId="22" applyNumberFormat="1" applyFont="1" applyFill="1" applyBorder="1" applyAlignment="1">
      <alignment vertical="center"/>
    </xf>
    <xf numFmtId="166" fontId="29" fillId="14" borderId="24" xfId="22" applyNumberFormat="1" applyFont="1" applyFill="1" applyBorder="1" applyAlignment="1">
      <alignment vertical="center"/>
    </xf>
    <xf numFmtId="166" fontId="27" fillId="14" borderId="24" xfId="22" applyNumberFormat="1" applyFont="1" applyFill="1" applyBorder="1" applyAlignment="1">
      <alignment vertical="center"/>
    </xf>
    <xf numFmtId="166" fontId="27" fillId="2" borderId="12" xfId="36" applyNumberFormat="1" applyFont="1" applyFill="1" applyBorder="1" applyAlignment="1">
      <alignment vertical="center"/>
    </xf>
    <xf numFmtId="166" fontId="29" fillId="8" borderId="13" xfId="36" applyNumberFormat="1" applyFont="1" applyFill="1" applyBorder="1" applyAlignment="1">
      <alignment vertical="center"/>
    </xf>
    <xf numFmtId="166" fontId="29" fillId="2" borderId="13" xfId="36" applyNumberFormat="1" applyFont="1" applyFill="1" applyBorder="1" applyAlignment="1">
      <alignment vertical="center"/>
    </xf>
    <xf numFmtId="166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164" fontId="16" fillId="2" borderId="30" xfId="36" applyNumberFormat="1" applyFont="1" applyFill="1" applyBorder="1" applyAlignment="1">
      <alignment vertical="center"/>
    </xf>
    <xf numFmtId="164" fontId="29" fillId="15" borderId="5" xfId="36" applyNumberFormat="1" applyFont="1" applyFill="1" applyBorder="1" applyAlignment="1">
      <alignment vertical="center"/>
    </xf>
    <xf numFmtId="0" fontId="27" fillId="2" borderId="0" xfId="22" applyFont="1" applyFill="1" applyAlignment="1">
      <alignment horizontal="right"/>
    </xf>
    <xf numFmtId="164" fontId="27" fillId="2" borderId="11" xfId="36" applyNumberFormat="1" applyFont="1" applyFill="1" applyBorder="1" applyAlignment="1">
      <alignment vertical="center"/>
    </xf>
    <xf numFmtId="49" fontId="27" fillId="2" borderId="0" xfId="22" applyNumberFormat="1" applyFont="1" applyFill="1" applyAlignment="1">
      <alignment horizontal="center" wrapText="1"/>
    </xf>
    <xf numFmtId="49" fontId="43" fillId="2" borderId="0" xfId="22" applyNumberFormat="1" applyFont="1" applyFill="1" applyAlignment="1">
      <alignment wrapText="1"/>
    </xf>
    <xf numFmtId="166" fontId="16" fillId="14" borderId="12" xfId="22" applyNumberFormat="1" applyFont="1" applyFill="1" applyBorder="1" applyAlignment="1">
      <alignment vertical="center"/>
    </xf>
    <xf numFmtId="164" fontId="16" fillId="14" borderId="30" xfId="22" applyNumberFormat="1" applyFont="1" applyFill="1" applyBorder="1" applyAlignment="1">
      <alignment vertical="center"/>
    </xf>
    <xf numFmtId="44" fontId="27" fillId="2" borderId="0" xfId="40" applyFont="1" applyFill="1" applyBorder="1" applyAlignment="1">
      <alignment wrapText="1"/>
    </xf>
    <xf numFmtId="2" fontId="27" fillId="2" borderId="0" xfId="22" applyNumberFormat="1" applyFont="1" applyFill="1" applyBorder="1"/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5" fontId="27" fillId="5" borderId="6" xfId="0" applyNumberFormat="1" applyFont="1" applyFill="1" applyBorder="1" applyAlignment="1" applyProtection="1">
      <alignment horizontal="center" vertical="center"/>
      <protection hidden="1"/>
    </xf>
    <xf numFmtId="165" fontId="27" fillId="5" borderId="23" xfId="0" applyNumberFormat="1" applyFont="1" applyFill="1" applyBorder="1" applyAlignment="1" applyProtection="1">
      <alignment horizontal="center" vertical="center"/>
      <protection hidden="1"/>
    </xf>
    <xf numFmtId="165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5" fontId="27" fillId="0" borderId="16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8" fillId="2" borderId="22" xfId="36" applyFont="1" applyFill="1" applyBorder="1" applyAlignment="1">
      <alignment horizontal="center" wrapText="1"/>
    </xf>
    <xf numFmtId="164" fontId="38" fillId="2" borderId="22" xfId="36" applyNumberFormat="1" applyFont="1" applyFill="1" applyBorder="1" applyAlignment="1">
      <alignment horizontal="center" wrapText="1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5" fontId="27" fillId="0" borderId="16" xfId="0" applyNumberFormat="1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>
      <alignment horizontal="center" vertical="center"/>
    </xf>
    <xf numFmtId="165" fontId="27" fillId="8" borderId="6" xfId="0" applyNumberFormat="1" applyFont="1" applyFill="1" applyBorder="1" applyAlignment="1">
      <alignment horizontal="center" vertical="center"/>
    </xf>
    <xf numFmtId="165" fontId="27" fillId="8" borderId="24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Border="1" applyAlignment="1">
      <alignment horizontal="center" vertical="center"/>
    </xf>
    <xf numFmtId="165" fontId="27" fillId="8" borderId="6" xfId="0" applyNumberFormat="1" applyFont="1" applyFill="1" applyBorder="1" applyAlignment="1" applyProtection="1">
      <alignment horizontal="center" vertical="center"/>
      <protection hidden="1"/>
    </xf>
    <xf numFmtId="165" fontId="27" fillId="8" borderId="23" xfId="0" applyNumberFormat="1" applyFont="1" applyFill="1" applyBorder="1" applyAlignment="1" applyProtection="1">
      <alignment horizontal="center" vertical="center"/>
      <protection hidden="1"/>
    </xf>
    <xf numFmtId="165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center"/>
    </xf>
    <xf numFmtId="0" fontId="36" fillId="12" borderId="54" xfId="22" applyFont="1" applyFill="1" applyBorder="1" applyAlignment="1">
      <alignment horizontal="center" vertical="center"/>
    </xf>
    <xf numFmtId="0" fontId="36" fillId="12" borderId="17" xfId="22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>
      <alignment horizontal="center" vertical="center"/>
    </xf>
    <xf numFmtId="165" fontId="27" fillId="6" borderId="24" xfId="0" applyNumberFormat="1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 applyProtection="1">
      <alignment horizontal="center" vertical="center"/>
      <protection hidden="1"/>
    </xf>
    <xf numFmtId="165" fontId="27" fillId="6" borderId="23" xfId="0" applyNumberFormat="1" applyFont="1" applyFill="1" applyBorder="1" applyAlignment="1" applyProtection="1">
      <alignment horizontal="center" vertical="center"/>
      <protection hidden="1"/>
    </xf>
    <xf numFmtId="165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</cellXfs>
  <cellStyles count="41">
    <cellStyle name="1 indent" xfId="1"/>
    <cellStyle name="2 indents" xfId="2"/>
    <cellStyle name="3 indents" xfId="3"/>
    <cellStyle name="4 indents" xfId="4"/>
    <cellStyle name="Currency" xfId="40" builtin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14-4F9C-9597-60FBFB44821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14-4F9C-9597-60FBFB448219}"/>
              </c:ext>
            </c:extLst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14-4F9C-9597-60FBFB448219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214-4F9C-9597-60FBFB448219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214-4F9C-9597-60FBFB44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496"/>
        <c:axId val="1413488"/>
      </c:lineChart>
      <c:catAx>
        <c:axId val="213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1413488"/>
        <c:crosses val="autoZero"/>
        <c:auto val="1"/>
        <c:lblAlgn val="ctr"/>
        <c:lblOffset val="100"/>
        <c:noMultiLvlLbl val="0"/>
      </c:catAx>
      <c:valAx>
        <c:axId val="1413488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213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E7-408C-A49B-85C2A6E6B2DC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E7-408C-A49B-85C2A6E6B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8064"/>
        <c:axId val="6407520"/>
      </c:lineChart>
      <c:catAx>
        <c:axId val="640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6407520"/>
        <c:crosses val="autoZero"/>
        <c:auto val="1"/>
        <c:lblAlgn val="ctr"/>
        <c:lblOffset val="100"/>
        <c:noMultiLvlLbl val="0"/>
      </c:catAx>
      <c:valAx>
        <c:axId val="6407520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sr-Latn-RS"/>
          </a:p>
        </c:txPr>
        <c:crossAx val="640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R78"/>
  <sheetViews>
    <sheetView tabSelected="1" zoomScaleNormal="100" workbookViewId="0">
      <selection activeCell="S28" sqref="S28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13" width="7.7109375" style="80" customWidth="1"/>
    <col min="14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109"/>
      <c r="E8" s="109"/>
      <c r="F8" s="109"/>
      <c r="G8" s="125">
        <f>+J16/F16*100-100</f>
        <v>-7.2650100916205957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78" t="str">
        <f>IF(MasterSheet!$A$1=1,MasterSheet!B67,MasterSheet!B66)</f>
        <v>BDP (u mil. €)</v>
      </c>
      <c r="D11" s="310">
        <v>3957200000</v>
      </c>
      <c r="E11" s="311"/>
      <c r="F11" s="311"/>
      <c r="G11" s="312"/>
      <c r="H11" s="315"/>
      <c r="I11" s="320"/>
      <c r="J11" s="317">
        <v>3773000000</v>
      </c>
      <c r="K11" s="317">
        <v>0</v>
      </c>
      <c r="L11" s="315"/>
      <c r="M11" s="316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customHeight="1" thickTop="1">
      <c r="C12" s="81"/>
      <c r="D12" s="236"/>
      <c r="E12" s="236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Bot="1">
      <c r="B13" s="85"/>
      <c r="C13" s="86"/>
      <c r="D13" s="322"/>
      <c r="E13" s="322"/>
      <c r="F13" s="235"/>
      <c r="G13" s="235"/>
      <c r="H13" s="235"/>
      <c r="I13" s="235"/>
      <c r="J13" s="321"/>
      <c r="K13" s="321"/>
      <c r="L13" s="162"/>
      <c r="M13" s="162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313" t="str">
        <f>IF(MasterSheet!$A$1=1,MasterSheet!B71,MasterSheet!B70)</f>
        <v>Budžet Crne Gore</v>
      </c>
      <c r="D14" s="308" t="s">
        <v>468</v>
      </c>
      <c r="E14" s="309"/>
      <c r="F14" s="308" t="s">
        <v>469</v>
      </c>
      <c r="G14" s="309"/>
      <c r="H14" s="308" t="s">
        <v>447</v>
      </c>
      <c r="I14" s="309"/>
      <c r="J14" s="308" t="s">
        <v>464</v>
      </c>
      <c r="K14" s="309"/>
      <c r="L14" s="318" t="str">
        <f>+H14</f>
        <v>Odstupanje</v>
      </c>
      <c r="M14" s="319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314" t="str">
        <f>IF(MasterSheet!$A$1=1,MasterSheet!B71,MasterSheet!B70)</f>
        <v>Budžet Crne Gore</v>
      </c>
      <c r="D15" s="88" t="str">
        <f>+F15</f>
        <v>mil. €</v>
      </c>
      <c r="E15" s="200" t="str">
        <f>+G15</f>
        <v>% BDP</v>
      </c>
      <c r="F15" s="88" t="s">
        <v>262</v>
      </c>
      <c r="G15" s="89" t="s">
        <v>149</v>
      </c>
      <c r="H15" s="199" t="s">
        <v>262</v>
      </c>
      <c r="I15" s="199" t="s">
        <v>441</v>
      </c>
      <c r="J15" s="88" t="s">
        <v>262</v>
      </c>
      <c r="K15" s="89" t="s">
        <v>149</v>
      </c>
      <c r="L15" s="201" t="s">
        <v>262</v>
      </c>
      <c r="M15" s="129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163">
        <f>+D17+D25+SUM(D30:D34)</f>
        <v>681957821.12999988</v>
      </c>
      <c r="E16" s="242">
        <f>+D16/$D$11*100</f>
        <v>17.23334229076114</v>
      </c>
      <c r="F16" s="163">
        <f>+F17+F25+SUM(F30:F34)</f>
        <v>682805315.78812957</v>
      </c>
      <c r="G16" s="242">
        <f>+F16/$D$11*100</f>
        <v>17.254758814013179</v>
      </c>
      <c r="H16" s="163">
        <f>+D16-F16</f>
        <v>-847494.65812969208</v>
      </c>
      <c r="I16" s="245">
        <f>+IF(ISNUMBER(D16/F16*100-100),D16/F16*100-100,"...")</f>
        <v>-0.12411951672513055</v>
      </c>
      <c r="J16" s="163">
        <f>+J17+J25+SUM(J30:J34)</f>
        <v>633199440.69000006</v>
      </c>
      <c r="K16" s="242">
        <f>+J16/$J$11*100</f>
        <v>16.782386448184468</v>
      </c>
      <c r="L16" s="163">
        <f>+D16-J16</f>
        <v>48758380.439999819</v>
      </c>
      <c r="M16" s="242">
        <f t="shared" ref="M16:M59" si="0">+IF(ISNUMBER(D16/J16*100-100),D16/J16*100-100,"...")</f>
        <v>7.7003195686445451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52">
        <f>+SUM(D18:D24)</f>
        <v>439412306.61999989</v>
      </c>
      <c r="E17" s="243">
        <f t="shared" ref="E17:E74" si="1">+D17/$D$11*100</f>
        <v>11.104121768422113</v>
      </c>
      <c r="F17" s="152">
        <f>+SUM(F18:F24)</f>
        <v>423853972.15688229</v>
      </c>
      <c r="G17" s="243">
        <f t="shared" ref="G17:G74" si="2">+F17/$D$11*100</f>
        <v>10.710956538888162</v>
      </c>
      <c r="H17" s="205">
        <f t="shared" ref="H17:H68" si="3">+D17-F17</f>
        <v>15558334.463117599</v>
      </c>
      <c r="I17" s="256">
        <f t="shared" ref="I17:I68" si="4">+IF(ISNUMBER(D17/F17*100-100),D17/F17*100-100,"...")</f>
        <v>3.6706827079961784</v>
      </c>
      <c r="J17" s="152">
        <f>+SUM(J18:J24)</f>
        <v>398258995.78999996</v>
      </c>
      <c r="K17" s="243">
        <f t="shared" ref="K17:K68" si="5">+J17/$J$11*100</f>
        <v>10.555499490856082</v>
      </c>
      <c r="L17" s="205">
        <f t="shared" ref="L17:L35" si="6">+D17-J17</f>
        <v>41153310.829999924</v>
      </c>
      <c r="M17" s="256">
        <f t="shared" si="0"/>
        <v>10.333303519828064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153">
        <v>48974821.780000001</v>
      </c>
      <c r="E18" s="244">
        <f t="shared" si="1"/>
        <v>1.2376130036389366</v>
      </c>
      <c r="F18" s="153">
        <v>49944952.852345943</v>
      </c>
      <c r="G18" s="244">
        <f t="shared" si="2"/>
        <v>1.262128597299756</v>
      </c>
      <c r="H18" s="206">
        <f t="shared" si="3"/>
        <v>-970131.07234594226</v>
      </c>
      <c r="I18" s="257">
        <f t="shared" si="4"/>
        <v>-1.942400616963198</v>
      </c>
      <c r="J18" s="154">
        <v>48969867.789999999</v>
      </c>
      <c r="K18" s="244">
        <f t="shared" si="5"/>
        <v>1.2979026713490591</v>
      </c>
      <c r="L18" s="206">
        <f t="shared" si="6"/>
        <v>4953.9900000020862</v>
      </c>
      <c r="M18" s="257">
        <f t="shared" si="0"/>
        <v>1.0116404686328906E-2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54">
        <v>39170376.32</v>
      </c>
      <c r="E19" s="244">
        <f t="shared" si="1"/>
        <v>0.98985081168502986</v>
      </c>
      <c r="F19" s="154">
        <v>36393127.294076264</v>
      </c>
      <c r="G19" s="244">
        <f t="shared" si="2"/>
        <v>0.9196686367652952</v>
      </c>
      <c r="H19" s="206">
        <f t="shared" si="3"/>
        <v>2777249.0259237364</v>
      </c>
      <c r="I19" s="257">
        <f t="shared" si="4"/>
        <v>7.6312458764042219</v>
      </c>
      <c r="J19" s="154">
        <v>35099354.359999992</v>
      </c>
      <c r="K19" s="244">
        <f t="shared" si="5"/>
        <v>0.93027708348794036</v>
      </c>
      <c r="L19" s="206">
        <f t="shared" si="6"/>
        <v>4071021.9600000083</v>
      </c>
      <c r="M19" s="257">
        <f t="shared" si="0"/>
        <v>11.598566509928276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54">
        <v>624080.07000000007</v>
      </c>
      <c r="E20" s="244">
        <f t="shared" si="1"/>
        <v>1.5770748761750733E-2</v>
      </c>
      <c r="F20" s="154">
        <v>1122021.1841374924</v>
      </c>
      <c r="G20" s="244">
        <f t="shared" si="2"/>
        <v>2.8353916510095334E-2</v>
      </c>
      <c r="H20" s="206">
        <f t="shared" si="3"/>
        <v>-497941.11413749238</v>
      </c>
      <c r="I20" s="257">
        <f t="shared" si="4"/>
        <v>-44.378940538476918</v>
      </c>
      <c r="J20" s="154">
        <v>606793.39</v>
      </c>
      <c r="K20" s="244">
        <f t="shared" si="5"/>
        <v>1.6082517625231909E-2</v>
      </c>
      <c r="L20" s="206">
        <f t="shared" si="6"/>
        <v>17286.680000000051</v>
      </c>
      <c r="M20" s="257">
        <f t="shared" si="0"/>
        <v>2.8488576647151689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153">
        <v>241435618.02999997</v>
      </c>
      <c r="E21" s="244">
        <f t="shared" si="1"/>
        <v>6.1011730018700083</v>
      </c>
      <c r="F21" s="153">
        <v>232447110.19921017</v>
      </c>
      <c r="G21" s="244">
        <f t="shared" si="2"/>
        <v>5.8740298746388904</v>
      </c>
      <c r="H21" s="206">
        <f t="shared" si="3"/>
        <v>8988507.8307898045</v>
      </c>
      <c r="I21" s="257">
        <f t="shared" si="4"/>
        <v>3.8669045285555654</v>
      </c>
      <c r="J21" s="154">
        <v>221599231.25999999</v>
      </c>
      <c r="K21" s="244">
        <f t="shared" si="5"/>
        <v>5.8732899883381924</v>
      </c>
      <c r="L21" s="206">
        <f t="shared" si="6"/>
        <v>19836386.769999981</v>
      </c>
      <c r="M21" s="257">
        <f t="shared" si="0"/>
        <v>8.9514691261388606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54">
        <v>93215029.079999998</v>
      </c>
      <c r="E22" s="244">
        <f t="shared" si="1"/>
        <v>2.3555804376832103</v>
      </c>
      <c r="F22" s="154">
        <v>88403118.616859525</v>
      </c>
      <c r="G22" s="244">
        <f t="shared" si="2"/>
        <v>2.2339815682012416</v>
      </c>
      <c r="H22" s="206">
        <f t="shared" si="3"/>
        <v>4811910.4631404728</v>
      </c>
      <c r="I22" s="257">
        <f t="shared" si="4"/>
        <v>5.443145602131267</v>
      </c>
      <c r="J22" s="154">
        <v>76722632.709999979</v>
      </c>
      <c r="K22" s="244">
        <f t="shared" si="5"/>
        <v>2.0334649538828513</v>
      </c>
      <c r="L22" s="206">
        <f t="shared" si="6"/>
        <v>16492396.37000002</v>
      </c>
      <c r="M22" s="257">
        <f t="shared" si="0"/>
        <v>21.496129352519475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v>11547175.710000001</v>
      </c>
      <c r="E23" s="244">
        <f t="shared" si="1"/>
        <v>0.29180167062569495</v>
      </c>
      <c r="F23" s="154">
        <v>10940099.386986859</v>
      </c>
      <c r="G23" s="244">
        <f t="shared" si="2"/>
        <v>0.27646061323629989</v>
      </c>
      <c r="H23" s="206">
        <f t="shared" si="3"/>
        <v>607076.32301314175</v>
      </c>
      <c r="I23" s="257">
        <f t="shared" si="4"/>
        <v>5.5490933083775644</v>
      </c>
      <c r="J23" s="154">
        <v>10876008.280000003</v>
      </c>
      <c r="K23" s="244">
        <f t="shared" si="5"/>
        <v>0.28825889954943024</v>
      </c>
      <c r="L23" s="206">
        <f t="shared" si="6"/>
        <v>671167.42999999784</v>
      </c>
      <c r="M23" s="257">
        <f t="shared" si="0"/>
        <v>6.1710823743506467</v>
      </c>
      <c r="BM23" s="138"/>
      <c r="BN23" s="138"/>
      <c r="BO23" s="81"/>
    </row>
    <row r="24" spans="2:69" ht="15" customHeight="1">
      <c r="B24" s="80">
        <v>7118</v>
      </c>
      <c r="C24" s="97" t="s">
        <v>461</v>
      </c>
      <c r="D24" s="154">
        <v>4445205.63</v>
      </c>
      <c r="E24" s="244">
        <f t="shared" si="1"/>
        <v>0.11233209415748507</v>
      </c>
      <c r="F24" s="154">
        <v>4603542.6232659761</v>
      </c>
      <c r="G24" s="244">
        <f t="shared" si="2"/>
        <v>0.11633333223658082</v>
      </c>
      <c r="H24" s="206">
        <f t="shared" si="3"/>
        <v>-158336.9932659762</v>
      </c>
      <c r="I24" s="257">
        <f t="shared" si="4"/>
        <v>-3.4394596992705573</v>
      </c>
      <c r="J24" s="154">
        <v>4385108</v>
      </c>
      <c r="K24" s="244">
        <f t="shared" si="5"/>
        <v>0.11622337662337663</v>
      </c>
      <c r="L24" s="206">
        <f t="shared" si="6"/>
        <v>60097.629999999888</v>
      </c>
      <c r="M24" s="257">
        <f t="shared" si="0"/>
        <v>1.3704937255821363</v>
      </c>
      <c r="BM24" s="138"/>
      <c r="BN24" s="138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52">
        <f>+SUM(D26:D29)</f>
        <v>202634938.36000001</v>
      </c>
      <c r="E25" s="243">
        <f t="shared" si="1"/>
        <v>5.1206645698979081</v>
      </c>
      <c r="F25" s="152">
        <f>+SUM(F26:F29)</f>
        <v>210620962.68199915</v>
      </c>
      <c r="G25" s="243">
        <f t="shared" si="2"/>
        <v>5.3224745446780339</v>
      </c>
      <c r="H25" s="205">
        <f t="shared" si="3"/>
        <v>-7986024.3219991326</v>
      </c>
      <c r="I25" s="256">
        <f t="shared" si="4"/>
        <v>-3.791656927357522</v>
      </c>
      <c r="J25" s="152">
        <f>+SUM(J26:J29)</f>
        <v>198350150.94999999</v>
      </c>
      <c r="K25" s="243">
        <f t="shared" si="5"/>
        <v>5.2570938497217066</v>
      </c>
      <c r="L25" s="205">
        <f t="shared" si="6"/>
        <v>4284787.4100000262</v>
      </c>
      <c r="M25" s="256">
        <f t="shared" si="0"/>
        <v>2.160213838748291</v>
      </c>
      <c r="BM25" s="138"/>
      <c r="BN25" s="138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4">
        <v>121869831.09</v>
      </c>
      <c r="E26" s="244">
        <f t="shared" si="1"/>
        <v>3.0796985517537654</v>
      </c>
      <c r="F26" s="154">
        <v>127815203.6445145</v>
      </c>
      <c r="G26" s="244">
        <f t="shared" si="2"/>
        <v>3.2299404539703453</v>
      </c>
      <c r="H26" s="206">
        <f t="shared" si="3"/>
        <v>-5945372.5545144975</v>
      </c>
      <c r="I26" s="257">
        <f t="shared" si="4"/>
        <v>-4.6515378335194271</v>
      </c>
      <c r="J26" s="154">
        <v>119082929.00999999</v>
      </c>
      <c r="K26" s="244">
        <f t="shared" si="5"/>
        <v>3.1561868277232965</v>
      </c>
      <c r="L26" s="206">
        <f t="shared" si="6"/>
        <v>2786902.0800000131</v>
      </c>
      <c r="M26" s="257">
        <f t="shared" si="0"/>
        <v>2.3403036045292396</v>
      </c>
      <c r="BM26" s="138"/>
      <c r="BN26" s="138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54">
        <v>70075748.219999999</v>
      </c>
      <c r="E27" s="244">
        <f t="shared" si="1"/>
        <v>1.7708417118164357</v>
      </c>
      <c r="F27" s="154">
        <v>71939567.55282855</v>
      </c>
      <c r="G27" s="244">
        <f t="shared" si="2"/>
        <v>1.8179411592244148</v>
      </c>
      <c r="H27" s="206">
        <f t="shared" si="3"/>
        <v>-1863819.3328285515</v>
      </c>
      <c r="I27" s="257">
        <f t="shared" si="4"/>
        <v>-2.5908125336726044</v>
      </c>
      <c r="J27" s="154">
        <v>68603465.63000001</v>
      </c>
      <c r="K27" s="244">
        <f t="shared" si="5"/>
        <v>1.8182736716141006</v>
      </c>
      <c r="L27" s="206">
        <f t="shared" si="6"/>
        <v>1472282.5899999887</v>
      </c>
      <c r="M27" s="257">
        <f t="shared" si="0"/>
        <v>2.1460761150762693</v>
      </c>
      <c r="BM27" s="138"/>
      <c r="BN27" s="138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54">
        <v>5580341.0800000001</v>
      </c>
      <c r="E28" s="244">
        <f t="shared" si="1"/>
        <v>0.1410174133225513</v>
      </c>
      <c r="F28" s="154">
        <v>5605421.8297720626</v>
      </c>
      <c r="G28" s="244">
        <f t="shared" si="2"/>
        <v>0.14165121373122569</v>
      </c>
      <c r="H28" s="206">
        <f t="shared" si="3"/>
        <v>-25080.749772062525</v>
      </c>
      <c r="I28" s="257">
        <f t="shared" si="4"/>
        <v>-0.44743733003021191</v>
      </c>
      <c r="J28" s="154">
        <v>5536098.1999999993</v>
      </c>
      <c r="K28" s="244">
        <f t="shared" si="5"/>
        <v>0.14672934534852899</v>
      </c>
      <c r="L28" s="206">
        <f t="shared" si="6"/>
        <v>44242.88000000082</v>
      </c>
      <c r="M28" s="257">
        <f t="shared" si="0"/>
        <v>0.79917079505564459</v>
      </c>
      <c r="BM28" s="138"/>
      <c r="BN28" s="138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153">
        <v>5109017.97</v>
      </c>
      <c r="E29" s="244">
        <f t="shared" si="1"/>
        <v>0.12910689300515515</v>
      </c>
      <c r="F29" s="153">
        <v>5260769.6548840357</v>
      </c>
      <c r="G29" s="244">
        <f t="shared" si="2"/>
        <v>0.1329417177520478</v>
      </c>
      <c r="H29" s="206">
        <f t="shared" si="3"/>
        <v>-151751.68488403596</v>
      </c>
      <c r="I29" s="257">
        <f t="shared" si="4"/>
        <v>-2.8845909408550483</v>
      </c>
      <c r="J29" s="154">
        <v>5127658.1100000003</v>
      </c>
      <c r="K29" s="244">
        <f t="shared" si="5"/>
        <v>0.13590400503578057</v>
      </c>
      <c r="L29" s="206">
        <f t="shared" si="6"/>
        <v>-18640.140000000596</v>
      </c>
      <c r="M29" s="257">
        <f t="shared" si="0"/>
        <v>-0.36352150631198299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52">
        <v>5501555.8300000001</v>
      </c>
      <c r="E30" s="243">
        <f t="shared" si="1"/>
        <v>0.13902647907611443</v>
      </c>
      <c r="F30" s="152">
        <v>6216755.8586298078</v>
      </c>
      <c r="G30" s="243">
        <f t="shared" si="2"/>
        <v>0.15709986502147497</v>
      </c>
      <c r="H30" s="205">
        <f t="shared" si="3"/>
        <v>-715200.02862980776</v>
      </c>
      <c r="I30" s="256">
        <f t="shared" si="4"/>
        <v>-11.504393045079951</v>
      </c>
      <c r="J30" s="152">
        <v>5788264.1800000006</v>
      </c>
      <c r="K30" s="243">
        <f t="shared" si="5"/>
        <v>0.1534127797508614</v>
      </c>
      <c r="L30" s="205">
        <f t="shared" si="6"/>
        <v>-286708.35000000056</v>
      </c>
      <c r="M30" s="256">
        <f t="shared" si="0"/>
        <v>-4.9532699456022442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52">
        <v>8786566.8299999982</v>
      </c>
      <c r="E31" s="243">
        <f t="shared" si="1"/>
        <v>0.22203999873648028</v>
      </c>
      <c r="F31" s="152">
        <v>9426256.3059964757</v>
      </c>
      <c r="G31" s="243">
        <f t="shared" si="2"/>
        <v>0.23820520332549469</v>
      </c>
      <c r="H31" s="205">
        <f t="shared" si="3"/>
        <v>-639689.47599647753</v>
      </c>
      <c r="I31" s="256">
        <f t="shared" si="4"/>
        <v>-6.7862516701306106</v>
      </c>
      <c r="J31" s="152">
        <v>9330533.8900000006</v>
      </c>
      <c r="K31" s="243">
        <f t="shared" si="5"/>
        <v>0.24729747919427511</v>
      </c>
      <c r="L31" s="205">
        <f t="shared" si="6"/>
        <v>-543967.06000000238</v>
      </c>
      <c r="M31" s="256">
        <f t="shared" si="0"/>
        <v>-5.8299671424268524</v>
      </c>
      <c r="BM31" s="138"/>
      <c r="BN31" s="138"/>
      <c r="BO31" s="138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52">
        <v>15563764.720000001</v>
      </c>
      <c r="E32" s="243">
        <f t="shared" si="1"/>
        <v>0.3933024542605883</v>
      </c>
      <c r="F32" s="152">
        <v>18969843.957522213</v>
      </c>
      <c r="G32" s="243">
        <f t="shared" si="2"/>
        <v>0.47937541588805754</v>
      </c>
      <c r="H32" s="205">
        <f t="shared" si="3"/>
        <v>-3406079.2375222128</v>
      </c>
      <c r="I32" s="256">
        <f t="shared" si="4"/>
        <v>-17.955230655292681</v>
      </c>
      <c r="J32" s="152">
        <v>15789398.770000003</v>
      </c>
      <c r="K32" s="243">
        <f t="shared" si="5"/>
        <v>0.41848393241452436</v>
      </c>
      <c r="L32" s="205">
        <f t="shared" si="6"/>
        <v>-225634.05000000261</v>
      </c>
      <c r="M32" s="256">
        <f t="shared" si="0"/>
        <v>-1.4290224300922034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52">
        <v>2615772.2199999997</v>
      </c>
      <c r="E33" s="243">
        <f t="shared" si="1"/>
        <v>6.6101592540179915E-2</v>
      </c>
      <c r="F33" s="152">
        <v>2405937.4277384095</v>
      </c>
      <c r="G33" s="243">
        <f t="shared" si="2"/>
        <v>6.0798984831153577E-2</v>
      </c>
      <c r="H33" s="205">
        <f t="shared" si="3"/>
        <v>209834.79226159025</v>
      </c>
      <c r="I33" s="256">
        <f t="shared" si="4"/>
        <v>8.721539880562716</v>
      </c>
      <c r="J33" s="152">
        <v>1940370.8399999999</v>
      </c>
      <c r="K33" s="243">
        <f t="shared" si="5"/>
        <v>5.1427798568778153E-2</v>
      </c>
      <c r="L33" s="205">
        <f t="shared" si="6"/>
        <v>675401.37999999989</v>
      </c>
      <c r="M33" s="256">
        <f t="shared" si="0"/>
        <v>34.807850441619678</v>
      </c>
      <c r="BL33" s="100"/>
      <c r="BM33" s="100"/>
      <c r="BN33" s="99"/>
      <c r="BO33" s="143"/>
      <c r="BP33" s="143"/>
      <c r="BQ33" s="143"/>
      <c r="BR33" s="140"/>
    </row>
    <row r="34" spans="1:70" ht="13.5" customHeight="1" thickBot="1">
      <c r="B34" s="80">
        <v>74</v>
      </c>
      <c r="C34" s="93" t="s">
        <v>122</v>
      </c>
      <c r="D34" s="152">
        <v>7442916.5500000007</v>
      </c>
      <c r="E34" s="243">
        <f t="shared" si="1"/>
        <v>0.18808542782775703</v>
      </c>
      <c r="F34" s="152">
        <v>11311587.399361188</v>
      </c>
      <c r="G34" s="243">
        <f t="shared" si="2"/>
        <v>0.28584826138080427</v>
      </c>
      <c r="H34" s="205">
        <f t="shared" si="3"/>
        <v>-3868670.8493611868</v>
      </c>
      <c r="I34" s="256">
        <f t="shared" si="4"/>
        <v>-34.200954408747847</v>
      </c>
      <c r="J34" s="152">
        <v>3741726.2700000005</v>
      </c>
      <c r="K34" s="243">
        <f t="shared" si="5"/>
        <v>9.9171117678240134E-2</v>
      </c>
      <c r="L34" s="205">
        <f t="shared" si="6"/>
        <v>3701190.2800000003</v>
      </c>
      <c r="M34" s="256">
        <f t="shared" si="0"/>
        <v>98.916650041319031</v>
      </c>
      <c r="BM34" s="159"/>
      <c r="BN34" s="159"/>
      <c r="BO34" s="143"/>
      <c r="BP34" s="143"/>
      <c r="BQ34" s="143"/>
      <c r="BR34" s="140"/>
    </row>
    <row r="35" spans="1:70" ht="15" customHeight="1" thickTop="1" thickBot="1">
      <c r="B35" s="102"/>
      <c r="C35" s="90" t="s">
        <v>460</v>
      </c>
      <c r="D35" s="91">
        <f>+D37+D48+D54+SUM(D57:D62)</f>
        <v>787137302.59000015</v>
      </c>
      <c r="E35" s="245">
        <f t="shared" si="1"/>
        <v>19.891269144597192</v>
      </c>
      <c r="F35" s="91">
        <f>+F37+F48+F54+SUM(F57:F62)</f>
        <v>849267706.68499994</v>
      </c>
      <c r="G35" s="250">
        <f t="shared" si="2"/>
        <v>21.461328886207419</v>
      </c>
      <c r="H35" s="91">
        <f t="shared" si="3"/>
        <v>-62130404.09499979</v>
      </c>
      <c r="I35" s="245">
        <f t="shared" si="4"/>
        <v>-7.3157619918832495</v>
      </c>
      <c r="J35" s="91">
        <f>+J37+J48+J54+SUM(J57:J62)</f>
        <v>746585590.88</v>
      </c>
      <c r="K35" s="245">
        <f t="shared" si="5"/>
        <v>19.787585234031273</v>
      </c>
      <c r="L35" s="91">
        <f t="shared" si="6"/>
        <v>40551711.710000157</v>
      </c>
      <c r="M35" s="245">
        <f t="shared" si="0"/>
        <v>5.4316226036725084</v>
      </c>
      <c r="BM35" s="81"/>
      <c r="BN35" s="81"/>
      <c r="BO35" s="143"/>
      <c r="BP35" s="143"/>
      <c r="BQ35" s="143"/>
      <c r="BR35" s="140"/>
    </row>
    <row r="36" spans="1:70" ht="13.5" customHeight="1" thickTop="1" thickBot="1">
      <c r="C36" s="297" t="s">
        <v>448</v>
      </c>
      <c r="D36" s="91">
        <f>+D35-D57</f>
        <v>746059363.50000012</v>
      </c>
      <c r="E36" s="245">
        <f t="shared" si="1"/>
        <v>18.853213471646622</v>
      </c>
      <c r="F36" s="91">
        <f>+F35-F57</f>
        <v>764344126.68499994</v>
      </c>
      <c r="G36" s="250">
        <f t="shared" si="2"/>
        <v>19.315276627034265</v>
      </c>
      <c r="H36" s="91">
        <f t="shared" si="3"/>
        <v>-18284763.184999824</v>
      </c>
      <c r="I36" s="245">
        <f t="shared" si="4"/>
        <v>-2.3922160904541414</v>
      </c>
      <c r="J36" s="160">
        <f>+J35-J57</f>
        <v>733359243.17999995</v>
      </c>
      <c r="K36" s="245">
        <f t="shared" si="5"/>
        <v>19.437032684336071</v>
      </c>
      <c r="L36" s="91">
        <f t="shared" ref="L36:L74" si="7">+D36-J36</f>
        <v>12700120.320000172</v>
      </c>
      <c r="M36" s="245">
        <f t="shared" si="0"/>
        <v>1.7317734027500364</v>
      </c>
      <c r="N36" s="212"/>
      <c r="BM36" s="159"/>
      <c r="BN36" s="159"/>
      <c r="BO36" s="143"/>
      <c r="BP36" s="143"/>
      <c r="BQ36" s="143"/>
      <c r="BR36" s="140"/>
    </row>
    <row r="37" spans="1:70" ht="13.5" customHeight="1" thickTop="1">
      <c r="A37" s="80">
        <v>41</v>
      </c>
      <c r="B37" s="80">
        <v>41</v>
      </c>
      <c r="C37" s="93" t="s">
        <v>62</v>
      </c>
      <c r="D37" s="94">
        <f>+SUM(D38:D47)</f>
        <v>385847924.09000003</v>
      </c>
      <c r="E37" s="243">
        <f t="shared" si="1"/>
        <v>9.7505287599818065</v>
      </c>
      <c r="F37" s="94">
        <f>+SUM(F38:F47)</f>
        <v>388323237.245</v>
      </c>
      <c r="G37" s="251">
        <f t="shared" si="2"/>
        <v>9.813080896719903</v>
      </c>
      <c r="H37" s="203">
        <f t="shared" si="3"/>
        <v>-2475313.1549999714</v>
      </c>
      <c r="I37" s="256">
        <f t="shared" si="4"/>
        <v>-0.63743626896018668</v>
      </c>
      <c r="J37" s="94">
        <f>+SUM(J38:J47)</f>
        <v>357946703.51000005</v>
      </c>
      <c r="K37" s="243">
        <f t="shared" si="5"/>
        <v>9.4870581370262403</v>
      </c>
      <c r="L37" s="203">
        <f t="shared" si="7"/>
        <v>27901220.579999983</v>
      </c>
      <c r="M37" s="256">
        <f t="shared" si="0"/>
        <v>7.7947974674448943</v>
      </c>
      <c r="BM37" s="159"/>
      <c r="BN37" s="159"/>
      <c r="BO37" s="143"/>
      <c r="BP37" s="143"/>
      <c r="BQ37" s="143"/>
      <c r="BR37" s="140"/>
    </row>
    <row r="38" spans="1:70" ht="13.5" customHeight="1">
      <c r="B38" s="80">
        <v>411</v>
      </c>
      <c r="C38" s="93" t="s">
        <v>63</v>
      </c>
      <c r="D38" s="164">
        <v>220729541.03000003</v>
      </c>
      <c r="E38" s="243">
        <f t="shared" si="1"/>
        <v>5.5779222942990003</v>
      </c>
      <c r="F38" s="152">
        <v>219123119.98999998</v>
      </c>
      <c r="G38" s="251">
        <f t="shared" si="2"/>
        <v>5.5373274029616892</v>
      </c>
      <c r="H38" s="205">
        <f t="shared" si="3"/>
        <v>1606421.0400000513</v>
      </c>
      <c r="I38" s="256">
        <f t="shared" si="4"/>
        <v>0.73311343872492785</v>
      </c>
      <c r="J38" s="152">
        <v>202352129.90000001</v>
      </c>
      <c r="K38" s="243">
        <f t="shared" si="5"/>
        <v>5.3631627325735485</v>
      </c>
      <c r="L38" s="205">
        <f t="shared" si="7"/>
        <v>18377411.130000025</v>
      </c>
      <c r="M38" s="256">
        <f t="shared" si="0"/>
        <v>9.081896562730492</v>
      </c>
      <c r="BM38" s="159"/>
      <c r="BN38" s="159"/>
      <c r="BO38" s="143"/>
      <c r="BP38" s="143"/>
      <c r="BQ38" s="143"/>
      <c r="BR38" s="140"/>
    </row>
    <row r="39" spans="1:70" ht="13.5" customHeight="1">
      <c r="B39" s="80">
        <v>412</v>
      </c>
      <c r="C39" s="93" t="s">
        <v>74</v>
      </c>
      <c r="D39" s="152">
        <v>4265431.3699999992</v>
      </c>
      <c r="E39" s="243">
        <f t="shared" si="1"/>
        <v>0.1077891279187304</v>
      </c>
      <c r="F39" s="152">
        <v>5094073.4850000013</v>
      </c>
      <c r="G39" s="251">
        <f t="shared" si="2"/>
        <v>0.12872923999292432</v>
      </c>
      <c r="H39" s="205">
        <f t="shared" si="3"/>
        <v>-828642.11500000209</v>
      </c>
      <c r="I39" s="256">
        <f t="shared" si="4"/>
        <v>-16.26678761977071</v>
      </c>
      <c r="J39" s="152">
        <v>5396640.2399999993</v>
      </c>
      <c r="K39" s="243">
        <f t="shared" si="5"/>
        <v>0.1430331364961569</v>
      </c>
      <c r="L39" s="205">
        <f t="shared" si="7"/>
        <v>-1131208.8700000001</v>
      </c>
      <c r="M39" s="256">
        <f t="shared" si="0"/>
        <v>-20.961354096118143</v>
      </c>
      <c r="BM39" s="159"/>
      <c r="BN39" s="159"/>
      <c r="BO39" s="143"/>
      <c r="BP39" s="143"/>
      <c r="BQ39" s="143"/>
      <c r="BR39" s="140"/>
    </row>
    <row r="40" spans="1:70" ht="13.5" customHeight="1">
      <c r="B40" s="80">
        <v>413</v>
      </c>
      <c r="C40" s="93" t="s">
        <v>428</v>
      </c>
      <c r="D40" s="152">
        <v>11823988.34</v>
      </c>
      <c r="E40" s="243">
        <f t="shared" si="1"/>
        <v>0.29879683463054685</v>
      </c>
      <c r="F40" s="152">
        <v>11838845.16</v>
      </c>
      <c r="G40" s="251">
        <f t="shared" si="2"/>
        <v>0.2991722723137572</v>
      </c>
      <c r="H40" s="205">
        <f t="shared" si="3"/>
        <v>-14856.820000000298</v>
      </c>
      <c r="I40" s="256">
        <f t="shared" si="4"/>
        <v>-0.1254921387957495</v>
      </c>
      <c r="J40" s="152">
        <v>12194832.84</v>
      </c>
      <c r="K40" s="243">
        <f t="shared" si="5"/>
        <v>0.32321316830108665</v>
      </c>
      <c r="L40" s="205">
        <f t="shared" si="7"/>
        <v>-370844.5</v>
      </c>
      <c r="M40" s="256">
        <f t="shared" si="0"/>
        <v>-3.0409969932806433</v>
      </c>
      <c r="BM40" s="159"/>
      <c r="BN40" s="159"/>
      <c r="BO40" s="143"/>
      <c r="BP40" s="143"/>
      <c r="BQ40" s="143"/>
      <c r="BR40" s="140"/>
    </row>
    <row r="41" spans="1:70" ht="13.5" customHeight="1">
      <c r="B41" s="80">
        <v>414</v>
      </c>
      <c r="C41" s="93" t="s">
        <v>429</v>
      </c>
      <c r="D41" s="152">
        <v>25147496.919999998</v>
      </c>
      <c r="E41" s="243">
        <f t="shared" si="1"/>
        <v>0.63548713534822598</v>
      </c>
      <c r="F41" s="152">
        <v>21209900.399999999</v>
      </c>
      <c r="G41" s="251">
        <f t="shared" si="2"/>
        <v>0.53598252299605775</v>
      </c>
      <c r="H41" s="205">
        <f t="shared" si="3"/>
        <v>3937596.5199999996</v>
      </c>
      <c r="I41" s="256">
        <f t="shared" si="4"/>
        <v>18.564898682881136</v>
      </c>
      <c r="J41" s="152">
        <v>25730456.920000002</v>
      </c>
      <c r="K41" s="243">
        <f t="shared" si="5"/>
        <v>0.68196281261595548</v>
      </c>
      <c r="L41" s="205">
        <f t="shared" si="7"/>
        <v>-582960.00000000373</v>
      </c>
      <c r="M41" s="256">
        <f t="shared" si="0"/>
        <v>-2.2656418493170065</v>
      </c>
      <c r="BM41" s="159"/>
      <c r="BN41" s="159"/>
      <c r="BO41" s="143"/>
      <c r="BP41" s="143"/>
      <c r="BQ41" s="143"/>
      <c r="BR41" s="140"/>
    </row>
    <row r="42" spans="1:70" ht="13.5" customHeight="1">
      <c r="B42" s="80">
        <v>415</v>
      </c>
      <c r="C42" s="93" t="s">
        <v>430</v>
      </c>
      <c r="D42" s="152">
        <v>7195386.6299999999</v>
      </c>
      <c r="E42" s="243">
        <f t="shared" si="1"/>
        <v>0.18183024941878095</v>
      </c>
      <c r="F42" s="152">
        <v>8490787.8600000013</v>
      </c>
      <c r="G42" s="251">
        <f t="shared" si="2"/>
        <v>0.21456554786212476</v>
      </c>
      <c r="H42" s="205">
        <f t="shared" si="3"/>
        <v>-1295401.2300000014</v>
      </c>
      <c r="I42" s="256">
        <f t="shared" si="4"/>
        <v>-15.256549231463197</v>
      </c>
      <c r="J42" s="152">
        <v>6573771.2699999996</v>
      </c>
      <c r="K42" s="243">
        <f t="shared" si="5"/>
        <v>0.17423194460641397</v>
      </c>
      <c r="L42" s="205">
        <f t="shared" si="7"/>
        <v>621615.36000000034</v>
      </c>
      <c r="M42" s="256">
        <f t="shared" si="0"/>
        <v>9.4559931349725872</v>
      </c>
      <c r="BM42" s="159"/>
      <c r="BN42" s="159"/>
      <c r="BO42" s="143"/>
      <c r="BP42" s="143"/>
      <c r="BQ42" s="143"/>
      <c r="BR42" s="140"/>
    </row>
    <row r="43" spans="1:70" ht="13.5" customHeight="1">
      <c r="B43" s="80">
        <v>416</v>
      </c>
      <c r="C43" s="93" t="s">
        <v>79</v>
      </c>
      <c r="D43" s="152">
        <v>80843016.75</v>
      </c>
      <c r="E43" s="243">
        <f t="shared" si="1"/>
        <v>2.0429348213383198</v>
      </c>
      <c r="F43" s="152">
        <v>80309152.25</v>
      </c>
      <c r="G43" s="251">
        <f t="shared" si="2"/>
        <v>2.0294438555038914</v>
      </c>
      <c r="H43" s="205">
        <f t="shared" si="3"/>
        <v>533864.5</v>
      </c>
      <c r="I43" s="256">
        <f t="shared" si="4"/>
        <v>0.66476171774058912</v>
      </c>
      <c r="J43" s="152">
        <v>67263210.609999999</v>
      </c>
      <c r="K43" s="243">
        <f t="shared" si="5"/>
        <v>1.7827514076331832</v>
      </c>
      <c r="L43" s="205">
        <f t="shared" si="7"/>
        <v>13579806.140000001</v>
      </c>
      <c r="M43" s="256">
        <f t="shared" si="0"/>
        <v>20.189054338689402</v>
      </c>
      <c r="BM43" s="159"/>
      <c r="BN43" s="159"/>
      <c r="BO43" s="143"/>
      <c r="BP43" s="143"/>
      <c r="BQ43" s="143"/>
      <c r="BR43" s="140"/>
    </row>
    <row r="44" spans="1:70" ht="13.5" customHeight="1">
      <c r="B44" s="80">
        <v>417</v>
      </c>
      <c r="C44" s="93" t="s">
        <v>81</v>
      </c>
      <c r="D44" s="152">
        <v>3944289.04</v>
      </c>
      <c r="E44" s="243">
        <f t="shared" si="1"/>
        <v>9.9673734964116037E-2</v>
      </c>
      <c r="F44" s="152">
        <v>4661889.76</v>
      </c>
      <c r="G44" s="251">
        <f t="shared" si="2"/>
        <v>0.11780778732437076</v>
      </c>
      <c r="H44" s="205">
        <f t="shared" si="3"/>
        <v>-717600.71999999974</v>
      </c>
      <c r="I44" s="256">
        <f t="shared" si="4"/>
        <v>-15.392914825167381</v>
      </c>
      <c r="J44" s="152">
        <v>4331458.17</v>
      </c>
      <c r="K44" s="243">
        <f t="shared" si="5"/>
        <v>0.11480143572753776</v>
      </c>
      <c r="L44" s="205">
        <f t="shared" si="7"/>
        <v>-387169.12999999989</v>
      </c>
      <c r="M44" s="256">
        <f t="shared" si="0"/>
        <v>-8.9385402052722611</v>
      </c>
      <c r="BM44" s="159"/>
      <c r="BN44" s="159"/>
      <c r="BO44" s="143"/>
      <c r="BP44" s="143"/>
      <c r="BQ44" s="143"/>
      <c r="BR44" s="140"/>
    </row>
    <row r="45" spans="1:70" ht="13.5" customHeight="1">
      <c r="B45" s="80">
        <v>418</v>
      </c>
      <c r="C45" s="93" t="s">
        <v>83</v>
      </c>
      <c r="D45" s="152">
        <v>5894573.0500000007</v>
      </c>
      <c r="E45" s="243">
        <f t="shared" si="1"/>
        <v>0.14895817876276157</v>
      </c>
      <c r="F45" s="152">
        <v>9968719.9800000004</v>
      </c>
      <c r="G45" s="251">
        <f t="shared" si="2"/>
        <v>0.25191347366825029</v>
      </c>
      <c r="H45" s="205">
        <f t="shared" si="3"/>
        <v>-4074146.9299999997</v>
      </c>
      <c r="I45" s="256">
        <f t="shared" si="4"/>
        <v>-40.869308578973637</v>
      </c>
      <c r="J45" s="152">
        <v>6814933.9400000013</v>
      </c>
      <c r="K45" s="243">
        <f t="shared" si="5"/>
        <v>0.18062374609064408</v>
      </c>
      <c r="L45" s="205">
        <f t="shared" si="7"/>
        <v>-920360.8900000006</v>
      </c>
      <c r="M45" s="256">
        <f t="shared" si="0"/>
        <v>-13.505059595632702</v>
      </c>
      <c r="BM45" s="159"/>
      <c r="BN45" s="159"/>
      <c r="BO45" s="143"/>
      <c r="BP45" s="143"/>
      <c r="BQ45" s="143"/>
      <c r="BR45" s="140"/>
    </row>
    <row r="46" spans="1:70" ht="13.5" customHeight="1">
      <c r="B46" s="80">
        <v>419</v>
      </c>
      <c r="C46" s="93" t="s">
        <v>85</v>
      </c>
      <c r="D46" s="152">
        <v>14126128.439999999</v>
      </c>
      <c r="E46" s="243">
        <f t="shared" si="1"/>
        <v>0.35697282017588194</v>
      </c>
      <c r="F46" s="152">
        <v>13183979.039999999</v>
      </c>
      <c r="G46" s="251">
        <f t="shared" si="2"/>
        <v>0.33316433437784287</v>
      </c>
      <c r="H46" s="205">
        <f t="shared" si="3"/>
        <v>942149.40000000037</v>
      </c>
      <c r="I46" s="256">
        <f t="shared" si="4"/>
        <v>7.1461688246130564</v>
      </c>
      <c r="J46" s="152">
        <v>15152131.880000001</v>
      </c>
      <c r="K46" s="243">
        <f>+J45/$J$11*100</f>
        <v>0.18062374609064408</v>
      </c>
      <c r="L46" s="205">
        <f t="shared" si="7"/>
        <v>-1026003.4400000013</v>
      </c>
      <c r="M46" s="256">
        <f t="shared" si="0"/>
        <v>-6.7713470825466544</v>
      </c>
      <c r="BM46" s="159"/>
      <c r="BN46" s="159"/>
      <c r="BO46" s="143"/>
      <c r="BP46" s="143"/>
      <c r="BQ46" s="143"/>
      <c r="BR46" s="140"/>
    </row>
    <row r="47" spans="1:70" ht="13.5" customHeight="1">
      <c r="B47" s="80">
        <v>441</v>
      </c>
      <c r="C47" s="93" t="s">
        <v>129</v>
      </c>
      <c r="D47" s="164">
        <v>11878072.52</v>
      </c>
      <c r="E47" s="246">
        <f t="shared" si="1"/>
        <v>0.30016356312544223</v>
      </c>
      <c r="F47" s="152">
        <v>14442769.320000002</v>
      </c>
      <c r="G47" s="251">
        <f t="shared" si="2"/>
        <v>0.36497445971899328</v>
      </c>
      <c r="H47" s="205">
        <f t="shared" si="3"/>
        <v>-2564696.8000000026</v>
      </c>
      <c r="I47" s="258">
        <f t="shared" si="4"/>
        <v>-17.757652588471871</v>
      </c>
      <c r="J47" s="152">
        <v>12137137.739999998</v>
      </c>
      <c r="K47" s="246">
        <f>+J46/$J$11*100</f>
        <v>0.40159374184998675</v>
      </c>
      <c r="L47" s="205">
        <f t="shared" si="7"/>
        <v>-259065.21999999881</v>
      </c>
      <c r="M47" s="258">
        <f t="shared" si="0"/>
        <v>-2.1344836447410955</v>
      </c>
      <c r="BM47" s="159"/>
      <c r="BN47" s="159"/>
      <c r="BO47" s="143"/>
      <c r="BP47" s="143"/>
      <c r="BQ47" s="143"/>
      <c r="BR47" s="140"/>
    </row>
    <row r="48" spans="1:70" ht="13.5" customHeight="1">
      <c r="A48" s="80">
        <v>42</v>
      </c>
      <c r="B48" s="80">
        <v>42</v>
      </c>
      <c r="C48" s="93" t="s">
        <v>86</v>
      </c>
      <c r="D48" s="152">
        <f>+SUM(D49:D53)</f>
        <v>272935853.21000004</v>
      </c>
      <c r="E48" s="243">
        <f t="shared" si="1"/>
        <v>6.897196330991612</v>
      </c>
      <c r="F48" s="152">
        <f>+SUM(F49:F53)</f>
        <v>285459052.5</v>
      </c>
      <c r="G48" s="251">
        <f t="shared" si="2"/>
        <v>7.2136625012635198</v>
      </c>
      <c r="H48" s="203">
        <f t="shared" si="3"/>
        <v>-12523199.289999962</v>
      </c>
      <c r="I48" s="256">
        <f t="shared" si="4"/>
        <v>-4.3870387645177118</v>
      </c>
      <c r="J48" s="152">
        <f>+SUM(J49:J53)</f>
        <v>266302220.22</v>
      </c>
      <c r="K48" s="243">
        <f t="shared" si="5"/>
        <v>7.0581028417704754</v>
      </c>
      <c r="L48" s="203">
        <f t="shared" si="7"/>
        <v>6633632.9900000393</v>
      </c>
      <c r="M48" s="256">
        <f t="shared" si="0"/>
        <v>2.4910167795521261</v>
      </c>
      <c r="BM48" s="159"/>
      <c r="BN48" s="159"/>
      <c r="BO48" s="143"/>
      <c r="BP48" s="143"/>
      <c r="BQ48" s="143"/>
      <c r="BR48" s="140"/>
    </row>
    <row r="49" spans="1:70" ht="13.5" customHeight="1">
      <c r="B49" s="80">
        <v>421</v>
      </c>
      <c r="C49" s="97" t="s">
        <v>88</v>
      </c>
      <c r="D49" s="154">
        <v>57437898.479999997</v>
      </c>
      <c r="E49" s="244">
        <f t="shared" si="1"/>
        <v>1.4514782795916303</v>
      </c>
      <c r="F49" s="154">
        <v>57357812.499999993</v>
      </c>
      <c r="G49" s="252">
        <f t="shared" si="2"/>
        <v>1.4494544753866367</v>
      </c>
      <c r="H49" s="206">
        <f t="shared" si="3"/>
        <v>80085.980000004172</v>
      </c>
      <c r="I49" s="257">
        <f t="shared" si="4"/>
        <v>0.13962523413877648</v>
      </c>
      <c r="J49" s="154">
        <v>52354512.149999991</v>
      </c>
      <c r="K49" s="244">
        <f t="shared" si="5"/>
        <v>1.3876096514709777</v>
      </c>
      <c r="L49" s="206">
        <f t="shared" si="7"/>
        <v>5083386.3300000057</v>
      </c>
      <c r="M49" s="257">
        <f t="shared" si="0"/>
        <v>9.7095476994145002</v>
      </c>
      <c r="BM49" s="159"/>
      <c r="BN49" s="159"/>
      <c r="BO49" s="143"/>
      <c r="BP49" s="143"/>
      <c r="BQ49" s="143"/>
      <c r="BR49" s="140"/>
    </row>
    <row r="50" spans="1:70" ht="13.5" customHeight="1">
      <c r="B50" s="80">
        <v>422</v>
      </c>
      <c r="C50" s="97" t="s">
        <v>90</v>
      </c>
      <c r="D50" s="154">
        <v>5536005.5500000007</v>
      </c>
      <c r="E50" s="244">
        <f t="shared" si="1"/>
        <v>0.13989703704639647</v>
      </c>
      <c r="F50" s="154">
        <v>10298240</v>
      </c>
      <c r="G50" s="252">
        <f t="shared" si="2"/>
        <v>0.26024057414333363</v>
      </c>
      <c r="H50" s="206">
        <f t="shared" si="3"/>
        <v>-4762234.4499999993</v>
      </c>
      <c r="I50" s="257">
        <f t="shared" si="4"/>
        <v>-46.243187670902984</v>
      </c>
      <c r="J50" s="154">
        <v>8865716.4499999993</v>
      </c>
      <c r="K50" s="244">
        <f t="shared" si="5"/>
        <v>0.23497790750066255</v>
      </c>
      <c r="L50" s="206">
        <f t="shared" si="7"/>
        <v>-3329710.8999999985</v>
      </c>
      <c r="M50" s="257">
        <f t="shared" si="0"/>
        <v>-37.557155349808177</v>
      </c>
      <c r="BM50" s="159"/>
      <c r="BN50" s="159"/>
      <c r="BO50" s="143"/>
      <c r="BP50" s="143"/>
      <c r="BQ50" s="143"/>
      <c r="BR50" s="140"/>
    </row>
    <row r="51" spans="1:70" ht="13.5" customHeight="1">
      <c r="B51" s="80">
        <v>423</v>
      </c>
      <c r="C51" s="97" t="s">
        <v>92</v>
      </c>
      <c r="D51" s="154">
        <v>198586743.64000002</v>
      </c>
      <c r="E51" s="244">
        <f t="shared" si="1"/>
        <v>5.0183650975437182</v>
      </c>
      <c r="F51" s="154">
        <v>205575000</v>
      </c>
      <c r="G51" s="252">
        <f t="shared" si="2"/>
        <v>5.1949610835944604</v>
      </c>
      <c r="H51" s="206">
        <f t="shared" si="3"/>
        <v>-6988256.3599999845</v>
      </c>
      <c r="I51" s="257">
        <f t="shared" si="4"/>
        <v>-3.3993707211479887</v>
      </c>
      <c r="J51" s="154">
        <v>193968601.93000001</v>
      </c>
      <c r="K51" s="244">
        <f t="shared" si="5"/>
        <v>5.1409648006891073</v>
      </c>
      <c r="L51" s="206">
        <f t="shared" si="7"/>
        <v>4618141.7100000083</v>
      </c>
      <c r="M51" s="257">
        <f t="shared" si="0"/>
        <v>2.3808707512706633</v>
      </c>
      <c r="BM51" s="159"/>
      <c r="BN51" s="159"/>
      <c r="BO51" s="143"/>
      <c r="BP51" s="143"/>
      <c r="BQ51" s="143"/>
      <c r="BR51" s="140"/>
    </row>
    <row r="52" spans="1:70" ht="13.5" customHeight="1">
      <c r="B52" s="80">
        <v>424</v>
      </c>
      <c r="C52" s="97" t="s">
        <v>94</v>
      </c>
      <c r="D52" s="154">
        <v>7180365.1899999995</v>
      </c>
      <c r="E52" s="244">
        <f t="shared" si="1"/>
        <v>0.1814506517234408</v>
      </c>
      <c r="F52" s="154">
        <v>7965499.9999999991</v>
      </c>
      <c r="G52" s="252">
        <f t="shared" si="2"/>
        <v>0.20129131709289394</v>
      </c>
      <c r="H52" s="206">
        <f t="shared" si="3"/>
        <v>-785134.80999999959</v>
      </c>
      <c r="I52" s="257">
        <f t="shared" si="4"/>
        <v>-9.8566921097231699</v>
      </c>
      <c r="J52" s="154">
        <v>6728251.5499999989</v>
      </c>
      <c r="K52" s="244">
        <f t="shared" si="5"/>
        <v>0.1783263066525311</v>
      </c>
      <c r="L52" s="206">
        <f t="shared" si="7"/>
        <v>452113.6400000006</v>
      </c>
      <c r="M52" s="257">
        <f t="shared" si="0"/>
        <v>6.7196304513912111</v>
      </c>
      <c r="BM52" s="159"/>
      <c r="BN52" s="159"/>
      <c r="BO52" s="143"/>
      <c r="BP52" s="143"/>
      <c r="BQ52" s="143"/>
      <c r="BR52" s="140"/>
    </row>
    <row r="53" spans="1:70" ht="13.5" customHeight="1">
      <c r="B53" s="80">
        <v>425</v>
      </c>
      <c r="C53" s="97" t="s">
        <v>431</v>
      </c>
      <c r="D53" s="154">
        <v>4194840.3499999996</v>
      </c>
      <c r="E53" s="244">
        <f t="shared" si="1"/>
        <v>0.10600526508642474</v>
      </c>
      <c r="F53" s="154">
        <v>4262500</v>
      </c>
      <c r="G53" s="252">
        <f t="shared" si="2"/>
        <v>0.10771505104619428</v>
      </c>
      <c r="H53" s="206">
        <f t="shared" si="3"/>
        <v>-67659.650000000373</v>
      </c>
      <c r="I53" s="257">
        <f t="shared" si="4"/>
        <v>-1.5873231671554322</v>
      </c>
      <c r="J53" s="154">
        <v>4385138.1399999997</v>
      </c>
      <c r="K53" s="244">
        <f t="shared" si="5"/>
        <v>0.11622417545719586</v>
      </c>
      <c r="L53" s="206">
        <f t="shared" si="7"/>
        <v>-190297.79000000004</v>
      </c>
      <c r="M53" s="257">
        <f t="shared" si="0"/>
        <v>-4.339607645746824</v>
      </c>
      <c r="BM53" s="159"/>
      <c r="BN53" s="159"/>
      <c r="BO53" s="143"/>
      <c r="BP53" s="143"/>
      <c r="BQ53" s="143"/>
      <c r="BR53" s="140"/>
    </row>
    <row r="54" spans="1:70" ht="13.5" customHeight="1">
      <c r="A54" s="80">
        <v>43</v>
      </c>
      <c r="B54" s="80">
        <v>431</v>
      </c>
      <c r="C54" s="93" t="s">
        <v>432</v>
      </c>
      <c r="D54" s="152">
        <f>SUM(D55:D56)</f>
        <v>65889241.469999999</v>
      </c>
      <c r="E54" s="243">
        <f t="shared" si="1"/>
        <v>1.6650470400788435</v>
      </c>
      <c r="F54" s="152">
        <f>SUM(F55:F56)</f>
        <v>82200000</v>
      </c>
      <c r="G54" s="251">
        <f t="shared" si="2"/>
        <v>2.077226321641565</v>
      </c>
      <c r="H54" s="203">
        <f t="shared" si="3"/>
        <v>-16310758.530000001</v>
      </c>
      <c r="I54" s="256">
        <f t="shared" si="4"/>
        <v>-19.842771934306569</v>
      </c>
      <c r="J54" s="152">
        <f>SUM(J55:J56)</f>
        <v>72653921.859999999</v>
      </c>
      <c r="K54" s="243">
        <f t="shared" si="5"/>
        <v>1.9256274015372383</v>
      </c>
      <c r="L54" s="203">
        <f t="shared" si="7"/>
        <v>-6764680.3900000006</v>
      </c>
      <c r="M54" s="256">
        <f t="shared" si="0"/>
        <v>-9.3108261974283408</v>
      </c>
      <c r="BM54" s="159"/>
      <c r="BN54" s="159"/>
      <c r="BO54" s="143"/>
      <c r="BP54" s="143"/>
      <c r="BQ54" s="143"/>
      <c r="BR54" s="140"/>
    </row>
    <row r="55" spans="1:70" ht="13.5" customHeight="1">
      <c r="C55" s="238" t="s">
        <v>432</v>
      </c>
      <c r="D55" s="298">
        <v>65162108.119999997</v>
      </c>
      <c r="E55" s="243">
        <f t="shared" si="1"/>
        <v>1.6466720944101891</v>
      </c>
      <c r="F55" s="298">
        <v>81349999.980000004</v>
      </c>
      <c r="G55" s="251">
        <f t="shared" si="2"/>
        <v>2.0557464869099364</v>
      </c>
      <c r="H55" s="305">
        <f t="shared" si="3"/>
        <v>-16187891.860000007</v>
      </c>
      <c r="I55" s="304">
        <f t="shared" si="4"/>
        <v>-19.899068056520989</v>
      </c>
      <c r="J55" s="298">
        <v>71736322.640000001</v>
      </c>
      <c r="K55" s="243">
        <f t="shared" si="5"/>
        <v>1.9013072525841506</v>
      </c>
      <c r="L55" s="305">
        <f t="shared" si="7"/>
        <v>-6574214.5200000033</v>
      </c>
      <c r="M55" s="304">
        <f t="shared" si="0"/>
        <v>-9.1644152892975796</v>
      </c>
      <c r="BM55" s="159"/>
      <c r="BN55" s="159"/>
      <c r="BO55" s="143"/>
      <c r="BP55" s="143"/>
      <c r="BQ55" s="143"/>
      <c r="BR55" s="140"/>
    </row>
    <row r="56" spans="1:70" ht="13.5" customHeight="1" thickBot="1">
      <c r="C56" s="238" t="s">
        <v>463</v>
      </c>
      <c r="D56" s="298">
        <v>727133.35</v>
      </c>
      <c r="E56" s="243">
        <f t="shared" si="1"/>
        <v>1.8374945668654604E-2</v>
      </c>
      <c r="F56" s="298">
        <v>850000.02000000014</v>
      </c>
      <c r="G56" s="251">
        <f t="shared" si="2"/>
        <v>2.1479834731628428E-2</v>
      </c>
      <c r="H56" s="305">
        <f t="shared" si="3"/>
        <v>-122866.67000000016</v>
      </c>
      <c r="I56" s="304">
        <f t="shared" si="4"/>
        <v>-14.454902012825855</v>
      </c>
      <c r="J56" s="298">
        <v>917599.22</v>
      </c>
      <c r="K56" s="243">
        <f t="shared" si="5"/>
        <v>2.4320148953087727E-2</v>
      </c>
      <c r="L56" s="305">
        <f t="shared" si="7"/>
        <v>-190465.87</v>
      </c>
      <c r="M56" s="304">
        <f t="shared" si="0"/>
        <v>-20.756978193595245</v>
      </c>
      <c r="BM56" s="159"/>
      <c r="BN56" s="159"/>
      <c r="BO56" s="143"/>
      <c r="BP56" s="143"/>
      <c r="BQ56" s="143"/>
      <c r="BR56" s="140"/>
    </row>
    <row r="57" spans="1:70" ht="13.5" customHeight="1" thickTop="1" thickBot="1">
      <c r="B57" s="80">
        <v>44</v>
      </c>
      <c r="C57" s="90" t="s">
        <v>130</v>
      </c>
      <c r="D57" s="299">
        <v>41077939.090000004</v>
      </c>
      <c r="E57" s="245">
        <f t="shared" si="1"/>
        <v>1.0380556729505712</v>
      </c>
      <c r="F57" s="160">
        <v>84923580</v>
      </c>
      <c r="G57" s="250">
        <f t="shared" si="2"/>
        <v>2.1460522591731528</v>
      </c>
      <c r="H57" s="160">
        <f t="shared" si="3"/>
        <v>-43845640.909999996</v>
      </c>
      <c r="I57" s="245">
        <f t="shared" si="4"/>
        <v>-51.629524932886717</v>
      </c>
      <c r="J57" s="160">
        <v>13226347.699999999</v>
      </c>
      <c r="K57" s="245">
        <f t="shared" si="5"/>
        <v>0.35055254969520278</v>
      </c>
      <c r="L57" s="160">
        <f>+D57-J57</f>
        <v>27851591.390000004</v>
      </c>
      <c r="M57" s="245">
        <f t="shared" si="0"/>
        <v>210.57658562839691</v>
      </c>
      <c r="BM57" s="159"/>
      <c r="BN57" s="159"/>
      <c r="BO57" s="143"/>
      <c r="BP57" s="143"/>
      <c r="BQ57" s="143"/>
      <c r="BR57" s="140"/>
    </row>
    <row r="58" spans="1:70" ht="13.5" customHeight="1" thickTop="1">
      <c r="B58" s="80">
        <v>451</v>
      </c>
      <c r="C58" s="93" t="s">
        <v>110</v>
      </c>
      <c r="D58" s="152">
        <v>1089216.67</v>
      </c>
      <c r="E58" s="243">
        <f t="shared" si="1"/>
        <v>2.752493353886586E-2</v>
      </c>
      <c r="F58" s="152">
        <v>1212500</v>
      </c>
      <c r="G58" s="251">
        <f t="shared" si="2"/>
        <v>3.0640351763873447E-2</v>
      </c>
      <c r="H58" s="205">
        <f t="shared" si="3"/>
        <v>-123283.33000000007</v>
      </c>
      <c r="I58" s="256">
        <f t="shared" si="4"/>
        <v>-10.167697319587631</v>
      </c>
      <c r="J58" s="152">
        <v>1360798.67</v>
      </c>
      <c r="K58" s="243">
        <f t="shared" si="5"/>
        <v>3.6066755102040812E-2</v>
      </c>
      <c r="L58" s="152">
        <f t="shared" si="7"/>
        <v>-271582</v>
      </c>
      <c r="M58" s="256">
        <f t="shared" si="0"/>
        <v>-19.957544491133277</v>
      </c>
      <c r="BM58" s="159"/>
      <c r="BN58" s="159"/>
      <c r="BO58" s="143"/>
      <c r="BP58" s="143"/>
      <c r="BQ58" s="143"/>
      <c r="BR58" s="140"/>
    </row>
    <row r="59" spans="1:70" ht="13.5" customHeight="1" thickBot="1">
      <c r="B59" s="80">
        <v>47</v>
      </c>
      <c r="C59" s="93" t="s">
        <v>117</v>
      </c>
      <c r="D59" s="152">
        <v>6425508.75</v>
      </c>
      <c r="E59" s="243">
        <f t="shared" si="1"/>
        <v>0.16237513266956433</v>
      </c>
      <c r="F59" s="152">
        <v>7149336.9399999995</v>
      </c>
      <c r="G59" s="251">
        <f t="shared" si="2"/>
        <v>0.18066655564540582</v>
      </c>
      <c r="H59" s="205">
        <f t="shared" si="3"/>
        <v>-723828.18999999948</v>
      </c>
      <c r="I59" s="256">
        <f t="shared" si="4"/>
        <v>-10.124410082706206</v>
      </c>
      <c r="J59" s="152">
        <v>6066500.9799999995</v>
      </c>
      <c r="K59" s="243">
        <f t="shared" si="5"/>
        <v>0.16078719798568777</v>
      </c>
      <c r="L59" s="152">
        <f t="shared" si="7"/>
        <v>359007.77000000048</v>
      </c>
      <c r="M59" s="256">
        <f t="shared" si="0"/>
        <v>5.9178721174458815</v>
      </c>
      <c r="BM59" s="159"/>
      <c r="BN59" s="159"/>
      <c r="BO59" s="143"/>
      <c r="BP59" s="143"/>
      <c r="BQ59" s="143"/>
      <c r="BR59" s="140"/>
    </row>
    <row r="60" spans="1:70" ht="13.5" customHeight="1" thickTop="1" thickBot="1">
      <c r="B60" s="80">
        <v>462</v>
      </c>
      <c r="C60" s="146" t="s">
        <v>112</v>
      </c>
      <c r="D60" s="161">
        <v>0</v>
      </c>
      <c r="E60" s="247">
        <f t="shared" si="1"/>
        <v>0</v>
      </c>
      <c r="F60" s="161">
        <v>0</v>
      </c>
      <c r="G60" s="253">
        <f t="shared" si="2"/>
        <v>0</v>
      </c>
      <c r="H60" s="207">
        <f t="shared" si="3"/>
        <v>0</v>
      </c>
      <c r="I60" s="259" t="str">
        <f t="shared" si="4"/>
        <v>...</v>
      </c>
      <c r="J60" s="161">
        <v>0</v>
      </c>
      <c r="K60" s="247">
        <f t="shared" si="5"/>
        <v>0</v>
      </c>
      <c r="L60" s="161">
        <f t="shared" si="7"/>
        <v>0</v>
      </c>
      <c r="M60" s="259" t="str">
        <f>+IF(ISNUMBER(D60/J60*100-100),D60/J60*100-100,"...")</f>
        <v>...</v>
      </c>
      <c r="BM60" s="159"/>
      <c r="BN60" s="159"/>
      <c r="BO60" s="143"/>
      <c r="BP60" s="143"/>
      <c r="BQ60" s="143"/>
      <c r="BR60" s="140"/>
    </row>
    <row r="61" spans="1:70" ht="13.5" customHeight="1" thickTop="1" thickBot="1">
      <c r="B61" s="300" t="s">
        <v>450</v>
      </c>
      <c r="C61" s="209" t="s">
        <v>449</v>
      </c>
      <c r="D61" s="210">
        <v>13871619.310000001</v>
      </c>
      <c r="E61" s="248">
        <f t="shared" si="1"/>
        <v>0.35054127438592947</v>
      </c>
      <c r="F61" s="210">
        <v>0</v>
      </c>
      <c r="G61" s="254">
        <f t="shared" si="2"/>
        <v>0</v>
      </c>
      <c r="H61" s="211">
        <f>+D61-F61</f>
        <v>13871619.310000001</v>
      </c>
      <c r="I61" s="260" t="str">
        <f>+IF(ISNUMBER(D61/F61*100-100),D61/F61*100-100,"...")</f>
        <v>...</v>
      </c>
      <c r="J61" s="210">
        <v>29029097.939999998</v>
      </c>
      <c r="K61" s="248">
        <f>+J61/$J$11*100</f>
        <v>0.76939035091439167</v>
      </c>
      <c r="L61" s="211">
        <f>+D61-J61</f>
        <v>-15157478.629999997</v>
      </c>
      <c r="M61" s="259">
        <f>+IF(ISNUMBER(D61/J61*100-100),D61/J61*100-100,"...")</f>
        <v>-52.214776571179939</v>
      </c>
      <c r="BM61" s="159"/>
      <c r="BN61" s="159"/>
      <c r="BO61" s="143"/>
      <c r="BP61" s="143"/>
      <c r="BQ61" s="143"/>
      <c r="BR61" s="140"/>
    </row>
    <row r="62" spans="1:70" ht="13.5" customHeight="1" thickTop="1" thickBot="1">
      <c r="B62" s="80">
        <v>990</v>
      </c>
      <c r="C62" s="198" t="s">
        <v>151</v>
      </c>
      <c r="D62" s="152">
        <v>0</v>
      </c>
      <c r="E62" s="243">
        <f t="shared" si="1"/>
        <v>0</v>
      </c>
      <c r="F62" s="152">
        <v>0</v>
      </c>
      <c r="G62" s="251">
        <f t="shared" si="2"/>
        <v>0</v>
      </c>
      <c r="H62" s="205">
        <f t="shared" si="3"/>
        <v>0</v>
      </c>
      <c r="I62" s="261" t="str">
        <f t="shared" si="4"/>
        <v>...</v>
      </c>
      <c r="J62" s="152">
        <v>0</v>
      </c>
      <c r="K62" s="243">
        <f t="shared" si="5"/>
        <v>0</v>
      </c>
      <c r="L62" s="152">
        <f t="shared" si="7"/>
        <v>0</v>
      </c>
      <c r="M62" s="259" t="str">
        <f>+IF(ISNUMBER(D62/J62*100-100),D62/J62*100-100,"...")</f>
        <v>...</v>
      </c>
      <c r="BM62" s="159"/>
      <c r="BN62" s="159"/>
      <c r="BO62" s="143"/>
      <c r="BP62" s="143"/>
      <c r="BQ62" s="143"/>
      <c r="BR62" s="140"/>
    </row>
    <row r="63" spans="1:70" ht="13.5" customHeight="1" thickTop="1" thickBot="1">
      <c r="C63" s="90" t="s">
        <v>446</v>
      </c>
      <c r="D63" s="91">
        <f>+D16-D35</f>
        <v>-105179481.46000028</v>
      </c>
      <c r="E63" s="245">
        <f>+D63/$D$11*100</f>
        <v>-2.6579268538360528</v>
      </c>
      <c r="F63" s="91">
        <f>+F16-F35</f>
        <v>-166462390.89687037</v>
      </c>
      <c r="G63" s="250">
        <f t="shared" si="2"/>
        <v>-4.2065700721942374</v>
      </c>
      <c r="H63" s="91">
        <f t="shared" si="3"/>
        <v>61282909.436870098</v>
      </c>
      <c r="I63" s="245">
        <f t="shared" si="4"/>
        <v>-36.814867975095424</v>
      </c>
      <c r="J63" s="91">
        <f>+J16-J35-J62</f>
        <v>-113386150.18999994</v>
      </c>
      <c r="K63" s="245">
        <f t="shared" si="5"/>
        <v>-3.0051987858468046</v>
      </c>
      <c r="L63" s="91">
        <f>+D63-J63</f>
        <v>8206668.7299996614</v>
      </c>
      <c r="M63" s="245">
        <f>+IF(ISNUMBER(D63/J63*100-100),D63/J63*100-100,"...")</f>
        <v>-7.2378052489195852</v>
      </c>
      <c r="BM63" s="159"/>
      <c r="BN63" s="159"/>
      <c r="BO63" s="143"/>
      <c r="BP63" s="143"/>
      <c r="BQ63" s="143"/>
      <c r="BR63" s="140"/>
    </row>
    <row r="64" spans="1:70" ht="13.5" customHeight="1" thickTop="1" thickBot="1">
      <c r="C64" s="90" t="s">
        <v>452</v>
      </c>
      <c r="D64" s="91">
        <f>+D63+D43</f>
        <v>-24336464.710000277</v>
      </c>
      <c r="E64" s="245">
        <f t="shared" si="1"/>
        <v>-0.61499203249773271</v>
      </c>
      <c r="F64" s="91">
        <f>+F63+F43</f>
        <v>-86153238.646870375</v>
      </c>
      <c r="G64" s="250">
        <f t="shared" si="2"/>
        <v>-2.177126216690346</v>
      </c>
      <c r="H64" s="91">
        <f t="shared" si="3"/>
        <v>61816773.936870098</v>
      </c>
      <c r="I64" s="245">
        <f t="shared" si="4"/>
        <v>-71.752118559637765</v>
      </c>
      <c r="J64" s="91">
        <f>+J63+J43</f>
        <v>-46122939.579999939</v>
      </c>
      <c r="K64" s="245">
        <f t="shared" si="5"/>
        <v>-1.2224473782136214</v>
      </c>
      <c r="L64" s="91">
        <f t="shared" si="7"/>
        <v>21786474.869999662</v>
      </c>
      <c r="M64" s="245">
        <f t="shared" ref="M61:M74" si="8">+IF(ISNUMBER(H64/J64*100-100),H64/J64*100-100,"...")</f>
        <v>-234.02609308899167</v>
      </c>
      <c r="BM64" s="159"/>
      <c r="BN64" s="159"/>
      <c r="BO64" s="143"/>
      <c r="BP64" s="143"/>
      <c r="BQ64" s="143"/>
      <c r="BR64" s="140"/>
    </row>
    <row r="65" spans="2:70" ht="13.5" customHeight="1" thickTop="1" thickBot="1">
      <c r="C65" s="90" t="s">
        <v>453</v>
      </c>
      <c r="D65" s="91">
        <f>+SUM(D66:D67)</f>
        <v>198557682.85000002</v>
      </c>
      <c r="E65" s="245">
        <f t="shared" si="1"/>
        <v>5.0176307199535035</v>
      </c>
      <c r="F65" s="91">
        <f>+SUM(F66:F68)</f>
        <v>122086044.11000001</v>
      </c>
      <c r="G65" s="250">
        <f t="shared" si="2"/>
        <v>3.0851623397857075</v>
      </c>
      <c r="H65" s="91">
        <f t="shared" si="3"/>
        <v>76471638.74000001</v>
      </c>
      <c r="I65" s="245">
        <f t="shared" si="4"/>
        <v>62.637494152156137</v>
      </c>
      <c r="J65" s="91">
        <f>+SUM(J66:J67)</f>
        <v>345860429.87</v>
      </c>
      <c r="K65" s="245">
        <f t="shared" si="5"/>
        <v>9.1667222335011935</v>
      </c>
      <c r="L65" s="91">
        <f t="shared" si="7"/>
        <v>-147302747.01999998</v>
      </c>
      <c r="M65" s="245">
        <f t="shared" si="8"/>
        <v>-77.889451311691332</v>
      </c>
      <c r="BM65" s="159"/>
      <c r="BN65" s="159"/>
      <c r="BO65" s="143"/>
      <c r="BP65" s="143"/>
      <c r="BQ65" s="143"/>
      <c r="BR65" s="140"/>
    </row>
    <row r="66" spans="2:70" ht="13.5" customHeight="1" thickTop="1">
      <c r="B66" s="80">
        <v>4611</v>
      </c>
      <c r="C66" s="97" t="s">
        <v>454</v>
      </c>
      <c r="D66" s="154">
        <v>105168394.56999999</v>
      </c>
      <c r="E66" s="244">
        <f t="shared" si="1"/>
        <v>2.6576466837662993</v>
      </c>
      <c r="F66" s="154">
        <v>11199639.850000001</v>
      </c>
      <c r="G66" s="252">
        <f t="shared" si="2"/>
        <v>0.28301930278985143</v>
      </c>
      <c r="H66" s="206">
        <f t="shared" si="3"/>
        <v>93968754.719999999</v>
      </c>
      <c r="I66" s="257">
        <f t="shared" si="4"/>
        <v>839.03371874944685</v>
      </c>
      <c r="J66" s="154">
        <v>109904523.96000002</v>
      </c>
      <c r="K66" s="244">
        <f t="shared" si="5"/>
        <v>2.9129213877551026</v>
      </c>
      <c r="L66" s="206">
        <f t="shared" si="7"/>
        <v>-4736129.3900000304</v>
      </c>
      <c r="M66" s="257">
        <f t="shared" si="8"/>
        <v>-14.499648118033676</v>
      </c>
      <c r="BM66" s="159"/>
      <c r="BN66" s="159"/>
      <c r="BO66" s="143"/>
      <c r="BP66" s="143"/>
      <c r="BQ66" s="143"/>
      <c r="BR66" s="140"/>
    </row>
    <row r="67" spans="2:70" ht="13.5" customHeight="1">
      <c r="B67" s="80">
        <v>4612</v>
      </c>
      <c r="C67" s="97" t="s">
        <v>455</v>
      </c>
      <c r="D67" s="154">
        <v>93389288.280000016</v>
      </c>
      <c r="E67" s="244">
        <f t="shared" si="1"/>
        <v>2.3599840361872038</v>
      </c>
      <c r="F67" s="154">
        <v>94028154.859999999</v>
      </c>
      <c r="G67" s="252">
        <f t="shared" si="2"/>
        <v>2.3761284458708176</v>
      </c>
      <c r="H67" s="206">
        <f t="shared" si="3"/>
        <v>-638866.57999998331</v>
      </c>
      <c r="I67" s="257">
        <f t="shared" si="4"/>
        <v>-0.67944179161145257</v>
      </c>
      <c r="J67" s="154">
        <v>235955905.90999997</v>
      </c>
      <c r="K67" s="244">
        <f t="shared" si="5"/>
        <v>6.2538008457460892</v>
      </c>
      <c r="L67" s="206">
        <f t="shared" si="7"/>
        <v>-142566617.62999994</v>
      </c>
      <c r="M67" s="257">
        <f t="shared" si="8"/>
        <v>-100.27075676598817</v>
      </c>
      <c r="BM67" s="159"/>
      <c r="BN67" s="159"/>
      <c r="BO67" s="143"/>
      <c r="BP67" s="143"/>
      <c r="BQ67" s="143"/>
      <c r="BR67" s="140"/>
    </row>
    <row r="68" spans="2:70" ht="13.5" customHeight="1" thickBot="1">
      <c r="B68" s="80" t="s">
        <v>451</v>
      </c>
      <c r="C68" s="97" t="s">
        <v>449</v>
      </c>
      <c r="D68" s="154">
        <v>0</v>
      </c>
      <c r="E68" s="244">
        <f t="shared" si="1"/>
        <v>0</v>
      </c>
      <c r="F68" s="301">
        <v>16858249.399999999</v>
      </c>
      <c r="G68" s="252">
        <f t="shared" si="2"/>
        <v>0.42601459112503787</v>
      </c>
      <c r="H68" s="206">
        <f t="shared" si="3"/>
        <v>-16858249.399999999</v>
      </c>
      <c r="I68" s="257">
        <f t="shared" si="4"/>
        <v>-100</v>
      </c>
      <c r="J68" s="154">
        <v>0</v>
      </c>
      <c r="K68" s="244">
        <f t="shared" si="5"/>
        <v>0</v>
      </c>
      <c r="L68" s="206">
        <f t="shared" si="7"/>
        <v>0</v>
      </c>
      <c r="M68" s="257" t="str">
        <f t="shared" si="8"/>
        <v>...</v>
      </c>
      <c r="BM68" s="159"/>
      <c r="BN68" s="159"/>
      <c r="BO68" s="143"/>
      <c r="BP68" s="143"/>
      <c r="BQ68" s="143"/>
      <c r="BR68" s="140"/>
    </row>
    <row r="69" spans="2:70" ht="13.5" customHeight="1" thickTop="1" thickBot="1">
      <c r="C69" s="90" t="s">
        <v>140</v>
      </c>
      <c r="D69" s="91">
        <f>+D63-D65</f>
        <v>-303737164.3100003</v>
      </c>
      <c r="E69" s="245">
        <f t="shared" si="1"/>
        <v>-7.6755575737895558</v>
      </c>
      <c r="F69" s="91">
        <f>+F63-F65</f>
        <v>-288548435.00687039</v>
      </c>
      <c r="G69" s="250">
        <f t="shared" si="2"/>
        <v>-7.2917324119799449</v>
      </c>
      <c r="H69" s="91">
        <f>+D69-F69</f>
        <v>-15188729.303129911</v>
      </c>
      <c r="I69" s="245">
        <f t="shared" ref="I69:I74" si="9">+IF(ISNUMBER(D69/F69*100-100),D69/F69*100-100,"...")</f>
        <v>5.2638404719707665</v>
      </c>
      <c r="J69" s="91">
        <f>+J63-J65</f>
        <v>-459246580.05999994</v>
      </c>
      <c r="K69" s="245">
        <f t="shared" ref="K69:K74" si="10">+J69/$J$11*100</f>
        <v>-12.171921019347998</v>
      </c>
      <c r="L69" s="91">
        <f t="shared" si="7"/>
        <v>155509415.74999964</v>
      </c>
      <c r="M69" s="245">
        <f t="shared" si="8"/>
        <v>-96.692685375872472</v>
      </c>
      <c r="BM69" s="159"/>
      <c r="BN69" s="159"/>
      <c r="BO69" s="143"/>
      <c r="BP69" s="143"/>
      <c r="BQ69" s="143"/>
      <c r="BR69" s="140"/>
    </row>
    <row r="70" spans="2:70" ht="13.5" customHeight="1" thickTop="1" thickBot="1">
      <c r="C70" s="90" t="s">
        <v>120</v>
      </c>
      <c r="D70" s="91">
        <f>+SUM(D71:D74)</f>
        <v>303737164.3100003</v>
      </c>
      <c r="E70" s="245">
        <f t="shared" si="1"/>
        <v>7.6755575737895558</v>
      </c>
      <c r="F70" s="91">
        <f>+SUM(F71:F74)</f>
        <v>288548435.00687039</v>
      </c>
      <c r="G70" s="250">
        <f t="shared" si="2"/>
        <v>7.2917324119799449</v>
      </c>
      <c r="H70" s="91">
        <f t="shared" ref="H69:H74" si="11">+D70-F70</f>
        <v>15188729.303129911</v>
      </c>
      <c r="I70" s="245">
        <f t="shared" si="9"/>
        <v>5.2638404719707665</v>
      </c>
      <c r="J70" s="91">
        <f>+SUM(J71:J74)</f>
        <v>459246580.05999994</v>
      </c>
      <c r="K70" s="245">
        <f t="shared" si="10"/>
        <v>12.171921019347998</v>
      </c>
      <c r="L70" s="91">
        <f>+SUM(L71:L74)</f>
        <v>-155509415.74999967</v>
      </c>
      <c r="M70" s="245">
        <f t="shared" si="8"/>
        <v>-96.692685375872472</v>
      </c>
      <c r="BM70" s="159"/>
      <c r="BN70" s="159"/>
      <c r="BO70" s="143"/>
      <c r="BP70" s="143"/>
      <c r="BQ70" s="143"/>
      <c r="BR70" s="140"/>
    </row>
    <row r="71" spans="2:70" ht="13.5" customHeight="1" thickTop="1">
      <c r="B71" s="80">
        <v>7511</v>
      </c>
      <c r="C71" s="97" t="s">
        <v>456</v>
      </c>
      <c r="D71" s="154">
        <v>182535000</v>
      </c>
      <c r="E71" s="244">
        <f t="shared" si="1"/>
        <v>4.6127312240978471</v>
      </c>
      <c r="F71" s="154">
        <v>50000000</v>
      </c>
      <c r="G71" s="252">
        <f t="shared" si="2"/>
        <v>1.2635196603659153</v>
      </c>
      <c r="H71" s="206">
        <f t="shared" si="11"/>
        <v>132535000</v>
      </c>
      <c r="I71" s="257">
        <f t="shared" si="9"/>
        <v>265.07</v>
      </c>
      <c r="J71" s="154">
        <v>121770000</v>
      </c>
      <c r="K71" s="244">
        <f t="shared" si="10"/>
        <v>3.2274052478134112</v>
      </c>
      <c r="L71" s="206">
        <f t="shared" si="7"/>
        <v>60765000</v>
      </c>
      <c r="M71" s="257">
        <f t="shared" si="8"/>
        <v>8.8404368892173864</v>
      </c>
      <c r="BM71" s="159"/>
      <c r="BN71" s="159"/>
      <c r="BO71" s="143"/>
      <c r="BP71" s="143"/>
      <c r="BQ71" s="143"/>
      <c r="BR71" s="140"/>
    </row>
    <row r="72" spans="2:70" ht="13.5" customHeight="1">
      <c r="B72" s="80">
        <v>7512</v>
      </c>
      <c r="C72" s="97" t="s">
        <v>457</v>
      </c>
      <c r="D72" s="154">
        <v>106544893.94</v>
      </c>
      <c r="E72" s="244">
        <f t="shared" si="1"/>
        <v>2.6924313640958255</v>
      </c>
      <c r="F72" s="154">
        <v>177086911.81743497</v>
      </c>
      <c r="G72" s="252">
        <f t="shared" si="2"/>
        <v>4.4750558934962843</v>
      </c>
      <c r="H72" s="206">
        <f t="shared" si="11"/>
        <v>-70542017.877434969</v>
      </c>
      <c r="I72" s="257">
        <f t="shared" si="9"/>
        <v>-39.834687472645733</v>
      </c>
      <c r="J72" s="154">
        <v>309034264.92000008</v>
      </c>
      <c r="K72" s="244">
        <f t="shared" si="10"/>
        <v>8.1906775754041892</v>
      </c>
      <c r="L72" s="206">
        <f t="shared" si="7"/>
        <v>-202489370.98000008</v>
      </c>
      <c r="M72" s="257">
        <f t="shared" si="8"/>
        <v>-122.82660076405969</v>
      </c>
      <c r="BM72" s="159"/>
      <c r="BN72" s="159"/>
      <c r="BO72" s="143"/>
      <c r="BP72" s="143"/>
      <c r="BQ72" s="143"/>
      <c r="BR72" s="140"/>
    </row>
    <row r="73" spans="2:70" ht="13.5" customHeight="1" thickBot="1">
      <c r="B73" s="80">
        <v>72</v>
      </c>
      <c r="C73" s="103" t="s">
        <v>401</v>
      </c>
      <c r="D73" s="154">
        <v>3383257.63</v>
      </c>
      <c r="E73" s="249">
        <f t="shared" si="1"/>
        <v>8.5496250631759835E-2</v>
      </c>
      <c r="F73" s="154">
        <v>0</v>
      </c>
      <c r="G73" s="255">
        <f t="shared" si="2"/>
        <v>0</v>
      </c>
      <c r="H73" s="206">
        <f t="shared" si="11"/>
        <v>3383257.63</v>
      </c>
      <c r="I73" s="257" t="str">
        <f t="shared" si="9"/>
        <v>...</v>
      </c>
      <c r="J73" s="154">
        <v>1047233.5900000001</v>
      </c>
      <c r="K73" s="249">
        <f t="shared" si="10"/>
        <v>2.7755992313808639E-2</v>
      </c>
      <c r="L73" s="206">
        <f t="shared" si="7"/>
        <v>2336024.04</v>
      </c>
      <c r="M73" s="257">
        <f t="shared" si="8"/>
        <v>223.06618717224296</v>
      </c>
      <c r="BM73" s="159"/>
      <c r="BN73" s="159"/>
      <c r="BO73" s="143"/>
      <c r="BP73" s="143"/>
      <c r="BQ73" s="143"/>
      <c r="BR73" s="140"/>
    </row>
    <row r="74" spans="2:70" ht="13.5" customHeight="1" thickTop="1" thickBot="1">
      <c r="C74" s="146" t="s">
        <v>458</v>
      </c>
      <c r="D74" s="161">
        <f>-D69-SUM(D71:D73)</f>
        <v>11274012.740000308</v>
      </c>
      <c r="E74" s="247">
        <f t="shared" si="1"/>
        <v>0.28489873496412382</v>
      </c>
      <c r="F74" s="161">
        <f>-F69-SUM(F71:F73)</f>
        <v>61461523.189435422</v>
      </c>
      <c r="G74" s="253">
        <f t="shared" si="2"/>
        <v>1.5531568581177455</v>
      </c>
      <c r="H74" s="204">
        <f t="shared" si="11"/>
        <v>-50187510.449435115</v>
      </c>
      <c r="I74" s="262">
        <f t="shared" si="9"/>
        <v>-81.656795739910677</v>
      </c>
      <c r="J74" s="161">
        <f>-J69-SUM(J71:J73)</f>
        <v>27395081.549999893</v>
      </c>
      <c r="K74" s="247">
        <f t="shared" si="10"/>
        <v>0.72608220381658872</v>
      </c>
      <c r="L74" s="211">
        <f t="shared" si="7"/>
        <v>-16121068.809999585</v>
      </c>
      <c r="M74" s="262">
        <f t="shared" si="8"/>
        <v>-283.19898175092425</v>
      </c>
      <c r="BM74" s="159"/>
      <c r="BN74" s="159"/>
      <c r="BO74" s="143"/>
      <c r="BP74" s="143"/>
      <c r="BQ74" s="143"/>
      <c r="BR74" s="140"/>
    </row>
    <row r="75" spans="2:70" s="187" customFormat="1" ht="13.5" thickTop="1">
      <c r="C75" s="188" t="str">
        <f>IF([1]MasterSheet!$A$1=1,[1]MasterSheet!C151,[1]MasterSheet!B151)</f>
        <v>Izvor: Ministarstvo finansija Crne Gore</v>
      </c>
      <c r="D75" s="193"/>
      <c r="E75" s="193"/>
      <c r="F75" s="192"/>
      <c r="G75" s="193"/>
      <c r="H75" s="193"/>
      <c r="I75" s="193"/>
      <c r="J75" s="192"/>
      <c r="K75" s="193"/>
      <c r="L75" s="193"/>
      <c r="M75" s="193"/>
    </row>
    <row r="76" spans="2:70" s="187" customFormat="1">
      <c r="C76" s="190"/>
      <c r="D76" s="189"/>
      <c r="E76" s="189"/>
      <c r="F76" s="194"/>
      <c r="G76" s="189"/>
      <c r="H76" s="189"/>
      <c r="I76" s="189"/>
      <c r="J76" s="194"/>
      <c r="K76" s="197"/>
      <c r="L76" s="189"/>
      <c r="M76" s="189"/>
    </row>
    <row r="77" spans="2:70" s="187" customFormat="1">
      <c r="F77" s="189"/>
      <c r="G77" s="189"/>
      <c r="H77" s="189"/>
      <c r="I77" s="189"/>
      <c r="J77" s="189"/>
      <c r="K77" s="189"/>
      <c r="L77" s="189"/>
      <c r="M77" s="189"/>
    </row>
    <row r="78" spans="2:70" s="187" customFormat="1">
      <c r="C78" s="191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93"/>
  <sheetViews>
    <sheetView topLeftCell="A33" zoomScaleNormal="100" workbookViewId="0">
      <selection activeCell="R57" sqref="R57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49" t="str">
        <f>+'Cental Budget'!C11</f>
        <v>BDP (u mil. €)</v>
      </c>
      <c r="D11" s="330">
        <f>+'Cental Budget'!D11:G11</f>
        <v>3957200000</v>
      </c>
      <c r="E11" s="331"/>
      <c r="F11" s="331"/>
      <c r="G11" s="332"/>
      <c r="H11" s="325"/>
      <c r="I11" s="326"/>
      <c r="J11" s="327">
        <f>+'Cental Budget'!J11:K11</f>
        <v>3773000000</v>
      </c>
      <c r="K11" s="328" t="e">
        <f>+'Cental Budget'!#REF!</f>
        <v>#REF!</v>
      </c>
      <c r="L11" s="325"/>
      <c r="M11" s="329"/>
      <c r="N11" s="202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33"/>
      <c r="E13" s="333"/>
      <c r="F13" s="86"/>
      <c r="G13" s="86"/>
      <c r="H13" s="86"/>
      <c r="I13" s="86"/>
      <c r="J13" s="333"/>
      <c r="K13" s="333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34" t="s">
        <v>258</v>
      </c>
      <c r="D14" s="323" t="s">
        <v>468</v>
      </c>
      <c r="E14" s="324"/>
      <c r="F14" s="323" t="s">
        <v>469</v>
      </c>
      <c r="G14" s="324"/>
      <c r="H14" s="323" t="str">
        <f>+'Cental Budget'!H14:I14</f>
        <v>Odstupanje</v>
      </c>
      <c r="I14" s="324"/>
      <c r="J14" s="323" t="s">
        <v>464</v>
      </c>
      <c r="K14" s="324"/>
      <c r="L14" s="323" t="str">
        <f>+H14</f>
        <v>Odstupanje</v>
      </c>
      <c r="M14" s="32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35"/>
      <c r="D15" s="150" t="str">
        <f>IF(MasterSheet!$A$1=1,MasterSheet!C71,MasterSheet!C70)</f>
        <v>mil. €</v>
      </c>
      <c r="E15" s="157" t="str">
        <f>IF(MasterSheet!$A$1=1,MasterSheet!D71,MasterSheet!D70)</f>
        <v>% BDP</v>
      </c>
      <c r="F15" s="150" t="str">
        <f>IF(MasterSheet!$A$1=1,MasterSheet!E71,MasterSheet!E70)</f>
        <v>mil. €</v>
      </c>
      <c r="G15" s="157" t="str">
        <f>IF(MasterSheet!$A$1=1,MasterSheet!F71,MasterSheet!F70)</f>
        <v>% BDP</v>
      </c>
      <c r="H15" s="150" t="str">
        <f>IF(MasterSheet!$A$1=1,MasterSheet!G71,MasterSheet!G70)</f>
        <v>mil. €</v>
      </c>
      <c r="I15" s="157" t="s">
        <v>441</v>
      </c>
      <c r="J15" s="150" t="str">
        <f>IF(MasterSheet!$A$1=1,MasterSheet!I71,MasterSheet!I70)</f>
        <v>mil. €</v>
      </c>
      <c r="K15" s="157" t="str">
        <f>IF(MasterSheet!$A$1=1,MasterSheet!J71,MasterSheet!J70)</f>
        <v>% BDP</v>
      </c>
      <c r="L15" s="150" t="str">
        <f>IF(MasterSheet!$A$1=1,MasterSheet!K71,MasterSheet!K70)</f>
        <v>mil. €</v>
      </c>
      <c r="M15" s="15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51" t="str">
        <f>IF(MasterSheet!$A$1=1,MasterSheet!C72,MasterSheet!B72)</f>
        <v>Izvorni prihodi</v>
      </c>
      <c r="D16" s="213">
        <f>+D17+D21+D27+D33+D38+D39</f>
        <v>87753526.059999987</v>
      </c>
      <c r="E16" s="263">
        <f>+D16/$D$11*100</f>
        <v>2.2175661088648537</v>
      </c>
      <c r="F16" s="213">
        <f>+F17+F21+F27+F33+F38+F39</f>
        <v>79553936.794997707</v>
      </c>
      <c r="G16" s="263">
        <f t="shared" ref="G16:G76" si="0">+F16/$D$11*100</f>
        <v>2.0103592639997401</v>
      </c>
      <c r="H16" s="213">
        <f>+D16-F16</f>
        <v>8199589.2650022805</v>
      </c>
      <c r="I16" s="263">
        <f>+D16/F16*100-100</f>
        <v>10.306956004115506</v>
      </c>
      <c r="J16" s="213">
        <f>+J17+J21+J27+J33+J38+J39</f>
        <v>78517637.590000004</v>
      </c>
      <c r="K16" s="263">
        <f>+J16/$J$11*100</f>
        <v>2.081039957328386</v>
      </c>
      <c r="L16" s="213">
        <f>+D16-J16</f>
        <v>9235888.4699999839</v>
      </c>
      <c r="M16" s="263">
        <f>+D16/J16*100-100</f>
        <v>11.762820117216904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2:81" ht="15" customHeight="1" thickTop="1">
      <c r="B17" s="80">
        <v>711</v>
      </c>
      <c r="C17" s="93" t="str">
        <f>IF(MasterSheet!$A$1=1,MasterSheet!C73,MasterSheet!B73)</f>
        <v>Porezi</v>
      </c>
      <c r="D17" s="214">
        <f>+SUM(D18:D20)</f>
        <v>52256533.369999997</v>
      </c>
      <c r="E17" s="264">
        <f t="shared" ref="E17:E76" si="1">+D17/$D$11*100</f>
        <v>1.3205431459112504</v>
      </c>
      <c r="F17" s="214">
        <f>+SUM(F18:F20)</f>
        <v>47670276.369997695</v>
      </c>
      <c r="G17" s="264">
        <f t="shared" si="0"/>
        <v>1.2046466281713761</v>
      </c>
      <c r="H17" s="215">
        <f t="shared" ref="H17:H76" si="2">+D17-F17</f>
        <v>4586257.0000023022</v>
      </c>
      <c r="I17" s="273">
        <f t="shared" ref="I17:I76" si="3">+D17/F17*100-100</f>
        <v>9.6207896182636006</v>
      </c>
      <c r="J17" s="214">
        <f>+J18+J19+J20</f>
        <v>47711638.009999998</v>
      </c>
      <c r="K17" s="264">
        <f t="shared" ref="K17:K76" si="4">+J17/$J$11*100</f>
        <v>1.2645544131990458</v>
      </c>
      <c r="L17" s="215">
        <f t="shared" ref="L17:L76" si="5">+D17-J17</f>
        <v>4544895.3599999994</v>
      </c>
      <c r="M17" s="273">
        <f t="shared" ref="M17:M76" si="6">+D17/J17*100-100</f>
        <v>9.5257583884406358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2:81" ht="15" customHeight="1">
      <c r="B18" s="80">
        <v>7111</v>
      </c>
      <c r="C18" s="97" t="str">
        <f>IF(MasterSheet!$A$1=1,MasterSheet!C74,MasterSheet!B74)</f>
        <v>Porez na dohodak fizičkih lica</v>
      </c>
      <c r="D18" s="216">
        <v>15820511.43</v>
      </c>
      <c r="E18" s="265">
        <f t="shared" si="1"/>
        <v>0.39979054457697355</v>
      </c>
      <c r="F18" s="216">
        <v>14314376.609997692</v>
      </c>
      <c r="G18" s="265">
        <f t="shared" si="0"/>
        <v>0.36172992545228166</v>
      </c>
      <c r="H18" s="217">
        <f>+D18-F18</f>
        <v>1506134.8200023081</v>
      </c>
      <c r="I18" s="274">
        <f>+D18/F18*100-100</f>
        <v>10.521833126497242</v>
      </c>
      <c r="J18" s="216">
        <v>14848682.570000002</v>
      </c>
      <c r="K18" s="265">
        <f t="shared" si="4"/>
        <v>0.39355108852372123</v>
      </c>
      <c r="L18" s="217">
        <f>+D18-J18</f>
        <v>971828.85999999754</v>
      </c>
      <c r="M18" s="274">
        <f>+D18/J18*100-100</f>
        <v>6.5448827222117387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2:81" ht="15" customHeight="1">
      <c r="B19" s="80">
        <v>7113</v>
      </c>
      <c r="C19" s="97" t="str">
        <f>IF(MasterSheet!$A$1=1,MasterSheet!C76,MasterSheet!B76)</f>
        <v>Porez na promet nepokretnosti</v>
      </c>
      <c r="D19" s="216">
        <v>5487125.2300000004</v>
      </c>
      <c r="E19" s="265">
        <f t="shared" si="1"/>
        <v>0.1386618121398969</v>
      </c>
      <c r="F19" s="216">
        <v>5529454.5599999996</v>
      </c>
      <c r="G19" s="265">
        <f t="shared" si="0"/>
        <v>0.13973149095319923</v>
      </c>
      <c r="H19" s="217">
        <f>+D19-F19</f>
        <v>-42329.329999999143</v>
      </c>
      <c r="I19" s="274">
        <f>+D19/F19*100-100</f>
        <v>-0.76552451133623833</v>
      </c>
      <c r="J19" s="216">
        <v>5447738.4899999993</v>
      </c>
      <c r="K19" s="265">
        <f t="shared" si="4"/>
        <v>0.14438745003975614</v>
      </c>
      <c r="L19" s="217">
        <f>+D19-J19</f>
        <v>39386.740000001155</v>
      </c>
      <c r="M19" s="274">
        <f>+D19/J19*100-100</f>
        <v>0.72299248710818631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2:81" ht="15" customHeight="1">
      <c r="B20" s="80">
        <v>7117</v>
      </c>
      <c r="C20" s="97" t="s">
        <v>11</v>
      </c>
      <c r="D20" s="216">
        <v>30948896.709999997</v>
      </c>
      <c r="E20" s="265">
        <f t="shared" si="1"/>
        <v>0.7820907891943798</v>
      </c>
      <c r="F20" s="216">
        <v>27826445.199999999</v>
      </c>
      <c r="G20" s="265">
        <f t="shared" si="0"/>
        <v>0.70318521176589499</v>
      </c>
      <c r="H20" s="217">
        <f>+D20-F20</f>
        <v>3122451.5099999979</v>
      </c>
      <c r="I20" s="274">
        <f>+D20/F20*100-100</f>
        <v>11.22116564856799</v>
      </c>
      <c r="J20" s="216">
        <v>27415216.949999996</v>
      </c>
      <c r="K20" s="265">
        <f t="shared" si="4"/>
        <v>0.72661587463556843</v>
      </c>
      <c r="L20" s="217">
        <f>+D20-J20</f>
        <v>3533679.7600000016</v>
      </c>
      <c r="M20" s="274">
        <f>+D20/J20*100-100</f>
        <v>12.889483116054649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</row>
    <row r="21" spans="2:81" ht="15" customHeight="1">
      <c r="B21" s="80">
        <v>713</v>
      </c>
      <c r="C21" s="93" t="str">
        <f>IF(MasterSheet!$A$1=1,MasterSheet!C86,MasterSheet!B86)</f>
        <v>Takse</v>
      </c>
      <c r="D21" s="94">
        <f>+D22+D25+D26</f>
        <v>3877870.7</v>
      </c>
      <c r="E21" s="243">
        <f t="shared" si="1"/>
        <v>9.799531739613869E-2</v>
      </c>
      <c r="F21" s="94">
        <f>+F22+F25+F26</f>
        <v>3396457.71</v>
      </c>
      <c r="G21" s="243">
        <f t="shared" si="0"/>
        <v>8.582982184372788E-2</v>
      </c>
      <c r="H21" s="203">
        <f t="shared" si="2"/>
        <v>481412.99000000022</v>
      </c>
      <c r="I21" s="256">
        <f t="shared" si="3"/>
        <v>14.173972741736279</v>
      </c>
      <c r="J21" s="94">
        <f>+J22+J25+J26</f>
        <v>3009301.5199999996</v>
      </c>
      <c r="K21" s="246">
        <f t="shared" si="4"/>
        <v>7.9758852902199834E-2</v>
      </c>
      <c r="L21" s="203">
        <f t="shared" si="5"/>
        <v>868569.18000000063</v>
      </c>
      <c r="M21" s="256">
        <f t="shared" si="6"/>
        <v>28.862816644574764</v>
      </c>
      <c r="BY21" s="81"/>
      <c r="BZ21" s="81"/>
      <c r="CA21" s="81"/>
    </row>
    <row r="22" spans="2:81" ht="15" customHeight="1">
      <c r="B22" s="80">
        <v>7131</v>
      </c>
      <c r="C22" s="97" t="str">
        <f>IF(MasterSheet!$A$1=1,MasterSheet!C87,MasterSheet!B87)</f>
        <v>Administrativne takse</v>
      </c>
      <c r="D22" s="216">
        <v>605367.87999999989</v>
      </c>
      <c r="E22" s="265">
        <f t="shared" si="1"/>
        <v>1.529788436268068E-2</v>
      </c>
      <c r="F22" s="216">
        <v>589680.87</v>
      </c>
      <c r="G22" s="265">
        <f t="shared" si="0"/>
        <v>1.4901467451733548E-2</v>
      </c>
      <c r="H22" s="217">
        <f t="shared" si="2"/>
        <v>15687.009999999893</v>
      </c>
      <c r="I22" s="274">
        <f t="shared" si="3"/>
        <v>2.6602541812149809</v>
      </c>
      <c r="J22" s="216">
        <v>622063.26</v>
      </c>
      <c r="K22" s="265">
        <f t="shared" si="4"/>
        <v>1.6487231910946195E-2</v>
      </c>
      <c r="L22" s="217">
        <f t="shared" si="5"/>
        <v>-16695.380000000121</v>
      </c>
      <c r="M22" s="274">
        <f t="shared" si="6"/>
        <v>-2.6838717335597124</v>
      </c>
      <c r="BY22" s="81"/>
      <c r="BZ22" s="81"/>
      <c r="CA22" s="81"/>
    </row>
    <row r="23" spans="2:81" ht="15" hidden="1" customHeight="1">
      <c r="B23" s="80">
        <v>7133</v>
      </c>
      <c r="C23" s="97" t="str">
        <f>IF(MasterSheet!$A$1=1,MasterSheet!C89,MasterSheet!B89)</f>
        <v>Boravišne takse</v>
      </c>
      <c r="D23" s="216">
        <v>261025.63</v>
      </c>
      <c r="E23" s="265">
        <f t="shared" si="1"/>
        <v>6.5962203072879814E-3</v>
      </c>
      <c r="F23" s="216">
        <v>820220.70900000003</v>
      </c>
      <c r="G23" s="265">
        <f t="shared" si="0"/>
        <v>2.0727299833215404E-2</v>
      </c>
      <c r="H23" s="217">
        <f t="shared" si="2"/>
        <v>-559195.07900000003</v>
      </c>
      <c r="I23" s="274">
        <f t="shared" si="3"/>
        <v>-68.176171713801494</v>
      </c>
      <c r="J23" s="216"/>
      <c r="K23" s="265">
        <f t="shared" si="4"/>
        <v>0</v>
      </c>
      <c r="L23" s="217">
        <f t="shared" si="5"/>
        <v>261025.63</v>
      </c>
      <c r="M23" s="274" t="e">
        <f t="shared" si="6"/>
        <v>#DIV/0!</v>
      </c>
      <c r="BY23" s="138"/>
      <c r="BZ23" s="138"/>
      <c r="CA23" s="138"/>
    </row>
    <row r="24" spans="2:81" ht="15" hidden="1" customHeight="1">
      <c r="B24" s="80">
        <v>7134</v>
      </c>
      <c r="C24" s="97" t="s">
        <v>434</v>
      </c>
      <c r="D24" s="216">
        <v>261025.63</v>
      </c>
      <c r="E24" s="265">
        <f t="shared" si="1"/>
        <v>6.5962203072879814E-3</v>
      </c>
      <c r="F24" s="216">
        <v>27059.120999999999</v>
      </c>
      <c r="G24" s="265">
        <f t="shared" si="0"/>
        <v>6.8379462751440409E-4</v>
      </c>
      <c r="H24" s="217">
        <f t="shared" si="2"/>
        <v>233966.50900000002</v>
      </c>
      <c r="I24" s="274">
        <f t="shared" si="3"/>
        <v>864.6493321050599</v>
      </c>
      <c r="J24" s="216"/>
      <c r="K24" s="265">
        <f t="shared" si="4"/>
        <v>0</v>
      </c>
      <c r="L24" s="217">
        <f t="shared" si="5"/>
        <v>261025.63</v>
      </c>
      <c r="M24" s="274" t="e">
        <f t="shared" si="6"/>
        <v>#DIV/0!</v>
      </c>
      <c r="BY24" s="138"/>
      <c r="BZ24" s="138"/>
      <c r="CA24" s="138"/>
    </row>
    <row r="25" spans="2:81" ht="15" customHeight="1">
      <c r="B25" s="80">
        <v>7135</v>
      </c>
      <c r="C25" s="97" t="s">
        <v>36</v>
      </c>
      <c r="D25" s="216">
        <v>3165641.14</v>
      </c>
      <c r="E25" s="265">
        <f t="shared" si="1"/>
        <v>7.9996996361063374E-2</v>
      </c>
      <c r="F25" s="216">
        <v>2675051.9</v>
      </c>
      <c r="G25" s="265">
        <f t="shared" si="0"/>
        <v>6.7599613362983924E-2</v>
      </c>
      <c r="H25" s="217">
        <f t="shared" si="2"/>
        <v>490589.24000000022</v>
      </c>
      <c r="I25" s="274">
        <f t="shared" si="3"/>
        <v>18.339428853698152</v>
      </c>
      <c r="J25" s="216">
        <v>2269469.8399999994</v>
      </c>
      <c r="K25" s="265">
        <f t="shared" si="4"/>
        <v>6.0150274052478123E-2</v>
      </c>
      <c r="L25" s="217">
        <f t="shared" si="5"/>
        <v>896171.30000000075</v>
      </c>
      <c r="M25" s="274">
        <f t="shared" si="6"/>
        <v>39.488134374149723</v>
      </c>
      <c r="BY25" s="138"/>
      <c r="BZ25" s="138"/>
      <c r="CA25" s="138"/>
    </row>
    <row r="26" spans="2:81" ht="15" customHeight="1">
      <c r="B26" s="80">
        <v>7136</v>
      </c>
      <c r="C26" s="97" t="s">
        <v>37</v>
      </c>
      <c r="D26" s="216">
        <v>106861.68000000001</v>
      </c>
      <c r="E26" s="265">
        <f t="shared" si="1"/>
        <v>2.7004366723946227E-3</v>
      </c>
      <c r="F26" s="216">
        <v>131724.94</v>
      </c>
      <c r="G26" s="265">
        <f t="shared" si="0"/>
        <v>3.3287410290104113E-3</v>
      </c>
      <c r="H26" s="217">
        <f t="shared" si="2"/>
        <v>-24863.259999999995</v>
      </c>
      <c r="I26" s="274">
        <f t="shared" si="3"/>
        <v>-18.875134807425226</v>
      </c>
      <c r="J26" s="216">
        <v>117768.42</v>
      </c>
      <c r="K26" s="265">
        <f t="shared" si="4"/>
        <v>3.1213469387755097E-3</v>
      </c>
      <c r="L26" s="217">
        <f t="shared" si="5"/>
        <v>-10906.739999999991</v>
      </c>
      <c r="M26" s="274">
        <f t="shared" si="6"/>
        <v>-9.2611754492418186</v>
      </c>
      <c r="BY26" s="138"/>
      <c r="BZ26" s="138"/>
      <c r="CA26" s="138"/>
    </row>
    <row r="27" spans="2:81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24863234.560000002</v>
      </c>
      <c r="E27" s="243">
        <f t="shared" si="1"/>
        <v>0.62830371373698579</v>
      </c>
      <c r="F27" s="94">
        <f>+SUM(F28:F32)</f>
        <v>21758302.337200001</v>
      </c>
      <c r="G27" s="243">
        <f t="shared" si="0"/>
        <v>0.54984085558475693</v>
      </c>
      <c r="H27" s="203">
        <f t="shared" si="2"/>
        <v>3104932.2228000015</v>
      </c>
      <c r="I27" s="256">
        <f t="shared" si="3"/>
        <v>14.270103313582155</v>
      </c>
      <c r="J27" s="94">
        <f>+SUM(J28:J32)</f>
        <v>21010447.060000002</v>
      </c>
      <c r="K27" s="246">
        <f t="shared" si="4"/>
        <v>0.55686316087993648</v>
      </c>
      <c r="L27" s="203">
        <f t="shared" si="5"/>
        <v>3852787.5</v>
      </c>
      <c r="M27" s="256">
        <f t="shared" si="6"/>
        <v>18.337484628468445</v>
      </c>
      <c r="BY27" s="138"/>
      <c r="BZ27" s="138"/>
      <c r="CA27" s="138"/>
    </row>
    <row r="28" spans="2:81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18">
        <v>595290.49999999988</v>
      </c>
      <c r="E28" s="266">
        <f t="shared" si="1"/>
        <v>1.5043225007581115E-2</v>
      </c>
      <c r="F28" s="154">
        <v>1449888</v>
      </c>
      <c r="G28" s="266">
        <f t="shared" si="0"/>
        <v>3.6639239866572325E-2</v>
      </c>
      <c r="H28" s="219">
        <f t="shared" si="2"/>
        <v>-854597.50000000012</v>
      </c>
      <c r="I28" s="275">
        <f t="shared" si="3"/>
        <v>-58.942311406122414</v>
      </c>
      <c r="J28" s="218">
        <v>700421.40999999992</v>
      </c>
      <c r="K28" s="266">
        <f t="shared" si="4"/>
        <v>1.8564044791942749E-2</v>
      </c>
      <c r="L28" s="219">
        <f t="shared" si="5"/>
        <v>-105130.91000000003</v>
      </c>
      <c r="M28" s="275">
        <f t="shared" si="6"/>
        <v>-15.009665395579503</v>
      </c>
      <c r="BY28" s="138"/>
      <c r="BZ28" s="138"/>
      <c r="CA28" s="138"/>
    </row>
    <row r="29" spans="2:81" ht="15" customHeight="1">
      <c r="B29" s="80">
        <v>7142</v>
      </c>
      <c r="C29" s="97" t="str">
        <f>IF(MasterSheet!$A$1=1,MasterSheet!C93,MasterSheet!B93)</f>
        <v>Naknade za korišćenje prirodnih dobara</v>
      </c>
      <c r="D29" s="220">
        <v>3358215.39</v>
      </c>
      <c r="E29" s="244">
        <f t="shared" si="1"/>
        <v>8.4863423380167807E-2</v>
      </c>
      <c r="F29" s="154">
        <v>774654</v>
      </c>
      <c r="G29" s="244">
        <f t="shared" si="0"/>
        <v>1.9575811179621955E-2</v>
      </c>
      <c r="H29" s="221">
        <f t="shared" si="2"/>
        <v>2583561.39</v>
      </c>
      <c r="I29" s="257">
        <f t="shared" si="3"/>
        <v>333.51165681710802</v>
      </c>
      <c r="J29" s="154">
        <v>3736893.7199999997</v>
      </c>
      <c r="K29" s="293">
        <f t="shared" si="4"/>
        <v>9.9043035250463818E-2</v>
      </c>
      <c r="L29" s="221">
        <f t="shared" si="5"/>
        <v>-378678.32999999961</v>
      </c>
      <c r="M29" s="257">
        <f t="shared" si="6"/>
        <v>-10.133505482730172</v>
      </c>
      <c r="BY29" s="138"/>
      <c r="BZ29" s="138"/>
      <c r="CA29" s="138"/>
    </row>
    <row r="30" spans="2:81" ht="24.75" customHeight="1">
      <c r="B30" s="80">
        <v>7146</v>
      </c>
      <c r="C30" s="155" t="s">
        <v>445</v>
      </c>
      <c r="D30" s="218">
        <v>16859620.900000002</v>
      </c>
      <c r="E30" s="244">
        <f t="shared" si="1"/>
        <v>0.42604924946932182</v>
      </c>
      <c r="F30" s="218">
        <v>15875122.34</v>
      </c>
      <c r="G30" s="244">
        <f t="shared" si="0"/>
        <v>0.40117058374608305</v>
      </c>
      <c r="H30" s="219">
        <f t="shared" si="2"/>
        <v>984498.56000000238</v>
      </c>
      <c r="I30" s="257">
        <f t="shared" si="3"/>
        <v>6.2015179405540408</v>
      </c>
      <c r="J30" s="218">
        <v>13214974.67</v>
      </c>
      <c r="K30" s="293">
        <f t="shared" si="4"/>
        <v>0.35025111767824013</v>
      </c>
      <c r="L30" s="219">
        <f t="shared" si="5"/>
        <v>3644646.2300000023</v>
      </c>
      <c r="M30" s="257">
        <f t="shared" si="6"/>
        <v>27.579668679001728</v>
      </c>
      <c r="BY30" s="138"/>
      <c r="BZ30" s="138"/>
      <c r="CA30" s="138"/>
    </row>
    <row r="31" spans="2:81" ht="38.25">
      <c r="B31" s="156">
        <v>7147</v>
      </c>
      <c r="C31" s="155" t="s">
        <v>435</v>
      </c>
      <c r="D31" s="218">
        <v>921139.80999999994</v>
      </c>
      <c r="E31" s="244">
        <f t="shared" si="1"/>
        <v>2.3277565197614473E-2</v>
      </c>
      <c r="F31" s="218">
        <v>2012168.77</v>
      </c>
      <c r="G31" s="244">
        <f t="shared" si="0"/>
        <v>5.0848296017386031E-2</v>
      </c>
      <c r="H31" s="219">
        <f t="shared" si="2"/>
        <v>-1091028.96</v>
      </c>
      <c r="I31" s="257">
        <f t="shared" si="3"/>
        <v>-54.221543255539153</v>
      </c>
      <c r="J31" s="218">
        <v>1851964.0200000003</v>
      </c>
      <c r="K31" s="293">
        <f t="shared" si="4"/>
        <v>4.9084654651470987E-2</v>
      </c>
      <c r="L31" s="221">
        <f t="shared" si="5"/>
        <v>-930824.21000000031</v>
      </c>
      <c r="M31" s="257">
        <f t="shared" si="6"/>
        <v>-50.261462962979166</v>
      </c>
      <c r="BY31" s="138"/>
      <c r="BZ31" s="138"/>
      <c r="CA31" s="138"/>
    </row>
    <row r="32" spans="2:81" ht="15" customHeight="1">
      <c r="B32" s="80">
        <v>7149</v>
      </c>
      <c r="C32" s="97" t="str">
        <f>IF(MasterSheet!$A$1=1,MasterSheet!C97,MasterSheet!B97)</f>
        <v>Ostale naknade</v>
      </c>
      <c r="D32" s="216">
        <v>3128967.96</v>
      </c>
      <c r="E32" s="265">
        <f t="shared" si="1"/>
        <v>7.9070250682300613E-2</v>
      </c>
      <c r="F32" s="216">
        <v>1646469.2272000001</v>
      </c>
      <c r="G32" s="265">
        <f t="shared" si="0"/>
        <v>4.1606924775093507E-2</v>
      </c>
      <c r="H32" s="217">
        <f t="shared" si="2"/>
        <v>1482498.7327999999</v>
      </c>
      <c r="I32" s="274">
        <f t="shared" si="3"/>
        <v>90.041083568938006</v>
      </c>
      <c r="J32" s="216">
        <v>1506193.2400000002</v>
      </c>
      <c r="K32" s="265">
        <f t="shared" si="4"/>
        <v>3.9920308507818719E-2</v>
      </c>
      <c r="L32" s="217">
        <f t="shared" si="5"/>
        <v>1622774.7199999997</v>
      </c>
      <c r="M32" s="274">
        <f t="shared" si="6"/>
        <v>107.74014096624148</v>
      </c>
      <c r="BY32" s="81"/>
      <c r="BZ32" s="81"/>
      <c r="CA32" s="81"/>
      <c r="CB32" s="81"/>
      <c r="CC32" s="81"/>
    </row>
    <row r="33" spans="1:82" ht="15" customHeight="1">
      <c r="B33" s="80">
        <v>715</v>
      </c>
      <c r="C33" s="93" t="str">
        <f>IF(MasterSheet!$A$1=1,MasterSheet!C98,MasterSheet!B98)</f>
        <v>Ostali prihodi</v>
      </c>
      <c r="D33" s="222">
        <f>+SUM(D34:D37)</f>
        <v>5429086.6900000004</v>
      </c>
      <c r="E33" s="267">
        <f t="shared" si="1"/>
        <v>0.13719515541291824</v>
      </c>
      <c r="F33" s="222">
        <f>+SUM(F34:F37)</f>
        <v>4625105.0378</v>
      </c>
      <c r="G33" s="267">
        <f t="shared" si="0"/>
        <v>0.11687822293035478</v>
      </c>
      <c r="H33" s="223">
        <f t="shared" si="2"/>
        <v>803981.65220000036</v>
      </c>
      <c r="I33" s="276">
        <f t="shared" si="3"/>
        <v>17.382992291617796</v>
      </c>
      <c r="J33" s="222">
        <f>+SUM(J34:J37)</f>
        <v>4713546.2300000004</v>
      </c>
      <c r="K33" s="267">
        <f t="shared" si="4"/>
        <v>0.12492833898754309</v>
      </c>
      <c r="L33" s="223">
        <f t="shared" si="5"/>
        <v>715540.46</v>
      </c>
      <c r="M33" s="276">
        <f t="shared" si="6"/>
        <v>15.18051218943917</v>
      </c>
      <c r="BY33" s="81"/>
      <c r="BZ33" s="81"/>
      <c r="CA33" s="81"/>
      <c r="CB33" s="81"/>
      <c r="CC33" s="81"/>
    </row>
    <row r="34" spans="1:82" ht="15" customHeight="1">
      <c r="B34" s="80">
        <v>7151</v>
      </c>
      <c r="C34" s="97" t="str">
        <f>IF(MasterSheet!$A$1=1,MasterSheet!C99,MasterSheet!B99)</f>
        <v>Prihodi od kapitala</v>
      </c>
      <c r="D34" s="216">
        <v>882592.3</v>
      </c>
      <c r="E34" s="265">
        <f t="shared" si="1"/>
        <v>2.2303454462751442E-2</v>
      </c>
      <c r="F34" s="216">
        <v>463619.46780000004</v>
      </c>
      <c r="G34" s="265">
        <f t="shared" si="0"/>
        <v>1.1715846249873648E-2</v>
      </c>
      <c r="H34" s="217">
        <f t="shared" si="2"/>
        <v>418972.8322</v>
      </c>
      <c r="I34" s="274">
        <f t="shared" si="3"/>
        <v>90.369982560943697</v>
      </c>
      <c r="J34" s="216">
        <v>1050113.8500000001</v>
      </c>
      <c r="K34" s="265">
        <f t="shared" si="4"/>
        <v>2.7832331036310626E-2</v>
      </c>
      <c r="L34" s="217">
        <f t="shared" si="5"/>
        <v>-167521.55000000005</v>
      </c>
      <c r="M34" s="274">
        <f t="shared" si="6"/>
        <v>-15.952703604471068</v>
      </c>
      <c r="BY34" s="139"/>
      <c r="BZ34" s="139"/>
      <c r="CA34" s="139"/>
      <c r="CB34" s="139"/>
      <c r="CC34" s="139"/>
      <c r="CD34" s="140"/>
    </row>
    <row r="35" spans="1:82" ht="15" customHeight="1">
      <c r="B35" s="80">
        <v>7152</v>
      </c>
      <c r="C35" s="97" t="str">
        <f>IF(MasterSheet!$A$1=1,MasterSheet!C100,MasterSheet!B100)</f>
        <v>Novčane kazne i oduzete imovinske koristi</v>
      </c>
      <c r="D35" s="216">
        <v>775974.22</v>
      </c>
      <c r="E35" s="265">
        <f t="shared" si="1"/>
        <v>1.9609173658142121E-2</v>
      </c>
      <c r="F35" s="216">
        <v>504961.58</v>
      </c>
      <c r="G35" s="265">
        <f t="shared" si="0"/>
        <v>1.276057768118872E-2</v>
      </c>
      <c r="H35" s="217">
        <f t="shared" si="2"/>
        <v>271012.63999999996</v>
      </c>
      <c r="I35" s="274">
        <f t="shared" si="3"/>
        <v>53.669952474404084</v>
      </c>
      <c r="J35" s="216">
        <v>289623.08</v>
      </c>
      <c r="K35" s="265">
        <f t="shared" si="4"/>
        <v>7.67620143122184E-3</v>
      </c>
      <c r="L35" s="217">
        <f t="shared" si="5"/>
        <v>486351.13999999996</v>
      </c>
      <c r="M35" s="274">
        <f t="shared" si="6"/>
        <v>167.92554654138752</v>
      </c>
      <c r="BY35" s="139"/>
      <c r="BZ35" s="139"/>
      <c r="CA35" s="141"/>
      <c r="CB35" s="141"/>
      <c r="CC35" s="142"/>
      <c r="CD35" s="140"/>
    </row>
    <row r="36" spans="1:82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16">
        <v>1173856.52</v>
      </c>
      <c r="E36" s="265">
        <f t="shared" si="1"/>
        <v>2.9663815829374308E-2</v>
      </c>
      <c r="F36" s="216">
        <v>1778425.23</v>
      </c>
      <c r="G36" s="265">
        <f t="shared" si="0"/>
        <v>4.4941504851915497E-2</v>
      </c>
      <c r="H36" s="217">
        <f t="shared" si="2"/>
        <v>-604568.71</v>
      </c>
      <c r="I36" s="274">
        <f t="shared" si="3"/>
        <v>-33.994609376971113</v>
      </c>
      <c r="J36" s="216">
        <v>1298984.6700000002</v>
      </c>
      <c r="K36" s="265">
        <f t="shared" si="4"/>
        <v>3.4428430161675065E-2</v>
      </c>
      <c r="L36" s="217">
        <f t="shared" si="5"/>
        <v>-125128.15000000014</v>
      </c>
      <c r="M36" s="274">
        <f t="shared" si="6"/>
        <v>-9.6327657200142482</v>
      </c>
      <c r="BY36" s="81"/>
      <c r="BZ36" s="81"/>
      <c r="CA36" s="143"/>
      <c r="CB36" s="143"/>
      <c r="CC36" s="143"/>
      <c r="CD36" s="140"/>
    </row>
    <row r="37" spans="1:82" ht="15" customHeight="1">
      <c r="B37" s="80">
        <v>7154</v>
      </c>
      <c r="C37" s="97" t="str">
        <f>IF(MasterSheet!$A$1=1,MasterSheet!C102,MasterSheet!B102)</f>
        <v>Ostali prihodi</v>
      </c>
      <c r="D37" s="216">
        <v>2596663.6500000004</v>
      </c>
      <c r="E37" s="265">
        <f t="shared" si="1"/>
        <v>6.5618711462650373E-2</v>
      </c>
      <c r="F37" s="216">
        <v>1878098.76</v>
      </c>
      <c r="G37" s="265">
        <f t="shared" si="0"/>
        <v>4.7460294147376937E-2</v>
      </c>
      <c r="H37" s="217">
        <f t="shared" si="2"/>
        <v>718564.89000000036</v>
      </c>
      <c r="I37" s="274">
        <f t="shared" si="3"/>
        <v>38.260229190503281</v>
      </c>
      <c r="J37" s="216">
        <v>2074824.6300000004</v>
      </c>
      <c r="K37" s="265">
        <f t="shared" si="4"/>
        <v>5.499137635833555E-2</v>
      </c>
      <c r="L37" s="217">
        <f t="shared" si="5"/>
        <v>521839.02</v>
      </c>
      <c r="M37" s="274">
        <f t="shared" si="6"/>
        <v>25.1509940866665</v>
      </c>
      <c r="BX37" s="100"/>
      <c r="BY37" s="100"/>
      <c r="BZ37" s="99"/>
      <c r="CA37" s="143"/>
      <c r="CB37" s="143"/>
      <c r="CC37" s="143"/>
      <c r="CD37" s="140"/>
    </row>
    <row r="38" spans="1:82">
      <c r="B38" s="80">
        <v>73</v>
      </c>
      <c r="C38" s="101" t="str">
        <f>IF(MasterSheet!$A$1=1,MasterSheet!C103,MasterSheet!B103)</f>
        <v xml:space="preserve">Primici od otplate kredita </v>
      </c>
      <c r="D38" s="222">
        <v>0</v>
      </c>
      <c r="E38" s="267">
        <f t="shared" si="1"/>
        <v>0</v>
      </c>
      <c r="F38" s="222">
        <v>0</v>
      </c>
      <c r="G38" s="267">
        <f t="shared" si="0"/>
        <v>0</v>
      </c>
      <c r="H38" s="223">
        <f t="shared" si="2"/>
        <v>0</v>
      </c>
      <c r="I38" s="274" t="e">
        <f t="shared" si="3"/>
        <v>#DIV/0!</v>
      </c>
      <c r="J38" s="222">
        <v>0</v>
      </c>
      <c r="K38" s="267">
        <f t="shared" si="4"/>
        <v>0</v>
      </c>
      <c r="L38" s="223">
        <f t="shared" si="5"/>
        <v>0</v>
      </c>
      <c r="M38" s="276" t="e">
        <f t="shared" si="6"/>
        <v>#DIV/0!</v>
      </c>
      <c r="BX38" s="100"/>
      <c r="BY38" s="100"/>
      <c r="BZ38" s="99"/>
      <c r="CA38" s="143"/>
      <c r="CB38" s="143"/>
      <c r="CC38" s="143"/>
      <c r="CD38" s="140"/>
    </row>
    <row r="39" spans="1:82" ht="13.5" customHeight="1" thickBot="1">
      <c r="B39" s="80">
        <v>74</v>
      </c>
      <c r="C39" s="93" t="s">
        <v>122</v>
      </c>
      <c r="D39" s="222">
        <v>1326800.7400000002</v>
      </c>
      <c r="E39" s="267">
        <f t="shared" si="1"/>
        <v>3.3528776407560905E-2</v>
      </c>
      <c r="F39" s="222">
        <v>2103795.34</v>
      </c>
      <c r="G39" s="267">
        <f t="shared" si="0"/>
        <v>5.3163735469523909E-2</v>
      </c>
      <c r="H39" s="223">
        <f t="shared" si="2"/>
        <v>-776994.59999999963</v>
      </c>
      <c r="I39" s="276">
        <f t="shared" si="3"/>
        <v>-36.93299368179035</v>
      </c>
      <c r="J39" s="222">
        <v>2072704.77</v>
      </c>
      <c r="K39" s="267">
        <f t="shared" si="4"/>
        <v>5.4935191359660747E-2</v>
      </c>
      <c r="L39" s="223">
        <f t="shared" si="5"/>
        <v>-745904.0299999998</v>
      </c>
      <c r="M39" s="276">
        <f t="shared" si="6"/>
        <v>-35.986988634179667</v>
      </c>
      <c r="BY39" s="144"/>
      <c r="BZ39" s="144"/>
      <c r="CA39" s="143"/>
      <c r="CB39" s="143"/>
      <c r="CC39" s="143"/>
      <c r="CD39" s="140"/>
    </row>
    <row r="40" spans="1:82" ht="15" customHeight="1" thickTop="1" thickBot="1">
      <c r="B40" s="102"/>
      <c r="C40" s="151" t="str">
        <f>IF(MasterSheet!$A$1=1,MasterSheet!C104,MasterSheet!B104)</f>
        <v>Izdaci</v>
      </c>
      <c r="D40" s="224">
        <f>+D42+D52+D55+D58+D59+D60+D61+D62+D63</f>
        <v>85885292.680000007</v>
      </c>
      <c r="E40" s="268">
        <f t="shared" si="1"/>
        <v>2.1703551167492168</v>
      </c>
      <c r="F40" s="224">
        <f>+F42+F52+F55+F58+F59+F60+F61+F62+F63</f>
        <v>77580025.08865276</v>
      </c>
      <c r="G40" s="268">
        <f t="shared" si="0"/>
        <v>1.9604777390238743</v>
      </c>
      <c r="H40" s="224">
        <f t="shared" si="2"/>
        <v>8305267.5913472474</v>
      </c>
      <c r="I40" s="268">
        <f t="shared" si="3"/>
        <v>10.705420089586966</v>
      </c>
      <c r="J40" s="224">
        <f>+J42+J52+J55+J58+J59+J60+J61+J62+J63</f>
        <v>85499872.280000001</v>
      </c>
      <c r="K40" s="294">
        <f t="shared" si="4"/>
        <v>2.266097860588391</v>
      </c>
      <c r="L40" s="224">
        <f t="shared" si="5"/>
        <v>385420.40000000596</v>
      </c>
      <c r="M40" s="268">
        <f t="shared" si="6"/>
        <v>0.45078476695006486</v>
      </c>
      <c r="BY40" s="81"/>
      <c r="BZ40" s="81"/>
      <c r="CA40" s="143"/>
      <c r="CB40" s="143"/>
      <c r="CC40" s="143"/>
      <c r="CD40" s="140"/>
    </row>
    <row r="41" spans="1:82" ht="13.5" customHeight="1" thickTop="1" thickBot="1">
      <c r="C41" s="151" t="str">
        <f>IF(MasterSheet!$A$1=1,MasterSheet!C105,MasterSheet!B105)</f>
        <v>Tekuća budžetska potrošnja</v>
      </c>
      <c r="D41" s="224">
        <f>+D40-D58</f>
        <v>71061894.840000004</v>
      </c>
      <c r="E41" s="268">
        <f t="shared" si="1"/>
        <v>1.7957620246639039</v>
      </c>
      <c r="F41" s="224">
        <f>+F40-F58</f>
        <v>68138341.254612982</v>
      </c>
      <c r="G41" s="268">
        <f t="shared" si="0"/>
        <v>1.7218826759985084</v>
      </c>
      <c r="H41" s="224">
        <f t="shared" si="2"/>
        <v>2923553.5853870213</v>
      </c>
      <c r="I41" s="268">
        <f t="shared" si="3"/>
        <v>4.2906145520369421</v>
      </c>
      <c r="J41" s="224">
        <f>+J40-J58</f>
        <v>74429949.609999999</v>
      </c>
      <c r="K41" s="294">
        <f t="shared" si="4"/>
        <v>1.972699433077127</v>
      </c>
      <c r="L41" s="224">
        <f t="shared" si="5"/>
        <v>-3368054.7699999958</v>
      </c>
      <c r="M41" s="268">
        <f t="shared" si="6"/>
        <v>-4.5251337501207729</v>
      </c>
      <c r="BY41" s="144"/>
      <c r="BZ41" s="144"/>
      <c r="CA41" s="143"/>
      <c r="CB41" s="143"/>
      <c r="CC41" s="143"/>
      <c r="CD41" s="140"/>
    </row>
    <row r="42" spans="1:82" ht="13.5" customHeight="1" thickTop="1">
      <c r="A42" s="80">
        <v>41</v>
      </c>
      <c r="C42" s="93" t="str">
        <f>+'Cental Budget'!C37</f>
        <v>Tekući izdaci</v>
      </c>
      <c r="D42" s="94">
        <f>+SUM(D43:D51)</f>
        <v>32186525.870000005</v>
      </c>
      <c r="E42" s="243">
        <f t="shared" si="1"/>
        <v>0.81336616471242318</v>
      </c>
      <c r="F42" s="94">
        <f>+SUM(F43:F51)</f>
        <v>35962687.675504386</v>
      </c>
      <c r="G42" s="243">
        <f t="shared" si="0"/>
        <v>0.90879125835197583</v>
      </c>
      <c r="H42" s="203">
        <f t="shared" si="2"/>
        <v>-3776161.8055043817</v>
      </c>
      <c r="I42" s="256">
        <f t="shared" si="3"/>
        <v>-10.500221339342431</v>
      </c>
      <c r="J42" s="94">
        <f>+SUM(J43:J51)</f>
        <v>32120964.380000003</v>
      </c>
      <c r="K42" s="246">
        <f t="shared" si="4"/>
        <v>0.85133751338457475</v>
      </c>
      <c r="L42" s="203">
        <f t="shared" si="5"/>
        <v>65561.490000002086</v>
      </c>
      <c r="M42" s="256">
        <f t="shared" si="6"/>
        <v>0.20410809969587262</v>
      </c>
      <c r="BY42" s="144"/>
      <c r="BZ42" s="144"/>
      <c r="CA42" s="143"/>
      <c r="CB42" s="143"/>
      <c r="CC42" s="143"/>
      <c r="CD42" s="140"/>
    </row>
    <row r="43" spans="1:82" ht="13.5" customHeight="1">
      <c r="B43" s="80">
        <v>411</v>
      </c>
      <c r="C43" s="93" t="str">
        <f>+'Cental Budget'!C38</f>
        <v>Bruto zarade i doprinosi na teret poslodavca</v>
      </c>
      <c r="D43" s="222">
        <v>19390254.780000005</v>
      </c>
      <c r="E43" s="267">
        <f t="shared" si="1"/>
        <v>0.48999936268068339</v>
      </c>
      <c r="F43" s="222">
        <v>19389374.605962887</v>
      </c>
      <c r="G43" s="267">
        <f t="shared" si="0"/>
        <v>0.48997712033667462</v>
      </c>
      <c r="H43" s="223">
        <f t="shared" si="2"/>
        <v>880.17403711751103</v>
      </c>
      <c r="I43" s="276">
        <f t="shared" si="3"/>
        <v>4.5394658414892319E-3</v>
      </c>
      <c r="J43" s="222">
        <v>18029955.270000003</v>
      </c>
      <c r="K43" s="267">
        <f t="shared" si="4"/>
        <v>0.47786788417704751</v>
      </c>
      <c r="L43" s="223">
        <f t="shared" si="5"/>
        <v>1360299.5100000016</v>
      </c>
      <c r="M43" s="276">
        <f t="shared" si="6"/>
        <v>7.5446638088082238</v>
      </c>
      <c r="BY43" s="144"/>
      <c r="BZ43" s="144"/>
      <c r="CA43" s="143"/>
      <c r="CB43" s="143"/>
      <c r="CC43" s="143"/>
      <c r="CD43" s="140"/>
    </row>
    <row r="44" spans="1:82" ht="13.5" customHeight="1">
      <c r="B44" s="80">
        <v>412</v>
      </c>
      <c r="C44" s="93" t="str">
        <f>+'Cental Budget'!C39</f>
        <v>Ostala lična primanja</v>
      </c>
      <c r="D44" s="222">
        <v>1118127.6700000004</v>
      </c>
      <c r="E44" s="267">
        <f t="shared" si="1"/>
        <v>2.8255525876882653E-2</v>
      </c>
      <c r="F44" s="222">
        <v>4157919.1451445692</v>
      </c>
      <c r="G44" s="267">
        <f t="shared" si="0"/>
        <v>0.10507225172204007</v>
      </c>
      <c r="H44" s="223">
        <f t="shared" si="2"/>
        <v>-3039791.4751445688</v>
      </c>
      <c r="I44" s="276">
        <f t="shared" si="3"/>
        <v>-73.108479723428502</v>
      </c>
      <c r="J44" s="222">
        <v>2492503.59</v>
      </c>
      <c r="K44" s="267">
        <f t="shared" si="4"/>
        <v>6.6061584680625493E-2</v>
      </c>
      <c r="L44" s="223">
        <f t="shared" si="5"/>
        <v>-1374375.9199999995</v>
      </c>
      <c r="M44" s="276">
        <f t="shared" si="6"/>
        <v>-55.140378754680128</v>
      </c>
      <c r="BY44" s="144"/>
      <c r="BZ44" s="144"/>
      <c r="CA44" s="143"/>
      <c r="CB44" s="143"/>
      <c r="CC44" s="143"/>
      <c r="CD44" s="140"/>
    </row>
    <row r="45" spans="1:82" ht="13.5" customHeight="1">
      <c r="B45" s="80">
        <v>413</v>
      </c>
      <c r="C45" s="93" t="str">
        <f>+'Cental Budget'!C40</f>
        <v>Rashodi za materijal</v>
      </c>
      <c r="D45" s="222">
        <v>3429156.9199999995</v>
      </c>
      <c r="E45" s="267">
        <f t="shared" si="1"/>
        <v>8.6656143737996558E-2</v>
      </c>
      <c r="F45" s="222">
        <v>3153075.62</v>
      </c>
      <c r="G45" s="267">
        <f t="shared" si="0"/>
        <v>7.9679460729808957E-2</v>
      </c>
      <c r="H45" s="223">
        <f t="shared" si="2"/>
        <v>276081.29999999935</v>
      </c>
      <c r="I45" s="276">
        <f t="shared" si="3"/>
        <v>8.7559365290452291</v>
      </c>
      <c r="J45" s="222">
        <v>3090915.5300000007</v>
      </c>
      <c r="K45" s="267">
        <f t="shared" si="4"/>
        <v>8.1921959448714582E-2</v>
      </c>
      <c r="L45" s="223">
        <f t="shared" si="5"/>
        <v>338241.38999999873</v>
      </c>
      <c r="M45" s="276">
        <f t="shared" si="6"/>
        <v>10.943080997105042</v>
      </c>
      <c r="BY45" s="144"/>
      <c r="BZ45" s="144"/>
      <c r="CA45" s="143"/>
      <c r="CB45" s="143"/>
      <c r="CC45" s="143"/>
      <c r="CD45" s="140"/>
    </row>
    <row r="46" spans="1:82" ht="13.5" customHeight="1">
      <c r="B46" s="80">
        <v>414</v>
      </c>
      <c r="C46" s="93" t="str">
        <f>+'Cental Budget'!C41</f>
        <v>Rashodi za usluge</v>
      </c>
      <c r="D46" s="94">
        <v>2551581.06</v>
      </c>
      <c r="E46" s="243">
        <f t="shared" si="1"/>
        <v>6.4479456686546047E-2</v>
      </c>
      <c r="F46" s="222">
        <v>3173075</v>
      </c>
      <c r="G46" s="243">
        <f t="shared" si="0"/>
        <v>8.0184852926311528E-2</v>
      </c>
      <c r="H46" s="203">
        <f t="shared" si="2"/>
        <v>-621493.93999999994</v>
      </c>
      <c r="I46" s="276">
        <f t="shared" si="3"/>
        <v>-19.586487555446993</v>
      </c>
      <c r="J46" s="152">
        <v>3122041.5100000002</v>
      </c>
      <c r="K46" s="246">
        <f t="shared" si="4"/>
        <v>8.2746925788497225E-2</v>
      </c>
      <c r="L46" s="203">
        <f t="shared" si="5"/>
        <v>-570460.45000000019</v>
      </c>
      <c r="M46" s="256">
        <f t="shared" si="6"/>
        <v>-18.272032840460213</v>
      </c>
      <c r="BY46" s="144"/>
      <c r="BZ46" s="144"/>
      <c r="CA46" s="143"/>
      <c r="CB46" s="143"/>
      <c r="CC46" s="143"/>
      <c r="CD46" s="140"/>
    </row>
    <row r="47" spans="1:82" ht="13.5" customHeight="1">
      <c r="B47" s="80">
        <v>415</v>
      </c>
      <c r="C47" s="93" t="str">
        <f>+'Cental Budget'!C42</f>
        <v>Rashodi za tekuće održavanje</v>
      </c>
      <c r="D47" s="222">
        <v>2035853.7</v>
      </c>
      <c r="E47" s="267">
        <f t="shared" si="1"/>
        <v>5.1446823511573841E-2</v>
      </c>
      <c r="F47" s="222">
        <v>1700169.434656529</v>
      </c>
      <c r="G47" s="267">
        <f t="shared" si="0"/>
        <v>4.2963950132834557E-2</v>
      </c>
      <c r="H47" s="223">
        <f t="shared" si="2"/>
        <v>335684.26534347096</v>
      </c>
      <c r="I47" s="276">
        <f t="shared" si="3"/>
        <v>19.744165404978389</v>
      </c>
      <c r="J47" s="222">
        <v>1919878.8200000003</v>
      </c>
      <c r="K47" s="267">
        <f t="shared" si="4"/>
        <v>5.0884675854757498E-2</v>
      </c>
      <c r="L47" s="223">
        <f t="shared" si="5"/>
        <v>115974.87999999966</v>
      </c>
      <c r="M47" s="276">
        <f t="shared" si="6"/>
        <v>6.0407395920957043</v>
      </c>
      <c r="BY47" s="144"/>
      <c r="BZ47" s="144"/>
      <c r="CA47" s="143"/>
      <c r="CB47" s="143"/>
      <c r="CC47" s="143"/>
      <c r="CD47" s="140"/>
    </row>
    <row r="48" spans="1:82" ht="13.5" customHeight="1">
      <c r="B48" s="80">
        <v>416</v>
      </c>
      <c r="C48" s="93" t="str">
        <f>+'Cental Budget'!C43</f>
        <v>Kamate</v>
      </c>
      <c r="D48" s="222">
        <v>1548734.74</v>
      </c>
      <c r="E48" s="267">
        <f t="shared" si="1"/>
        <v>3.9137135853633882E-2</v>
      </c>
      <c r="F48" s="222">
        <v>2515415.6790515408</v>
      </c>
      <c r="G48" s="267">
        <f t="shared" si="0"/>
        <v>6.3565543289486021E-2</v>
      </c>
      <c r="H48" s="223">
        <f t="shared" si="2"/>
        <v>-966680.9390515408</v>
      </c>
      <c r="I48" s="276">
        <f t="shared" si="3"/>
        <v>-38.43026610281909</v>
      </c>
      <c r="J48" s="222">
        <v>1718836.81</v>
      </c>
      <c r="K48" s="267">
        <f t="shared" si="4"/>
        <v>4.5556236681685666E-2</v>
      </c>
      <c r="L48" s="223">
        <f t="shared" si="5"/>
        <v>-170102.07000000007</v>
      </c>
      <c r="M48" s="276">
        <f t="shared" si="6"/>
        <v>-9.8963478679514765</v>
      </c>
      <c r="BY48" s="144"/>
      <c r="BZ48" s="144"/>
      <c r="CA48" s="143"/>
      <c r="CB48" s="143"/>
      <c r="CC48" s="143"/>
      <c r="CD48" s="140"/>
    </row>
    <row r="49" spans="1:82" ht="13.5" customHeight="1">
      <c r="B49" s="80">
        <v>417</v>
      </c>
      <c r="C49" s="93" t="str">
        <f>+'Cental Budget'!C44</f>
        <v>Renta</v>
      </c>
      <c r="D49" s="222">
        <v>208404.48000000004</v>
      </c>
      <c r="E49" s="267">
        <f t="shared" si="1"/>
        <v>5.266463155766705E-3</v>
      </c>
      <c r="F49" s="222">
        <v>252313.78161413013</v>
      </c>
      <c r="G49" s="267">
        <f t="shared" si="0"/>
        <v>6.376068473014509E-3</v>
      </c>
      <c r="H49" s="223">
        <f t="shared" si="2"/>
        <v>-43909.30161413009</v>
      </c>
      <c r="I49" s="276">
        <f t="shared" si="3"/>
        <v>-17.40265685577242</v>
      </c>
      <c r="J49" s="222">
        <v>208697.58999999997</v>
      </c>
      <c r="K49" s="267">
        <f t="shared" si="4"/>
        <v>5.5313434932414514E-3</v>
      </c>
      <c r="L49" s="223">
        <f t="shared" si="5"/>
        <v>-293.10999999992782</v>
      </c>
      <c r="M49" s="276">
        <f t="shared" si="6"/>
        <v>-0.14044723755550592</v>
      </c>
      <c r="BY49" s="144"/>
      <c r="BZ49" s="144"/>
      <c r="CA49" s="143"/>
      <c r="CB49" s="143"/>
      <c r="CC49" s="143"/>
      <c r="CD49" s="140"/>
    </row>
    <row r="50" spans="1:82" ht="13.5" customHeight="1">
      <c r="B50" s="80">
        <v>418</v>
      </c>
      <c r="C50" s="93" t="str">
        <f>+'Cental Budget'!C45</f>
        <v>Subvencije</v>
      </c>
      <c r="D50" s="222">
        <v>471177.76</v>
      </c>
      <c r="E50" s="267">
        <f t="shared" si="1"/>
        <v>1.1906847265743455E-2</v>
      </c>
      <c r="F50" s="222">
        <v>425494.52400684508</v>
      </c>
      <c r="G50" s="267">
        <f t="shared" si="0"/>
        <v>1.0752413929213714E-2</v>
      </c>
      <c r="H50" s="223">
        <f t="shared" si="2"/>
        <v>45683.235993154929</v>
      </c>
      <c r="I50" s="276">
        <f t="shared" si="3"/>
        <v>10.736503859781749</v>
      </c>
      <c r="J50" s="222">
        <v>311647.09000000003</v>
      </c>
      <c r="K50" s="267">
        <f t="shared" si="4"/>
        <v>8.2599281738669501E-3</v>
      </c>
      <c r="L50" s="223">
        <f t="shared" si="5"/>
        <v>159530.66999999998</v>
      </c>
      <c r="M50" s="276">
        <f t="shared" si="6"/>
        <v>51.189526589194202</v>
      </c>
      <c r="BY50" s="144"/>
      <c r="BZ50" s="144"/>
      <c r="CA50" s="143"/>
      <c r="CB50" s="143"/>
      <c r="CC50" s="143"/>
      <c r="CD50" s="140"/>
    </row>
    <row r="51" spans="1:82" ht="13.5" customHeight="1">
      <c r="B51" s="80">
        <v>419</v>
      </c>
      <c r="C51" s="93" t="str">
        <f>+'Cental Budget'!C46</f>
        <v>Ostali izdaci</v>
      </c>
      <c r="D51" s="222">
        <v>1433234.76</v>
      </c>
      <c r="E51" s="267">
        <f t="shared" si="1"/>
        <v>3.6218405943596481E-2</v>
      </c>
      <c r="F51" s="222">
        <v>1195849.8850678804</v>
      </c>
      <c r="G51" s="267">
        <f t="shared" si="0"/>
        <v>3.0219596812591745E-2</v>
      </c>
      <c r="H51" s="223">
        <f t="shared" si="2"/>
        <v>237384.87493211962</v>
      </c>
      <c r="I51" s="276">
        <f t="shared" si="3"/>
        <v>19.850725237026296</v>
      </c>
      <c r="J51" s="222">
        <v>1226488.17</v>
      </c>
      <c r="K51" s="267">
        <f t="shared" si="4"/>
        <v>3.2506975086138347E-2</v>
      </c>
      <c r="L51" s="223">
        <f t="shared" si="5"/>
        <v>206746.59000000008</v>
      </c>
      <c r="M51" s="276">
        <f t="shared" si="6"/>
        <v>16.856794468714682</v>
      </c>
      <c r="BY51" s="144"/>
      <c r="BZ51" s="144"/>
      <c r="CA51" s="143"/>
      <c r="CB51" s="143"/>
      <c r="CC51" s="143"/>
      <c r="CD51" s="140"/>
    </row>
    <row r="52" spans="1:82" ht="13.5" customHeight="1">
      <c r="A52" s="80">
        <v>42</v>
      </c>
      <c r="B52" s="80" t="s">
        <v>427</v>
      </c>
      <c r="C52" s="93" t="str">
        <f>+'Cental Budget'!C48</f>
        <v>Transferi za socijalnu zaštitu</v>
      </c>
      <c r="D52" s="222">
        <f>+D53</f>
        <v>119064.53</v>
      </c>
      <c r="E52" s="267">
        <f t="shared" si="1"/>
        <v>3.0088074901445465E-3</v>
      </c>
      <c r="F52" s="222">
        <f>+F53</f>
        <v>2155866.2819776144</v>
      </c>
      <c r="G52" s="267">
        <f t="shared" si="0"/>
        <v>5.4479588647973677E-2</v>
      </c>
      <c r="H52" s="223">
        <f t="shared" si="2"/>
        <v>-2036801.7519776144</v>
      </c>
      <c r="I52" s="276">
        <f t="shared" si="3"/>
        <v>-94.477183905358913</v>
      </c>
      <c r="J52" s="222">
        <f>+J53</f>
        <v>721000.5</v>
      </c>
      <c r="K52" s="267">
        <f t="shared" si="4"/>
        <v>1.910947521865889E-2</v>
      </c>
      <c r="L52" s="223">
        <f t="shared" si="5"/>
        <v>-601935.97</v>
      </c>
      <c r="M52" s="276">
        <f t="shared" si="6"/>
        <v>-83.486207013726073</v>
      </c>
      <c r="BY52" s="144"/>
      <c r="BZ52" s="144"/>
      <c r="CA52" s="143"/>
      <c r="CB52" s="143"/>
      <c r="CC52" s="143"/>
      <c r="CD52" s="140"/>
    </row>
    <row r="53" spans="1:82" ht="13.5" customHeight="1">
      <c r="B53" s="80">
        <v>421</v>
      </c>
      <c r="C53" s="97" t="s">
        <v>88</v>
      </c>
      <c r="D53" s="216">
        <v>119064.53</v>
      </c>
      <c r="E53" s="265">
        <f>+D53/$D$11*100</f>
        <v>3.0088074901445465E-3</v>
      </c>
      <c r="F53" s="216">
        <v>2155866.2819776144</v>
      </c>
      <c r="G53" s="265">
        <f t="shared" si="0"/>
        <v>5.4479588647973677E-2</v>
      </c>
      <c r="H53" s="217">
        <f>+D53-F53</f>
        <v>-2036801.7519776144</v>
      </c>
      <c r="I53" s="274">
        <f>+D53/F53*100-100</f>
        <v>-94.477183905358913</v>
      </c>
      <c r="J53" s="216">
        <v>721000.5</v>
      </c>
      <c r="K53" s="265">
        <f t="shared" si="4"/>
        <v>1.910947521865889E-2</v>
      </c>
      <c r="L53" s="217">
        <f>+D53-J53</f>
        <v>-601935.97</v>
      </c>
      <c r="M53" s="274">
        <f>+D53/J53*100-100</f>
        <v>-83.486207013726073</v>
      </c>
      <c r="BY53" s="144"/>
      <c r="BZ53" s="144"/>
      <c r="CA53" s="143"/>
      <c r="CB53" s="143"/>
      <c r="CC53" s="143"/>
      <c r="CD53" s="140"/>
    </row>
    <row r="54" spans="1:82" ht="13.5" hidden="1" customHeight="1">
      <c r="B54" s="80">
        <v>422</v>
      </c>
      <c r="C54" s="97" t="s">
        <v>90</v>
      </c>
      <c r="D54" s="216"/>
      <c r="E54" s="265">
        <f t="shared" si="1"/>
        <v>0</v>
      </c>
      <c r="F54" s="216">
        <v>0</v>
      </c>
      <c r="G54" s="265">
        <f t="shared" si="0"/>
        <v>0</v>
      </c>
      <c r="H54" s="217">
        <f t="shared" si="2"/>
        <v>0</v>
      </c>
      <c r="I54" s="274" t="e">
        <f t="shared" si="3"/>
        <v>#DIV/0!</v>
      </c>
      <c r="J54" s="216"/>
      <c r="K54" s="265">
        <f t="shared" si="4"/>
        <v>0</v>
      </c>
      <c r="L54" s="217">
        <f t="shared" si="5"/>
        <v>0</v>
      </c>
      <c r="M54" s="274" t="e">
        <f t="shared" si="6"/>
        <v>#DIV/0!</v>
      </c>
      <c r="BY54" s="144"/>
      <c r="BZ54" s="144"/>
      <c r="CA54" s="143"/>
      <c r="CB54" s="143"/>
      <c r="CC54" s="143"/>
      <c r="CD54" s="140"/>
    </row>
    <row r="55" spans="1:82" ht="13.5" customHeight="1">
      <c r="A55" s="80">
        <v>43</v>
      </c>
      <c r="C55" s="93" t="str">
        <f>+'Cental Budget'!C54</f>
        <v xml:space="preserve">Transferi institucijama, pojedincima, nevladinom i javnom sektoru </v>
      </c>
      <c r="D55" s="94">
        <f>+SUM(D56:D57)</f>
        <v>18799431.16</v>
      </c>
      <c r="E55" s="243">
        <f t="shared" si="1"/>
        <v>0.47506901748711211</v>
      </c>
      <c r="F55" s="94">
        <f>+SUM(F56:F57)</f>
        <v>6157462.6217999998</v>
      </c>
      <c r="G55" s="243">
        <f t="shared" si="0"/>
        <v>0.15560150161225109</v>
      </c>
      <c r="H55" s="203">
        <f t="shared" si="2"/>
        <v>12641968.5382</v>
      </c>
      <c r="I55" s="256">
        <f t="shared" si="3"/>
        <v>205.31133219456552</v>
      </c>
      <c r="J55" s="152">
        <f>+J56+J57</f>
        <v>18035121.219999999</v>
      </c>
      <c r="K55" s="246">
        <f t="shared" si="4"/>
        <v>0.47800480307447657</v>
      </c>
      <c r="L55" s="203">
        <f t="shared" si="5"/>
        <v>764309.94000000134</v>
      </c>
      <c r="M55" s="256">
        <f t="shared" si="6"/>
        <v>4.2378974373203704</v>
      </c>
      <c r="BY55" s="144"/>
      <c r="BZ55" s="144"/>
      <c r="CA55" s="143"/>
      <c r="CB55" s="143"/>
      <c r="CC55" s="143"/>
      <c r="CD55" s="140"/>
    </row>
    <row r="56" spans="1:82" ht="13.5" customHeight="1">
      <c r="A56" s="80" t="s">
        <v>427</v>
      </c>
      <c r="B56" s="80">
        <v>431</v>
      </c>
      <c r="C56" s="97" t="s">
        <v>432</v>
      </c>
      <c r="D56" s="216">
        <v>10203249.870000001</v>
      </c>
      <c r="E56" s="265">
        <f t="shared" si="1"/>
        <v>0.25784013620741941</v>
      </c>
      <c r="F56" s="216">
        <v>3263921.4504000004</v>
      </c>
      <c r="G56" s="265">
        <f t="shared" si="0"/>
        <v>8.248057844940869E-2</v>
      </c>
      <c r="H56" s="216">
        <f t="shared" si="2"/>
        <v>6939328.4196000006</v>
      </c>
      <c r="I56" s="265">
        <f t="shared" si="3"/>
        <v>212.60709012312697</v>
      </c>
      <c r="J56" s="216">
        <v>9420234.5600000005</v>
      </c>
      <c r="K56" s="265">
        <f t="shared" si="4"/>
        <v>0.24967491545189505</v>
      </c>
      <c r="L56" s="216">
        <f t="shared" si="5"/>
        <v>783015.31000000052</v>
      </c>
      <c r="M56" s="265">
        <f t="shared" si="6"/>
        <v>8.3120574653716517</v>
      </c>
      <c r="BY56" s="144"/>
      <c r="BZ56" s="144"/>
      <c r="CA56" s="143"/>
      <c r="CB56" s="143"/>
      <c r="CC56" s="143"/>
      <c r="CD56" s="140"/>
    </row>
    <row r="57" spans="1:82" s="237" customFormat="1" ht="13.5" customHeight="1" thickBot="1">
      <c r="A57" s="237" t="s">
        <v>427</v>
      </c>
      <c r="B57" s="237">
        <v>432</v>
      </c>
      <c r="C57" s="238" t="s">
        <v>433</v>
      </c>
      <c r="D57" s="220">
        <v>8596181.2899999991</v>
      </c>
      <c r="E57" s="244">
        <f t="shared" si="1"/>
        <v>0.2172288812796927</v>
      </c>
      <c r="F57" s="154">
        <v>2893541.1713999994</v>
      </c>
      <c r="G57" s="244">
        <f t="shared" si="0"/>
        <v>7.3120923162842411E-2</v>
      </c>
      <c r="H57" s="220">
        <f t="shared" si="2"/>
        <v>5702640.1185999997</v>
      </c>
      <c r="I57" s="244">
        <f t="shared" si="3"/>
        <v>197.08169957854295</v>
      </c>
      <c r="J57" s="154">
        <v>8614886.6600000001</v>
      </c>
      <c r="K57" s="293">
        <f t="shared" si="4"/>
        <v>0.2283298876225815</v>
      </c>
      <c r="L57" s="220">
        <f t="shared" si="5"/>
        <v>-18705.370000001043</v>
      </c>
      <c r="M57" s="244">
        <f t="shared" si="6"/>
        <v>-0.21712845146126369</v>
      </c>
      <c r="BY57" s="239"/>
      <c r="BZ57" s="239"/>
      <c r="CA57" s="240"/>
      <c r="CB57" s="240"/>
      <c r="CC57" s="240"/>
      <c r="CD57" s="241"/>
    </row>
    <row r="58" spans="1:82" ht="13.5" customHeight="1" thickTop="1" thickBot="1">
      <c r="B58" s="80">
        <v>44</v>
      </c>
      <c r="C58" s="151" t="str">
        <f>+'Cental Budget'!C57</f>
        <v>Kapitalni budžet</v>
      </c>
      <c r="D58" s="224">
        <v>14823397.84</v>
      </c>
      <c r="E58" s="268">
        <f t="shared" si="1"/>
        <v>0.37459309208531283</v>
      </c>
      <c r="F58" s="225">
        <v>9441683.8340397812</v>
      </c>
      <c r="G58" s="268">
        <f t="shared" si="0"/>
        <v>0.23859506302536596</v>
      </c>
      <c r="H58" s="224">
        <f t="shared" si="2"/>
        <v>5381714.0059602186</v>
      </c>
      <c r="I58" s="268">
        <f t="shared" si="3"/>
        <v>56.999515134765545</v>
      </c>
      <c r="J58" s="225">
        <v>11069922.669999998</v>
      </c>
      <c r="K58" s="294">
        <f t="shared" si="4"/>
        <v>0.29339842751126421</v>
      </c>
      <c r="L58" s="224">
        <f t="shared" si="5"/>
        <v>3753475.1700000018</v>
      </c>
      <c r="M58" s="268">
        <f t="shared" si="6"/>
        <v>33.906968295018828</v>
      </c>
      <c r="BY58" s="144"/>
      <c r="BZ58" s="144"/>
      <c r="CA58" s="143"/>
      <c r="CB58" s="143"/>
      <c r="CC58" s="143"/>
      <c r="CD58" s="140"/>
    </row>
    <row r="59" spans="1:82" ht="13.5" customHeight="1" thickTop="1">
      <c r="B59" s="80">
        <v>451</v>
      </c>
      <c r="C59" s="93" t="str">
        <f>+'Cental Budget'!C58</f>
        <v>Pozajmice i krediti</v>
      </c>
      <c r="D59" s="222">
        <v>348381.22</v>
      </c>
      <c r="E59" s="267">
        <f t="shared" si="1"/>
        <v>8.8037304154452642E-3</v>
      </c>
      <c r="F59" s="222">
        <v>229298.62405962011</v>
      </c>
      <c r="G59" s="267">
        <f t="shared" si="0"/>
        <v>5.7944663918836582E-3</v>
      </c>
      <c r="H59" s="223">
        <f t="shared" si="2"/>
        <v>119082.59594037986</v>
      </c>
      <c r="I59" s="276">
        <f t="shared" si="3"/>
        <v>51.933410603204123</v>
      </c>
      <c r="J59" s="222">
        <v>261498.18</v>
      </c>
      <c r="K59" s="267">
        <f t="shared" si="4"/>
        <v>6.9307760402862444E-3</v>
      </c>
      <c r="L59" s="223">
        <f t="shared" si="5"/>
        <v>86883.039999999979</v>
      </c>
      <c r="M59" s="276">
        <f t="shared" si="6"/>
        <v>33.225103134560982</v>
      </c>
      <c r="BY59" s="144"/>
      <c r="BZ59" s="144"/>
      <c r="CA59" s="143"/>
      <c r="CB59" s="143"/>
      <c r="CC59" s="143"/>
      <c r="CD59" s="140"/>
    </row>
    <row r="60" spans="1:82" ht="13.5" customHeight="1" thickBot="1">
      <c r="B60" s="80">
        <v>47</v>
      </c>
      <c r="C60" s="93" t="str">
        <f>+'Cental Budget'!C59</f>
        <v>Rezerve</v>
      </c>
      <c r="D60" s="226">
        <v>770786.65</v>
      </c>
      <c r="E60" s="269">
        <f t="shared" si="1"/>
        <v>1.9478081724451635E-2</v>
      </c>
      <c r="F60" s="226">
        <v>762539.90292232903</v>
      </c>
      <c r="G60" s="269">
        <f t="shared" si="0"/>
        <v>1.9269683183117583E-2</v>
      </c>
      <c r="H60" s="227">
        <f t="shared" si="2"/>
        <v>8246.7470776709961</v>
      </c>
      <c r="I60" s="277">
        <f t="shared" si="3"/>
        <v>1.0814840044522924</v>
      </c>
      <c r="J60" s="226">
        <v>781214.35999999987</v>
      </c>
      <c r="K60" s="269">
        <f t="shared" si="4"/>
        <v>2.0705389875430687E-2</v>
      </c>
      <c r="L60" s="227">
        <f t="shared" si="5"/>
        <v>-10427.709999999846</v>
      </c>
      <c r="M60" s="277">
        <f t="shared" si="6"/>
        <v>-1.3348077728627317</v>
      </c>
      <c r="BY60" s="144"/>
      <c r="BZ60" s="144"/>
      <c r="CA60" s="143"/>
      <c r="CB60" s="143"/>
      <c r="CC60" s="143"/>
      <c r="CD60" s="140"/>
    </row>
    <row r="61" spans="1:82" ht="13.5" customHeight="1" thickTop="1" thickBot="1">
      <c r="B61" s="80">
        <v>462</v>
      </c>
      <c r="C61" s="195" t="s">
        <v>112</v>
      </c>
      <c r="D61" s="228">
        <v>0</v>
      </c>
      <c r="E61" s="270">
        <f t="shared" si="1"/>
        <v>0</v>
      </c>
      <c r="F61" s="228">
        <v>0</v>
      </c>
      <c r="G61" s="270">
        <f t="shared" si="0"/>
        <v>0</v>
      </c>
      <c r="H61" s="229">
        <f t="shared" si="2"/>
        <v>0</v>
      </c>
      <c r="I61" s="277" t="e">
        <f t="shared" si="3"/>
        <v>#DIV/0!</v>
      </c>
      <c r="J61" s="228">
        <v>0</v>
      </c>
      <c r="K61" s="270">
        <f t="shared" si="4"/>
        <v>0</v>
      </c>
      <c r="L61" s="229">
        <f t="shared" si="5"/>
        <v>0</v>
      </c>
      <c r="M61" s="278" t="e">
        <f t="shared" si="6"/>
        <v>#DIV/0!</v>
      </c>
      <c r="BY61" s="144"/>
      <c r="BZ61" s="144"/>
      <c r="CA61" s="143"/>
      <c r="CB61" s="143"/>
      <c r="CC61" s="143"/>
      <c r="CD61" s="140"/>
    </row>
    <row r="62" spans="1:82" ht="13.5" customHeight="1" thickTop="1" thickBot="1">
      <c r="B62" s="80" t="s">
        <v>451</v>
      </c>
      <c r="C62" s="195" t="s">
        <v>449</v>
      </c>
      <c r="D62" s="222">
        <v>18837705.409999996</v>
      </c>
      <c r="E62" s="267">
        <v>0.35700057584158418</v>
      </c>
      <c r="F62" s="222">
        <v>22870486.148349036</v>
      </c>
      <c r="G62" s="267">
        <v>0.29042904290429045</v>
      </c>
      <c r="H62" s="223">
        <v>2521396.8100000005</v>
      </c>
      <c r="I62" s="276">
        <v>22.921789181818198</v>
      </c>
      <c r="J62" s="222">
        <v>22510150.970000003</v>
      </c>
      <c r="K62" s="267">
        <v>0.30767367454798328</v>
      </c>
      <c r="L62" s="223">
        <v>2460528.2100000009</v>
      </c>
      <c r="M62" s="276">
        <v>22.245343462447437</v>
      </c>
      <c r="BY62" s="144"/>
      <c r="BZ62" s="144"/>
      <c r="CA62" s="143"/>
      <c r="CB62" s="143"/>
      <c r="CC62" s="143"/>
      <c r="CD62" s="140"/>
    </row>
    <row r="63" spans="1:82" ht="13.5" customHeight="1" thickTop="1" thickBot="1">
      <c r="B63" s="80">
        <v>990</v>
      </c>
      <c r="C63" s="196" t="s">
        <v>151</v>
      </c>
      <c r="D63" s="230">
        <v>0</v>
      </c>
      <c r="E63" s="271">
        <f t="shared" si="1"/>
        <v>0</v>
      </c>
      <c r="F63" s="230">
        <v>0</v>
      </c>
      <c r="G63" s="271">
        <f t="shared" si="0"/>
        <v>0</v>
      </c>
      <c r="H63" s="231">
        <f t="shared" si="2"/>
        <v>0</v>
      </c>
      <c r="I63" s="279"/>
      <c r="J63" s="231">
        <v>0</v>
      </c>
      <c r="K63" s="271">
        <f t="shared" si="4"/>
        <v>0</v>
      </c>
      <c r="L63" s="231">
        <f t="shared" si="5"/>
        <v>0</v>
      </c>
      <c r="M63" s="279"/>
      <c r="BY63" s="144"/>
      <c r="BZ63" s="144"/>
      <c r="CA63" s="143"/>
      <c r="CB63" s="143"/>
      <c r="CC63" s="143"/>
      <c r="CD63" s="140"/>
    </row>
    <row r="64" spans="1:82" ht="13.5" customHeight="1" thickTop="1" thickBot="1">
      <c r="C64" s="151" t="str">
        <f>+'Cental Budget'!C63</f>
        <v>Suficit / deficit</v>
      </c>
      <c r="D64" s="224">
        <f>+D16-D40</f>
        <v>1868233.3799999803</v>
      </c>
      <c r="E64" s="268">
        <f t="shared" si="1"/>
        <v>4.721099211563682E-2</v>
      </c>
      <c r="F64" s="224">
        <f>+F16-F40</f>
        <v>1973911.7063449472</v>
      </c>
      <c r="G64" s="268">
        <f t="shared" si="0"/>
        <v>4.9881524975865441E-2</v>
      </c>
      <c r="H64" s="224">
        <f>+D64-F64</f>
        <v>-105678.32634496689</v>
      </c>
      <c r="I64" s="268">
        <f t="shared" si="3"/>
        <v>-5.3537514370715797</v>
      </c>
      <c r="J64" s="224">
        <f>+J16-J40</f>
        <v>-6982234.6899999976</v>
      </c>
      <c r="K64" s="294">
        <f t="shared" si="4"/>
        <v>-0.18505790326000524</v>
      </c>
      <c r="L64" s="224">
        <f t="shared" si="5"/>
        <v>8850468.0699999779</v>
      </c>
      <c r="M64" s="268">
        <f t="shared" si="6"/>
        <v>-126.75695479952395</v>
      </c>
      <c r="BY64" s="144"/>
      <c r="BZ64" s="144"/>
      <c r="CA64" s="143"/>
      <c r="CB64" s="143"/>
      <c r="CC64" s="143"/>
      <c r="CD64" s="140"/>
    </row>
    <row r="65" spans="2:82" ht="13.5" customHeight="1" thickTop="1" thickBot="1">
      <c r="C65" s="151" t="str">
        <f>+'Cental Budget'!C64</f>
        <v>Primarni bilans</v>
      </c>
      <c r="D65" s="224">
        <f>+D64+D48</f>
        <v>3416968.1199999806</v>
      </c>
      <c r="E65" s="268">
        <f t="shared" si="1"/>
        <v>8.6348127969270702E-2</v>
      </c>
      <c r="F65" s="224">
        <f>+F64+F48</f>
        <v>4489327.385396488</v>
      </c>
      <c r="G65" s="268">
        <f t="shared" si="0"/>
        <v>0.11344706826535148</v>
      </c>
      <c r="H65" s="224">
        <f t="shared" si="2"/>
        <v>-1072359.2653965075</v>
      </c>
      <c r="I65" s="268">
        <f t="shared" si="3"/>
        <v>-23.886858171333813</v>
      </c>
      <c r="J65" s="224">
        <f>+J64+J48</f>
        <v>-5263397.8799999971</v>
      </c>
      <c r="K65" s="294">
        <f t="shared" si="4"/>
        <v>-0.13950166657831958</v>
      </c>
      <c r="L65" s="224">
        <f t="shared" si="5"/>
        <v>8680365.9999999776</v>
      </c>
      <c r="M65" s="268">
        <f t="shared" si="6"/>
        <v>-164.91943413557749</v>
      </c>
      <c r="BY65" s="144"/>
      <c r="BZ65" s="144"/>
      <c r="CA65" s="143"/>
      <c r="CB65" s="143"/>
      <c r="CC65" s="143"/>
      <c r="CD65" s="140"/>
    </row>
    <row r="66" spans="2:82" ht="13.5" customHeight="1" thickTop="1" thickBot="1">
      <c r="C66" s="151" t="str">
        <f>+'Cental Budget'!C65</f>
        <v>Otplata dugova</v>
      </c>
      <c r="D66" s="224">
        <f>+SUM(D67:D68)</f>
        <v>6142686.1500000004</v>
      </c>
      <c r="E66" s="268">
        <f t="shared" si="1"/>
        <v>0.15522809435964824</v>
      </c>
      <c r="F66" s="224">
        <f>+SUM(F67:F68)</f>
        <v>18383548.338672422</v>
      </c>
      <c r="G66" s="268">
        <f t="shared" si="0"/>
        <v>0.46455949506399535</v>
      </c>
      <c r="H66" s="224">
        <f t="shared" si="2"/>
        <v>-12240862.188672422</v>
      </c>
      <c r="I66" s="268">
        <f t="shared" si="3"/>
        <v>-66.585960246434126</v>
      </c>
      <c r="J66" s="224">
        <f>+SUM(J67:J68)</f>
        <v>9568388.6799999997</v>
      </c>
      <c r="K66" s="294">
        <f t="shared" si="4"/>
        <v>0.25360160826928174</v>
      </c>
      <c r="L66" s="224">
        <f t="shared" si="5"/>
        <v>-3425702.5299999993</v>
      </c>
      <c r="M66" s="268">
        <f t="shared" si="6"/>
        <v>-35.802292784786829</v>
      </c>
      <c r="BY66" s="144"/>
      <c r="BZ66" s="144"/>
      <c r="CA66" s="143"/>
      <c r="CB66" s="143"/>
      <c r="CC66" s="143"/>
      <c r="CD66" s="140"/>
    </row>
    <row r="67" spans="2:82" ht="13.5" customHeight="1" thickTop="1">
      <c r="B67" s="80">
        <v>4611</v>
      </c>
      <c r="C67" s="97" t="str">
        <f>+'Cental Budget'!C66</f>
        <v>Otplata hartija od vrijednosti i kredita rezidentima</v>
      </c>
      <c r="D67" s="232">
        <v>4896856.3400000008</v>
      </c>
      <c r="E67" s="272">
        <f t="shared" si="1"/>
        <v>0.12374548519154961</v>
      </c>
      <c r="F67" s="232">
        <v>16997626.821157135</v>
      </c>
      <c r="G67" s="272">
        <f t="shared" si="0"/>
        <v>0.42953671336190069</v>
      </c>
      <c r="H67" s="233">
        <f t="shared" si="2"/>
        <v>-12100770.481157135</v>
      </c>
      <c r="I67" s="280">
        <f t="shared" si="3"/>
        <v>-71.190940997099489</v>
      </c>
      <c r="J67" s="232">
        <v>8542930.6999999993</v>
      </c>
      <c r="K67" s="272">
        <f t="shared" si="4"/>
        <v>0.22642275907765702</v>
      </c>
      <c r="L67" s="233">
        <f t="shared" si="5"/>
        <v>-3646074.3599999985</v>
      </c>
      <c r="M67" s="280">
        <f t="shared" si="6"/>
        <v>-42.679432715051746</v>
      </c>
      <c r="BY67" s="144"/>
      <c r="BZ67" s="144"/>
      <c r="CA67" s="143"/>
      <c r="CB67" s="143"/>
      <c r="CC67" s="143"/>
      <c r="CD67" s="140"/>
    </row>
    <row r="68" spans="2:82" ht="13.5" customHeight="1" thickBot="1">
      <c r="B68" s="80">
        <v>4612</v>
      </c>
      <c r="C68" s="97" t="str">
        <f>+'Cental Budget'!C67</f>
        <v>Otplata hartija od vrijednosti i kredita nerezidentima</v>
      </c>
      <c r="D68" s="234">
        <v>1245829.81</v>
      </c>
      <c r="E68" s="265">
        <f t="shared" si="1"/>
        <v>3.1482609168098655E-2</v>
      </c>
      <c r="F68" s="234">
        <v>1385921.5175152856</v>
      </c>
      <c r="G68" s="265">
        <f t="shared" si="0"/>
        <v>3.5022781702094552E-2</v>
      </c>
      <c r="H68" s="217">
        <f t="shared" si="2"/>
        <v>-140091.70751528558</v>
      </c>
      <c r="I68" s="274">
        <f t="shared" si="3"/>
        <v>-10.108199183345207</v>
      </c>
      <c r="J68" s="234">
        <v>1025457.98</v>
      </c>
      <c r="K68" s="265">
        <f t="shared" si="4"/>
        <v>2.71788491916247E-2</v>
      </c>
      <c r="L68" s="217">
        <f t="shared" si="5"/>
        <v>220371.83000000007</v>
      </c>
      <c r="M68" s="274">
        <f t="shared" si="6"/>
        <v>21.49008875039425</v>
      </c>
      <c r="BY68" s="144"/>
      <c r="BZ68" s="144"/>
      <c r="CA68" s="143"/>
      <c r="CB68" s="143"/>
      <c r="CC68" s="143"/>
      <c r="CD68" s="140"/>
    </row>
    <row r="69" spans="2:82" ht="13.5" hidden="1" customHeight="1" thickBot="1">
      <c r="B69" s="80" t="s">
        <v>451</v>
      </c>
      <c r="C69" s="97" t="str">
        <f>+'Cental Budget'!C61</f>
        <v>Otplata obaveza iz prethodnih godina</v>
      </c>
      <c r="D69" s="234">
        <v>13521396.810000001</v>
      </c>
      <c r="E69" s="265">
        <f t="shared" si="1"/>
        <v>0.34169101410087943</v>
      </c>
      <c r="F69" s="234">
        <v>11000000</v>
      </c>
      <c r="G69" s="265">
        <f t="shared" si="0"/>
        <v>0.27797432528050137</v>
      </c>
      <c r="H69" s="217">
        <f t="shared" si="2"/>
        <v>2521396.8100000005</v>
      </c>
      <c r="I69" s="274">
        <f t="shared" si="3"/>
        <v>22.921789181818198</v>
      </c>
      <c r="J69" s="234">
        <v>11060868.6</v>
      </c>
      <c r="K69" s="265">
        <f t="shared" si="4"/>
        <v>0.29315845746090646</v>
      </c>
      <c r="L69" s="217">
        <f t="shared" si="5"/>
        <v>2460528.2100000009</v>
      </c>
      <c r="M69" s="274">
        <f t="shared" si="6"/>
        <v>22.245343462447437</v>
      </c>
      <c r="BY69" s="144"/>
      <c r="BZ69" s="144"/>
      <c r="CA69" s="143"/>
      <c r="CB69" s="143"/>
      <c r="CC69" s="143"/>
      <c r="CD69" s="140"/>
    </row>
    <row r="70" spans="2:82" ht="13.5" customHeight="1" thickTop="1" thickBot="1">
      <c r="C70" s="151" t="str">
        <f>+'Cental Budget'!C69</f>
        <v>Nedostajuća sredstva</v>
      </c>
      <c r="D70" s="224">
        <f>+D64-D66</f>
        <v>-4274452.77000002</v>
      </c>
      <c r="E70" s="268">
        <f t="shared" si="1"/>
        <v>-0.10801710224401143</v>
      </c>
      <c r="F70" s="224">
        <f>+F64-F66</f>
        <v>-16409636.632327475</v>
      </c>
      <c r="G70" s="268">
        <f t="shared" si="0"/>
        <v>-0.4146779700881299</v>
      </c>
      <c r="H70" s="224">
        <f t="shared" si="2"/>
        <v>12135183.862327455</v>
      </c>
      <c r="I70" s="268">
        <f t="shared" si="3"/>
        <v>-73.951569643052181</v>
      </c>
      <c r="J70" s="224">
        <f>+J64-J66</f>
        <v>-16550623.369999997</v>
      </c>
      <c r="K70" s="294">
        <f t="shared" si="4"/>
        <v>-0.43865951152928701</v>
      </c>
      <c r="L70" s="224">
        <f t="shared" si="5"/>
        <v>12276170.599999977</v>
      </c>
      <c r="M70" s="268">
        <f t="shared" si="6"/>
        <v>-74.173463594440904</v>
      </c>
      <c r="BY70" s="144"/>
      <c r="BZ70" s="144"/>
      <c r="CA70" s="143"/>
      <c r="CB70" s="143"/>
      <c r="CC70" s="143"/>
      <c r="CD70" s="140"/>
    </row>
    <row r="71" spans="2:82" ht="13.5" customHeight="1" thickTop="1" thickBot="1">
      <c r="C71" s="151" t="str">
        <f>+'Cental Budget'!C70</f>
        <v>Finansiranje</v>
      </c>
      <c r="D71" s="224">
        <f>+SUM(D72:D76)</f>
        <v>4274452.77000002</v>
      </c>
      <c r="E71" s="268">
        <f t="shared" si="1"/>
        <v>0.10801710224401143</v>
      </c>
      <c r="F71" s="224">
        <f>+SUM(F72:F75)</f>
        <v>16409636.632327475</v>
      </c>
      <c r="G71" s="268">
        <f t="shared" si="0"/>
        <v>0.4146779700881299</v>
      </c>
      <c r="H71" s="224">
        <f t="shared" si="2"/>
        <v>-12135183.862327455</v>
      </c>
      <c r="I71" s="268">
        <f t="shared" si="3"/>
        <v>-73.951569643052181</v>
      </c>
      <c r="J71" s="224">
        <f>+SUM(J72:J76)</f>
        <v>16550623.369999997</v>
      </c>
      <c r="K71" s="294">
        <f t="shared" si="4"/>
        <v>0.43865951152928701</v>
      </c>
      <c r="L71" s="224">
        <f t="shared" si="5"/>
        <v>-12276170.599999977</v>
      </c>
      <c r="M71" s="268">
        <f t="shared" si="6"/>
        <v>-74.173463594440904</v>
      </c>
      <c r="BY71" s="144"/>
      <c r="BZ71" s="144"/>
      <c r="CA71" s="143"/>
      <c r="CB71" s="143"/>
      <c r="CC71" s="143"/>
      <c r="CD71" s="140"/>
    </row>
    <row r="72" spans="2:82" ht="13.5" customHeight="1" thickTop="1">
      <c r="B72" s="80">
        <v>7511</v>
      </c>
      <c r="C72" s="97" t="str">
        <f>+'Cental Budget'!C71</f>
        <v>Pozajmice i krediti od domaćih izvora</v>
      </c>
      <c r="D72" s="232">
        <v>2850276.9099999997</v>
      </c>
      <c r="E72" s="272">
        <f t="shared" si="1"/>
        <v>7.2027618265440213E-2</v>
      </c>
      <c r="F72" s="232">
        <v>9142807.7050683051</v>
      </c>
      <c r="G72" s="272">
        <f t="shared" si="0"/>
        <v>0.23104234572597554</v>
      </c>
      <c r="H72" s="233">
        <f t="shared" si="2"/>
        <v>-6292530.795068305</v>
      </c>
      <c r="I72" s="280">
        <f t="shared" si="3"/>
        <v>-68.824927725211239</v>
      </c>
      <c r="J72" s="232">
        <v>10448412.914999999</v>
      </c>
      <c r="K72" s="272">
        <f t="shared" si="4"/>
        <v>0.27692586575669226</v>
      </c>
      <c r="L72" s="233">
        <f t="shared" si="5"/>
        <v>-7598136.004999999</v>
      </c>
      <c r="M72" s="280">
        <f t="shared" si="6"/>
        <v>-72.720479816527231</v>
      </c>
      <c r="BY72" s="144"/>
      <c r="BZ72" s="144"/>
      <c r="CA72" s="143"/>
      <c r="CB72" s="143"/>
      <c r="CC72" s="143"/>
      <c r="CD72" s="140"/>
    </row>
    <row r="73" spans="2:82" ht="13.5" customHeight="1">
      <c r="B73" s="80">
        <v>7512</v>
      </c>
      <c r="C73" s="97" t="str">
        <f>+'Cental Budget'!C72</f>
        <v>Pozajmice i krediti od inostranih izvora</v>
      </c>
      <c r="D73" s="234">
        <v>40020</v>
      </c>
      <c r="E73" s="265">
        <f t="shared" si="1"/>
        <v>1.0113211361568784E-3</v>
      </c>
      <c r="F73" s="234">
        <v>3600000</v>
      </c>
      <c r="G73" s="265">
        <f t="shared" si="0"/>
        <v>9.0973415546345901E-2</v>
      </c>
      <c r="H73" s="217">
        <f t="shared" si="2"/>
        <v>-3559980</v>
      </c>
      <c r="I73" s="274">
        <f t="shared" si="3"/>
        <v>-98.888333333333335</v>
      </c>
      <c r="J73" s="234">
        <v>80040</v>
      </c>
      <c r="K73" s="265">
        <f t="shared" si="4"/>
        <v>2.1213888152663662E-3</v>
      </c>
      <c r="L73" s="217">
        <f t="shared" si="5"/>
        <v>-40020</v>
      </c>
      <c r="M73" s="296">
        <f t="shared" si="6"/>
        <v>-50</v>
      </c>
      <c r="BY73" s="144"/>
      <c r="BZ73" s="144"/>
      <c r="CA73" s="143"/>
      <c r="CB73" s="143"/>
      <c r="CC73" s="143"/>
      <c r="CD73" s="140"/>
    </row>
    <row r="74" spans="2:82" ht="13.5" customHeight="1" thickBot="1">
      <c r="B74" s="80">
        <v>72</v>
      </c>
      <c r="C74" s="103" t="str">
        <f>+'Cental Budget'!C73</f>
        <v>Primici od prodaje imovine</v>
      </c>
      <c r="D74" s="234">
        <v>1252685.5599999998</v>
      </c>
      <c r="E74" s="265">
        <f t="shared" si="1"/>
        <v>3.1655856666329724E-2</v>
      </c>
      <c r="F74" s="234">
        <v>1056203.8861100243</v>
      </c>
      <c r="G74" s="265">
        <f t="shared" si="0"/>
        <v>2.6690687509097956E-2</v>
      </c>
      <c r="H74" s="217">
        <f t="shared" si="2"/>
        <v>196481.67388997553</v>
      </c>
      <c r="I74" s="274">
        <f t="shared" si="3"/>
        <v>18.602627435277981</v>
      </c>
      <c r="J74" s="234">
        <v>1460154.2800000003</v>
      </c>
      <c r="K74" s="265">
        <f t="shared" si="4"/>
        <v>3.8700086933474695E-2</v>
      </c>
      <c r="L74" s="217">
        <f t="shared" si="5"/>
        <v>-207468.72000000044</v>
      </c>
      <c r="M74" s="274">
        <f t="shared" si="6"/>
        <v>-14.208684852124009</v>
      </c>
      <c r="BY74" s="144"/>
      <c r="BZ74" s="144"/>
      <c r="CA74" s="143"/>
      <c r="CB74" s="143"/>
      <c r="CC74" s="143"/>
      <c r="CD74" s="140"/>
    </row>
    <row r="75" spans="2:82" ht="13.5" customHeight="1" thickTop="1" thickBot="1">
      <c r="C75" s="146" t="str">
        <f>+'Cental Budget'!C74</f>
        <v>Povećanje / smanjenje depozita</v>
      </c>
      <c r="D75" s="147">
        <f>-D70-SUM(D72:D74)-D76</f>
        <v>-432569.79999997967</v>
      </c>
      <c r="E75" s="247">
        <f t="shared" si="1"/>
        <v>-1.0931208935610524E-2</v>
      </c>
      <c r="F75" s="147">
        <f>-F70-SUM(F72:F74)</f>
        <v>2610625.041149145</v>
      </c>
      <c r="G75" s="247">
        <f t="shared" si="0"/>
        <v>6.5971521306710426E-2</v>
      </c>
      <c r="H75" s="204">
        <f t="shared" si="2"/>
        <v>-3043194.8411491248</v>
      </c>
      <c r="I75" s="262">
        <f t="shared" si="3"/>
        <v>-116.56958748122523</v>
      </c>
      <c r="J75" s="147">
        <f>-J70-SUM(J72:J74)-J76</f>
        <v>3951230.944999997</v>
      </c>
      <c r="K75" s="295">
        <f t="shared" si="4"/>
        <v>0.10472385223959707</v>
      </c>
      <c r="L75" s="204">
        <f t="shared" si="5"/>
        <v>-4383800.7449999768</v>
      </c>
      <c r="M75" s="262">
        <f t="shared" si="6"/>
        <v>-110.9477225204304</v>
      </c>
      <c r="BY75" s="144"/>
      <c r="BZ75" s="144"/>
      <c r="CA75" s="143"/>
      <c r="CB75" s="143"/>
      <c r="CC75" s="143"/>
      <c r="CD75" s="140"/>
    </row>
    <row r="76" spans="2:82" ht="13.5" customHeight="1" thickTop="1" thickBot="1">
      <c r="B76" s="80">
        <v>999</v>
      </c>
      <c r="C76" s="151" t="s">
        <v>459</v>
      </c>
      <c r="D76" s="225">
        <v>564040.1</v>
      </c>
      <c r="E76" s="268">
        <f t="shared" si="1"/>
        <v>1.4253515111695137E-2</v>
      </c>
      <c r="F76" s="225">
        <v>1048398.2642970546</v>
      </c>
      <c r="G76" s="268">
        <f t="shared" si="0"/>
        <v>2.649343637665659E-2</v>
      </c>
      <c r="H76" s="224">
        <f t="shared" si="2"/>
        <v>-484358.16429705464</v>
      </c>
      <c r="I76" s="268">
        <f t="shared" si="3"/>
        <v>-46.199825084774837</v>
      </c>
      <c r="J76" s="225">
        <v>610785.23</v>
      </c>
      <c r="K76" s="294">
        <f t="shared" si="4"/>
        <v>1.6188317784256556E-2</v>
      </c>
      <c r="L76" s="224">
        <f t="shared" si="5"/>
        <v>-46745.130000000005</v>
      </c>
      <c r="M76" s="268">
        <f t="shared" si="6"/>
        <v>-7.6532842812849395</v>
      </c>
      <c r="N76" s="208"/>
      <c r="BY76" s="144"/>
      <c r="BZ76" s="144"/>
      <c r="CA76" s="143"/>
      <c r="CB76" s="143"/>
      <c r="CC76" s="143"/>
      <c r="CD76" s="140"/>
    </row>
    <row r="77" spans="2:82" ht="13.5" thickTop="1">
      <c r="C77" s="106" t="str">
        <f>IF(MasterSheet!$A$1=1,MasterSheet!C151,MasterSheet!B151)</f>
        <v>Izvor: Ministarstvo finansija Crne Gore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O77" s="81"/>
    </row>
    <row r="78" spans="2:82">
      <c r="C78" s="105"/>
      <c r="D78" s="105"/>
      <c r="E78" s="105"/>
      <c r="F78" s="105"/>
      <c r="G78" s="105"/>
      <c r="H78" s="105"/>
      <c r="I78" s="105"/>
      <c r="J78" s="105"/>
      <c r="K78" s="306"/>
      <c r="L78" s="105"/>
      <c r="M78" s="105"/>
      <c r="O78" s="81"/>
    </row>
    <row r="79" spans="2:82">
      <c r="D79" s="133"/>
      <c r="E79" s="134"/>
      <c r="F79" s="134"/>
      <c r="G79" s="134"/>
      <c r="H79" s="134"/>
      <c r="I79" s="134"/>
      <c r="J79" s="134"/>
      <c r="K79" s="134"/>
      <c r="L79" s="134"/>
      <c r="M79" s="302"/>
    </row>
    <row r="80" spans="2:82">
      <c r="D80" s="133"/>
      <c r="E80" s="134"/>
      <c r="F80" s="134"/>
      <c r="G80" s="134"/>
      <c r="H80" s="134"/>
      <c r="I80" s="134"/>
      <c r="J80" s="134"/>
      <c r="K80" s="134"/>
      <c r="L80" s="134"/>
      <c r="M80" s="134"/>
    </row>
    <row r="81" spans="3:13"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</row>
    <row r="82" spans="3:13" ht="15">
      <c r="E82" s="134"/>
      <c r="F82" s="134"/>
      <c r="G82" s="134"/>
      <c r="H82" s="134"/>
      <c r="I82" s="134"/>
      <c r="J82" s="134"/>
      <c r="K82" s="303"/>
      <c r="L82" s="134"/>
      <c r="M82" s="134"/>
    </row>
    <row r="83" spans="3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3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3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3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3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3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3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3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3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3:13">
      <c r="E92" s="134"/>
      <c r="F92" s="134"/>
      <c r="G92" s="134"/>
      <c r="H92" s="134"/>
      <c r="I92" s="134"/>
      <c r="J92" s="134"/>
      <c r="K92" s="134"/>
      <c r="L92" s="134"/>
      <c r="M92" s="134"/>
    </row>
    <row r="93" spans="3:13">
      <c r="E93" s="134"/>
      <c r="F93" s="134"/>
      <c r="G93" s="134"/>
      <c r="H93" s="134"/>
      <c r="I93" s="134"/>
      <c r="J93" s="134"/>
      <c r="K93" s="134"/>
      <c r="L93" s="134"/>
      <c r="M93" s="134"/>
    </row>
  </sheetData>
  <sheetProtection formatCells="0" formatColumns="0" formatRows="0" sort="0" autoFilter="0"/>
  <mergeCells count="12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M82"/>
  <sheetViews>
    <sheetView topLeftCell="B41" zoomScaleNormal="100" workbookViewId="0">
      <selection activeCell="M64" sqref="M64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13" width="7.7109375" style="80" customWidth="1"/>
    <col min="14" max="14" width="14.42578125" style="80" customWidth="1"/>
    <col min="15" max="15" width="12.42578125" style="80" customWidth="1"/>
    <col min="16" max="57" width="9.140625" style="80" customWidth="1"/>
    <col min="58" max="58" width="9.140625" style="80"/>
    <col min="59" max="59" width="15.42578125" style="80" customWidth="1"/>
    <col min="60" max="60" width="12.7109375" style="80" customWidth="1"/>
    <col min="61" max="61" width="11.85546875" style="80" customWidth="1"/>
    <col min="62" max="16384" width="9.140625" style="80"/>
  </cols>
  <sheetData>
    <row r="1" spans="2:57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</row>
    <row r="2" spans="2:57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2:57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</row>
    <row r="4" spans="2:57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</row>
    <row r="5" spans="2:57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</row>
    <row r="6" spans="2:57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</row>
    <row r="7" spans="2:57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</row>
    <row r="8" spans="2:57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</row>
    <row r="9" spans="2:57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</row>
    <row r="10" spans="2:57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</row>
    <row r="11" spans="2:57" ht="18.75" customHeight="1" thickTop="1" thickBot="1">
      <c r="C11" s="165" t="str">
        <f>IF(MasterSheet!$A$1=1,MasterSheet!B67,MasterSheet!B66)</f>
        <v>BDP (u mil. €)</v>
      </c>
      <c r="D11" s="338">
        <f>+'Cental Budget'!D11:G11</f>
        <v>3957200000</v>
      </c>
      <c r="E11" s="339"/>
      <c r="F11" s="339"/>
      <c r="G11" s="340"/>
      <c r="H11" s="325"/>
      <c r="I11" s="326"/>
      <c r="J11" s="336">
        <f>+'Cental Budget'!J11:K11</f>
        <v>3773000000</v>
      </c>
      <c r="K11" s="337"/>
      <c r="L11" s="325"/>
      <c r="M11" s="32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</row>
    <row r="12" spans="2:57" ht="19.5" customHeight="1" thickTop="1">
      <c r="C12" s="17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2:57" ht="27" customHeight="1" thickBot="1">
      <c r="B13" s="85"/>
      <c r="C13" s="173"/>
      <c r="D13" s="333"/>
      <c r="E13" s="333"/>
      <c r="F13" s="86"/>
      <c r="G13" s="86"/>
      <c r="H13" s="86"/>
      <c r="I13" s="86"/>
      <c r="J13" s="345"/>
      <c r="K13" s="345"/>
      <c r="L13" s="86"/>
      <c r="M13" s="8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2:57" ht="15.75" customHeight="1" thickTop="1">
      <c r="B14" s="87"/>
      <c r="C14" s="341" t="s">
        <v>234</v>
      </c>
      <c r="D14" s="343" t="s">
        <v>468</v>
      </c>
      <c r="E14" s="344"/>
      <c r="F14" s="343" t="s">
        <v>469</v>
      </c>
      <c r="G14" s="344"/>
      <c r="H14" s="343" t="str">
        <f>+'Cental Budget'!H14:I14</f>
        <v>Odstupanje</v>
      </c>
      <c r="I14" s="344"/>
      <c r="J14" s="343" t="s">
        <v>464</v>
      </c>
      <c r="K14" s="344"/>
      <c r="L14" s="343" t="str">
        <f>+H14</f>
        <v>Odstupanje</v>
      </c>
      <c r="M14" s="34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2:57" ht="15" customHeight="1" thickBot="1">
      <c r="C15" s="342" t="str">
        <f>IF(MasterSheet!$A$1=1,MasterSheet!B71,MasterSheet!B70)</f>
        <v>Budžet Crne Gore</v>
      </c>
      <c r="D15" s="166" t="str">
        <f>IF(MasterSheet!$A$1=1,MasterSheet!C71,MasterSheet!C70)</f>
        <v>mil. €</v>
      </c>
      <c r="E15" s="167" t="str">
        <f>IF(MasterSheet!$A$1=1,MasterSheet!D71,MasterSheet!D70)</f>
        <v>% BDP</v>
      </c>
      <c r="F15" s="168" t="str">
        <f>IF(MasterSheet!$A$1=1,MasterSheet!E71,MasterSheet!E70)</f>
        <v>mil. €</v>
      </c>
      <c r="G15" s="169" t="str">
        <f>IF(MasterSheet!$A$1=1,MasterSheet!F71,MasterSheet!F70)</f>
        <v>% BDP</v>
      </c>
      <c r="H15" s="170" t="str">
        <f>IF(MasterSheet!$A$1=1,MasterSheet!G71,MasterSheet!G70)</f>
        <v>mil. €</v>
      </c>
      <c r="I15" s="169" t="s">
        <v>441</v>
      </c>
      <c r="J15" s="166" t="str">
        <f>IF(MasterSheet!$A$1=1,MasterSheet!I71,MasterSheet!I70)</f>
        <v>mil. €</v>
      </c>
      <c r="K15" s="168" t="str">
        <f>IF(MasterSheet!$A$1=1,MasterSheet!J71,MasterSheet!J70)</f>
        <v>% BDP</v>
      </c>
      <c r="L15" s="166" t="str">
        <f>IF(MasterSheet!$A$1=1,MasterSheet!K71,MasterSheet!K70)</f>
        <v>mil. €</v>
      </c>
      <c r="M15" s="16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2:57" ht="15" customHeight="1" thickTop="1" thickBot="1">
      <c r="C16" s="176" t="str">
        <f>IF(MasterSheet!$A$1=1,MasterSheet!C72,MasterSheet!B72)</f>
        <v>Izvorni prihodi</v>
      </c>
      <c r="D16" s="174">
        <f>D17+D26+D31+D32+D33+D34+D35</f>
        <v>769711347.18999982</v>
      </c>
      <c r="E16" s="281">
        <f t="shared" ref="E16:E76" si="0">D16/D$11*100</f>
        <v>19.450908399625995</v>
      </c>
      <c r="F16" s="174">
        <f>F17+F26+F31+F32+F33+F34+F35</f>
        <v>762173994.9131273</v>
      </c>
      <c r="G16" s="281">
        <f>F16/D$11*100</f>
        <v>19.260436543847348</v>
      </c>
      <c r="H16" s="174">
        <f>+D16-F16</f>
        <v>7537352.2768725157</v>
      </c>
      <c r="I16" s="281">
        <f>+D16/F16*100-100</f>
        <v>0.98892803049935196</v>
      </c>
      <c r="J16" s="174">
        <f>J17+J26+J31+J32+J33+J34+J35</f>
        <v>711535453.11000013</v>
      </c>
      <c r="K16" s="281">
        <f t="shared" ref="K16:K76" si="1">J16/J$11*100</f>
        <v>18.858612592366818</v>
      </c>
      <c r="L16" s="174">
        <f>+D16-J16</f>
        <v>58175894.079999685</v>
      </c>
      <c r="M16" s="281">
        <f>+D16/J16*100-100</f>
        <v>8.1761061695131048</v>
      </c>
      <c r="N16" s="81"/>
      <c r="O16" s="307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2:62" ht="15" customHeight="1" thickTop="1">
      <c r="B17" s="80">
        <v>711</v>
      </c>
      <c r="C17" s="93" t="str">
        <f>IF(MasterSheet!$A$1=1,MasterSheet!C73,MasterSheet!B73)</f>
        <v>Porezi</v>
      </c>
      <c r="D17" s="152">
        <f>SUM(D18:D25)</f>
        <v>491668839.98999989</v>
      </c>
      <c r="E17" s="282">
        <f t="shared" si="0"/>
        <v>12.424664914333365</v>
      </c>
      <c r="F17" s="152">
        <f>SUM(F18:F25)</f>
        <v>471524248.52687997</v>
      </c>
      <c r="G17" s="282">
        <f t="shared" ref="G17:G76" si="2">F17/D$11*100</f>
        <v>11.915603167059537</v>
      </c>
      <c r="H17" s="205">
        <f t="shared" ref="H17:H76" si="3">+D17-F17</f>
        <v>20144591.463119924</v>
      </c>
      <c r="I17" s="288">
        <f t="shared" ref="I17:I76" si="4">+D17/F17*100-100</f>
        <v>4.2722281040805399</v>
      </c>
      <c r="J17" s="152">
        <f>SUM(J18:J25)</f>
        <v>445970633.80000001</v>
      </c>
      <c r="K17" s="282">
        <f t="shared" si="1"/>
        <v>11.820053904055129</v>
      </c>
      <c r="L17" s="205">
        <f t="shared" ref="L17:L76" si="5">+D17-J17</f>
        <v>45698206.189999878</v>
      </c>
      <c r="M17" s="290">
        <f t="shared" ref="M17:M76" si="6">+D17/J17*100-100</f>
        <v>10.246909264096018</v>
      </c>
      <c r="N17" s="81"/>
      <c r="O17" s="307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2:62" ht="15" customHeight="1">
      <c r="B18" s="80">
        <v>7111</v>
      </c>
      <c r="C18" s="97" t="str">
        <f>IF(MasterSheet!$A$1=1,MasterSheet!C74,MasterSheet!B74)</f>
        <v>Porez na dohodak fizičkih lica</v>
      </c>
      <c r="D18" s="154">
        <f>'Cental Budget'!D18+'Local Government'!D18</f>
        <v>64795333.210000001</v>
      </c>
      <c r="E18" s="283">
        <f t="shared" si="0"/>
        <v>1.6374035482159104</v>
      </c>
      <c r="F18" s="154">
        <f>+IF(ISNUMBER(VLOOKUP($B18,'Cental Budget'!$B$16:$K$76,'Public Expenditure'!F$1,FALSE)),VLOOKUP($B18,'Cental Budget'!$B$16:$K$76,'Public Expenditure'!F$1,FALSE),0)+IF(ISNUMBER(VLOOKUP('Public Expenditure'!$B18,'Local Government'!$B$16:$M$76,'Public Expenditure'!F$1,FALSE)),VLOOKUP('Public Expenditure'!$B18,'Local Government'!$B$16:$M$76,'Public Expenditure'!F$1,FALSE),0)</f>
        <v>64259329.462343633</v>
      </c>
      <c r="G18" s="283">
        <f t="shared" si="2"/>
        <v>1.6238585227520377</v>
      </c>
      <c r="H18" s="206">
        <f t="shared" si="3"/>
        <v>536003.74765636772</v>
      </c>
      <c r="I18" s="289">
        <f t="shared" si="4"/>
        <v>0.83412595827113023</v>
      </c>
      <c r="J18" s="154">
        <f>+IF(ISNUMBER(VLOOKUP($B18,'Cental Budget'!$B$16:$K$76,'Public Expenditure'!J$1,FALSE)),VLOOKUP($B18,'Cental Budget'!$B$16:$K$76,'Public Expenditure'!J$1,FALSE),0)+IF(ISNUMBER(VLOOKUP('Public Expenditure'!$B18,'Local Government'!$B$16:$M$76,'Public Expenditure'!J$1,FALSE)),VLOOKUP('Public Expenditure'!$B18,'Local Government'!$B$16:$M$76,'Public Expenditure'!J$1,FALSE),0)</f>
        <v>63818550.359999999</v>
      </c>
      <c r="K18" s="283">
        <f t="shared" si="1"/>
        <v>1.6914537598727803</v>
      </c>
      <c r="L18" s="206">
        <f t="shared" si="5"/>
        <v>976782.85000000149</v>
      </c>
      <c r="M18" s="289">
        <f t="shared" si="6"/>
        <v>1.5305625785762516</v>
      </c>
      <c r="N18" s="81"/>
      <c r="O18" s="307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2:62" ht="15" customHeight="1">
      <c r="B19" s="80">
        <v>7112</v>
      </c>
      <c r="C19" s="97" t="str">
        <f>IF(MasterSheet!$A$1=1,MasterSheet!C75,MasterSheet!B75)</f>
        <v>Porez na dobit pravnih lica</v>
      </c>
      <c r="D19" s="154">
        <f>'Cental Budget'!D19</f>
        <v>39170376.32</v>
      </c>
      <c r="E19" s="283">
        <f t="shared" si="0"/>
        <v>0.98985081168502986</v>
      </c>
      <c r="F19" s="154">
        <f>+IF(ISNUMBER(VLOOKUP($B19,'Cental Budget'!$B$16:$K$76,'Public Expenditure'!F$1,FALSE)),VLOOKUP($B19,'Cental Budget'!$B$16:$K$76,'Public Expenditure'!F$1,FALSE),0)+IF(ISNUMBER(VLOOKUP('Public Expenditure'!$B19,'Local Government'!$B$16:$M$76,'Public Expenditure'!F$1,FALSE)),VLOOKUP('Public Expenditure'!$B19,'Local Government'!$B$16:$M$76,'Public Expenditure'!F$1,FALSE),0)</f>
        <v>36393127.294076264</v>
      </c>
      <c r="G19" s="283">
        <f t="shared" si="2"/>
        <v>0.9196686367652952</v>
      </c>
      <c r="H19" s="206">
        <f t="shared" si="3"/>
        <v>2777249.0259237364</v>
      </c>
      <c r="I19" s="289">
        <f t="shared" si="4"/>
        <v>7.6312458764042219</v>
      </c>
      <c r="J19" s="154">
        <f>+IF(ISNUMBER(VLOOKUP($B19,'Cental Budget'!$B$16:$K$76,'Public Expenditure'!J$1,FALSE)),VLOOKUP($B19,'Cental Budget'!$B$16:$K$76,'Public Expenditure'!J$1,FALSE),0)+IF(ISNUMBER(VLOOKUP('Public Expenditure'!$B19,'Local Government'!$B$16:$M$76,'Public Expenditure'!J$1,FALSE)),VLOOKUP('Public Expenditure'!$B19,'Local Government'!$B$16:$M$76,'Public Expenditure'!J$1,FALSE),0)</f>
        <v>35099354.359999992</v>
      </c>
      <c r="K19" s="283">
        <f t="shared" si="1"/>
        <v>0.93027708348794036</v>
      </c>
      <c r="L19" s="206">
        <f t="shared" si="5"/>
        <v>4071021.9600000083</v>
      </c>
      <c r="M19" s="289">
        <f t="shared" si="6"/>
        <v>11.598566509928276</v>
      </c>
      <c r="N19" s="81"/>
      <c r="O19" s="307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G19" s="81"/>
    </row>
    <row r="20" spans="2:62" ht="15" customHeight="1">
      <c r="B20" s="80">
        <v>7113</v>
      </c>
      <c r="C20" s="97" t="str">
        <f>IF(MasterSheet!$A$1=1,MasterSheet!C76,MasterSheet!B76)</f>
        <v>Porez na promet nepokretnosti</v>
      </c>
      <c r="D20" s="154">
        <f>'Cental Budget'!D20+'Local Government'!D19</f>
        <v>6111205.3000000007</v>
      </c>
      <c r="E20" s="283">
        <f t="shared" si="0"/>
        <v>0.15443256090164764</v>
      </c>
      <c r="F20" s="154">
        <f>+IF(ISNUMBER(VLOOKUP($B20,'Cental Budget'!$B$16:$K$76,'Public Expenditure'!F$1,FALSE)),VLOOKUP($B20,'Cental Budget'!$B$16:$K$76,'Public Expenditure'!F$1,FALSE),0)+IF(ISNUMBER(VLOOKUP('Public Expenditure'!$B20,'Local Government'!$B$16:$M$76,'Public Expenditure'!F$1,FALSE)),VLOOKUP('Public Expenditure'!$B20,'Local Government'!$B$16:$M$76,'Public Expenditure'!F$1,FALSE),0)</f>
        <v>6651475.744137492</v>
      </c>
      <c r="G20" s="283">
        <f t="shared" si="2"/>
        <v>0.16808540746329456</v>
      </c>
      <c r="H20" s="206">
        <f t="shared" si="3"/>
        <v>-540270.44413749129</v>
      </c>
      <c r="I20" s="289">
        <f t="shared" si="4"/>
        <v>-8.1225650505254805</v>
      </c>
      <c r="J20" s="154">
        <f>+IF(ISNUMBER(VLOOKUP($B20,'Cental Budget'!$B$16:$K$76,'Public Expenditure'!J$1,FALSE)),VLOOKUP($B20,'Cental Budget'!$B$16:$K$76,'Public Expenditure'!J$1,FALSE),0)+IF(ISNUMBER(VLOOKUP('Public Expenditure'!$B20,'Local Government'!$B$16:$M$76,'Public Expenditure'!J$1,FALSE)),VLOOKUP('Public Expenditure'!$B20,'Local Government'!$B$16:$M$76,'Public Expenditure'!J$1,FALSE),0)</f>
        <v>6054531.879999999</v>
      </c>
      <c r="K20" s="283">
        <f t="shared" si="1"/>
        <v>0.16046996766498806</v>
      </c>
      <c r="L20" s="206">
        <f t="shared" si="5"/>
        <v>56673.420000001788</v>
      </c>
      <c r="M20" s="289">
        <f t="shared" si="6"/>
        <v>0.9360495761400216</v>
      </c>
      <c r="N20" s="81"/>
      <c r="O20" s="307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</row>
    <row r="21" spans="2:62" ht="15" customHeight="1">
      <c r="B21" s="80">
        <v>7114</v>
      </c>
      <c r="C21" s="97" t="str">
        <f>IF(MasterSheet!$A$1=1,MasterSheet!C77,MasterSheet!B77)</f>
        <v>Porez na dodatu vrijednost</v>
      </c>
      <c r="D21" s="154">
        <f>'Cental Budget'!D21</f>
        <v>241435618.02999997</v>
      </c>
      <c r="E21" s="283">
        <f t="shared" si="0"/>
        <v>6.1011730018700083</v>
      </c>
      <c r="F21" s="154">
        <f>+IF(ISNUMBER(VLOOKUP($B21,'Cental Budget'!$B$16:$K$76,'Public Expenditure'!F$1,FALSE)),VLOOKUP($B21,'Cental Budget'!$B$16:$K$76,'Public Expenditure'!F$1,FALSE),0)+IF(ISNUMBER(VLOOKUP('Public Expenditure'!$B21,'Local Government'!$B$16:$M$76,'Public Expenditure'!F$1,FALSE)),VLOOKUP('Public Expenditure'!$B21,'Local Government'!$B$16:$M$76,'Public Expenditure'!F$1,FALSE),0)</f>
        <v>232447110.19921017</v>
      </c>
      <c r="G21" s="283">
        <f t="shared" si="2"/>
        <v>5.8740298746388904</v>
      </c>
      <c r="H21" s="206">
        <f t="shared" si="3"/>
        <v>8988507.8307898045</v>
      </c>
      <c r="I21" s="289">
        <f t="shared" si="4"/>
        <v>3.8669045285555654</v>
      </c>
      <c r="J21" s="154">
        <f>+IF(ISNUMBER(VLOOKUP($B21,'Cental Budget'!$B$16:$K$76,'Public Expenditure'!J$1,FALSE)),VLOOKUP($B21,'Cental Budget'!$B$16:$K$76,'Public Expenditure'!J$1,FALSE),0)+IF(ISNUMBER(VLOOKUP('Public Expenditure'!$B21,'Local Government'!$B$16:$M$76,'Public Expenditure'!J$1,FALSE)),VLOOKUP('Public Expenditure'!$B21,'Local Government'!$B$16:$M$76,'Public Expenditure'!J$1,FALSE),0)</f>
        <v>221599231.25999999</v>
      </c>
      <c r="K21" s="283">
        <f t="shared" si="1"/>
        <v>5.8732899883381924</v>
      </c>
      <c r="L21" s="206">
        <f t="shared" si="5"/>
        <v>19836386.769999981</v>
      </c>
      <c r="M21" s="289">
        <f t="shared" si="6"/>
        <v>8.9514691261388606</v>
      </c>
      <c r="N21" s="81"/>
      <c r="O21" s="307"/>
    </row>
    <row r="22" spans="2:62" ht="15" customHeight="1">
      <c r="B22" s="80">
        <v>7115</v>
      </c>
      <c r="C22" s="97" t="str">
        <f>IF(MasterSheet!$A$1=1,MasterSheet!C78,MasterSheet!B78)</f>
        <v>Akcize</v>
      </c>
      <c r="D22" s="154">
        <f>'Cental Budget'!D22</f>
        <v>93215029.079999998</v>
      </c>
      <c r="E22" s="283">
        <f t="shared" si="0"/>
        <v>2.3555804376832103</v>
      </c>
      <c r="F22" s="154">
        <f>+IF(ISNUMBER(VLOOKUP($B22,'Cental Budget'!$B$16:$K$76,'Public Expenditure'!F$1,FALSE)),VLOOKUP($B22,'Cental Budget'!$B$16:$K$76,'Public Expenditure'!F$1,FALSE),0)+IF(ISNUMBER(VLOOKUP('Public Expenditure'!$B22,'Local Government'!$B$16:$M$76,'Public Expenditure'!F$1,FALSE)),VLOOKUP('Public Expenditure'!$B22,'Local Government'!$B$16:$M$76,'Public Expenditure'!F$1,FALSE),0)</f>
        <v>88403118.616859525</v>
      </c>
      <c r="G22" s="283">
        <f t="shared" si="2"/>
        <v>2.2339815682012416</v>
      </c>
      <c r="H22" s="206">
        <f t="shared" si="3"/>
        <v>4811910.4631404728</v>
      </c>
      <c r="I22" s="289">
        <f t="shared" si="4"/>
        <v>5.443145602131267</v>
      </c>
      <c r="J22" s="154">
        <f>+IF(ISNUMBER(VLOOKUP($B22,'Cental Budget'!$B$16:$K$76,'Public Expenditure'!J$1,FALSE)),VLOOKUP($B22,'Cental Budget'!$B$16:$K$76,'Public Expenditure'!J$1,FALSE),0)+IF(ISNUMBER(VLOOKUP('Public Expenditure'!$B22,'Local Government'!$B$16:$M$76,'Public Expenditure'!J$1,FALSE)),VLOOKUP('Public Expenditure'!$B22,'Local Government'!$B$16:$M$76,'Public Expenditure'!J$1,FALSE),0)</f>
        <v>76722632.709999979</v>
      </c>
      <c r="K22" s="283">
        <f t="shared" si="1"/>
        <v>2.0334649538828513</v>
      </c>
      <c r="L22" s="206">
        <f t="shared" si="5"/>
        <v>16492396.37000002</v>
      </c>
      <c r="M22" s="289">
        <f t="shared" si="6"/>
        <v>21.496129352519475</v>
      </c>
      <c r="N22" s="81"/>
      <c r="O22" s="307"/>
    </row>
    <row r="23" spans="2:62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f>'Cental Budget'!D23</f>
        <v>11547175.710000001</v>
      </c>
      <c r="E23" s="283">
        <f t="shared" si="0"/>
        <v>0.29180167062569495</v>
      </c>
      <c r="F23" s="154">
        <f>+IF(ISNUMBER(VLOOKUP($B23,'Cental Budget'!$B$16:$K$76,'Public Expenditure'!F$1,FALSE)),VLOOKUP($B23,'Cental Budget'!$B$16:$K$76,'Public Expenditure'!F$1,FALSE),0)+IF(ISNUMBER(VLOOKUP('Public Expenditure'!$B23,'Local Government'!$B$16:$M$76,'Public Expenditure'!F$1,FALSE)),VLOOKUP('Public Expenditure'!$B23,'Local Government'!$B$16:$M$76,'Public Expenditure'!F$1,FALSE),0)</f>
        <v>10940099.386986859</v>
      </c>
      <c r="G23" s="283">
        <f t="shared" si="2"/>
        <v>0.27646061323629989</v>
      </c>
      <c r="H23" s="206">
        <f t="shared" si="3"/>
        <v>607076.32301314175</v>
      </c>
      <c r="I23" s="289">
        <f t="shared" si="4"/>
        <v>5.5490933083775644</v>
      </c>
      <c r="J23" s="154">
        <f>+IF(ISNUMBER(VLOOKUP($B23,'Cental Budget'!$B$16:$K$76,'Public Expenditure'!J$1,FALSE)),VLOOKUP($B23,'Cental Budget'!$B$16:$K$76,'Public Expenditure'!J$1,FALSE),0)+IF(ISNUMBER(VLOOKUP('Public Expenditure'!$B23,'Local Government'!$B$16:$M$76,'Public Expenditure'!J$1,FALSE)),VLOOKUP('Public Expenditure'!$B23,'Local Government'!$B$16:$M$76,'Public Expenditure'!J$1,FALSE),0)</f>
        <v>10876008.280000003</v>
      </c>
      <c r="K23" s="283">
        <f t="shared" si="1"/>
        <v>0.28825889954943024</v>
      </c>
      <c r="L23" s="206">
        <f t="shared" si="5"/>
        <v>671167.42999999784</v>
      </c>
      <c r="M23" s="289">
        <f t="shared" si="6"/>
        <v>6.1710823743506467</v>
      </c>
      <c r="N23" s="81"/>
      <c r="O23" s="307"/>
      <c r="BH23" s="138"/>
      <c r="BI23" s="138"/>
      <c r="BJ23" s="81"/>
    </row>
    <row r="24" spans="2:62" ht="15" customHeight="1">
      <c r="B24" s="80">
        <v>7117</v>
      </c>
      <c r="C24" s="97" t="s">
        <v>11</v>
      </c>
      <c r="D24" s="154">
        <f>'Local Government'!D20</f>
        <v>30948896.709999997</v>
      </c>
      <c r="E24" s="283">
        <f t="shared" si="0"/>
        <v>0.7820907891943798</v>
      </c>
      <c r="F24" s="154">
        <f>+IF(ISNUMBER(VLOOKUP($B24,'Cental Budget'!$B$16:$K$76,'Public Expenditure'!F$1,FALSE)),VLOOKUP($B24,'Cental Budget'!$B$16:$K$76,'Public Expenditure'!F$1,FALSE),0)+IF(ISNUMBER(VLOOKUP('Public Expenditure'!$B24,'Local Government'!$B$16:$M$76,'Public Expenditure'!F$1,FALSE)),VLOOKUP('Public Expenditure'!$B24,'Local Government'!$B$16:$M$76,'Public Expenditure'!F$1,FALSE),0)</f>
        <v>27826445.199999999</v>
      </c>
      <c r="G24" s="283">
        <f t="shared" si="2"/>
        <v>0.70318521176589499</v>
      </c>
      <c r="H24" s="206">
        <f t="shared" si="3"/>
        <v>3122451.5099999979</v>
      </c>
      <c r="I24" s="289">
        <f t="shared" si="4"/>
        <v>11.22116564856799</v>
      </c>
      <c r="J24" s="154">
        <f>+IF(ISNUMBER(VLOOKUP($B24,'Cental Budget'!$B$16:$K$76,'Public Expenditure'!J$1,FALSE)),VLOOKUP($B24,'Cental Budget'!$B$16:$K$76,'Public Expenditure'!J$1,FALSE),0)+IF(ISNUMBER(VLOOKUP('Public Expenditure'!$B24,'Local Government'!$B$16:$M$76,'Public Expenditure'!J$1,FALSE)),VLOOKUP('Public Expenditure'!$B24,'Local Government'!$B$16:$M$76,'Public Expenditure'!J$1,FALSE),0)</f>
        <v>27415216.949999996</v>
      </c>
      <c r="K24" s="283">
        <f t="shared" si="1"/>
        <v>0.72661587463556843</v>
      </c>
      <c r="L24" s="206">
        <f t="shared" si="5"/>
        <v>3533679.7600000016</v>
      </c>
      <c r="M24" s="289">
        <f t="shared" si="6"/>
        <v>12.889483116054649</v>
      </c>
      <c r="N24" s="81"/>
      <c r="O24" s="307"/>
      <c r="BH24" s="138"/>
      <c r="BI24" s="138"/>
      <c r="BJ24" s="81"/>
    </row>
    <row r="25" spans="2:62" ht="15" customHeight="1">
      <c r="B25" s="80">
        <v>7118</v>
      </c>
      <c r="C25" s="97" t="s">
        <v>461</v>
      </c>
      <c r="D25" s="154">
        <f>'Cental Budget'!D24</f>
        <v>4445205.63</v>
      </c>
      <c r="E25" s="283">
        <f t="shared" si="0"/>
        <v>0.11233209415748507</v>
      </c>
      <c r="F25" s="154">
        <f>+IF(ISNUMBER(VLOOKUP($B25,'Cental Budget'!$B$16:$K$76,'Public Expenditure'!F$1,FALSE)),VLOOKUP($B25,'Cental Budget'!$B$16:$K$76,'Public Expenditure'!F$1,FALSE),0)+IF(ISNUMBER(VLOOKUP('Public Expenditure'!$B25,'Local Government'!$B$16:$M$76,'Public Expenditure'!F$1,FALSE)),VLOOKUP('Public Expenditure'!$B25,'Local Government'!$B$16:$M$76,'Public Expenditure'!F$1,FALSE),0)</f>
        <v>4603542.6232659761</v>
      </c>
      <c r="G25" s="283">
        <f t="shared" si="2"/>
        <v>0.11633333223658082</v>
      </c>
      <c r="H25" s="206">
        <f t="shared" si="3"/>
        <v>-158336.9932659762</v>
      </c>
      <c r="I25" s="289">
        <f t="shared" si="4"/>
        <v>-3.4394596992705573</v>
      </c>
      <c r="J25" s="154">
        <f>+IF(ISNUMBER(VLOOKUP($B25,'Cental Budget'!$B$16:$K$76,'Public Expenditure'!J$1,FALSE)),VLOOKUP($B25,'Cental Budget'!$B$16:$K$76,'Public Expenditure'!J$1,FALSE),0)+IF(ISNUMBER(VLOOKUP('Public Expenditure'!$B25,'Local Government'!$B$16:$M$76,'Public Expenditure'!J$1,FALSE)),VLOOKUP('Public Expenditure'!$B25,'Local Government'!$B$16:$M$76,'Public Expenditure'!J$1,FALSE),0)</f>
        <v>4385108</v>
      </c>
      <c r="K25" s="283">
        <f t="shared" si="1"/>
        <v>0.11622337662337663</v>
      </c>
      <c r="L25" s="206">
        <f t="shared" si="5"/>
        <v>60097.629999999888</v>
      </c>
      <c r="M25" s="289">
        <f t="shared" si="6"/>
        <v>1.3704937255821363</v>
      </c>
      <c r="N25" s="81"/>
      <c r="O25" s="307"/>
      <c r="BH25" s="138"/>
      <c r="BI25" s="138"/>
      <c r="BJ25" s="81"/>
    </row>
    <row r="26" spans="2:62" ht="15" customHeight="1">
      <c r="B26" s="80">
        <v>712</v>
      </c>
      <c r="C26" s="93" t="str">
        <f>IF(MasterSheet!$A$1=1,MasterSheet!C81,MasterSheet!B81)</f>
        <v>Doprinosi</v>
      </c>
      <c r="D26" s="152">
        <f>'Cental Budget'!D25</f>
        <v>202634938.36000001</v>
      </c>
      <c r="E26" s="284">
        <f t="shared" si="0"/>
        <v>5.1206645698979081</v>
      </c>
      <c r="F26" s="152">
        <f>SUM(F27:F30)</f>
        <v>210620962.68199915</v>
      </c>
      <c r="G26" s="284">
        <f t="shared" si="2"/>
        <v>5.3224745446780339</v>
      </c>
      <c r="H26" s="205">
        <f t="shared" si="3"/>
        <v>-7986024.3219991326</v>
      </c>
      <c r="I26" s="290">
        <f t="shared" si="4"/>
        <v>-3.791656927357522</v>
      </c>
      <c r="J26" s="152">
        <f>SUM(J27:J30)</f>
        <v>198350150.94999999</v>
      </c>
      <c r="K26" s="284">
        <f t="shared" si="1"/>
        <v>5.2570938497217066</v>
      </c>
      <c r="L26" s="205">
        <f t="shared" si="5"/>
        <v>4284787.4100000262</v>
      </c>
      <c r="M26" s="290">
        <f t="shared" si="6"/>
        <v>2.160213838748291</v>
      </c>
      <c r="N26" s="81"/>
      <c r="O26" s="307"/>
      <c r="BH26" s="138"/>
      <c r="BI26" s="138"/>
      <c r="BJ26" s="81"/>
    </row>
    <row r="27" spans="2:62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4">
        <f>+IF(ISNUMBER(VLOOKUP($B27,'Cental Budget'!$B$16:$K$76,'Public Expenditure'!D$1,FALSE)),VLOOKUP($B27,'Cental Budget'!$B$16:$K$76,'Public Expenditure'!D$1,FALSE),0)+IF(ISNUMBER(VLOOKUP('Public Expenditure'!$B27,'Local Government'!$B$16:$M$76,'Public Expenditure'!D$1,FALSE)),VLOOKUP('Public Expenditure'!$B27,'Local Government'!$B$16:$M$76,'Public Expenditure'!D$1,FALSE),0)</f>
        <v>121869831.09</v>
      </c>
      <c r="E27" s="283">
        <f t="shared" si="0"/>
        <v>3.0796985517537654</v>
      </c>
      <c r="F27" s="154">
        <f>+IF(ISNUMBER(VLOOKUP($B27,'Cental Budget'!$B$16:$K$76,'Public Expenditure'!F$1,FALSE)),VLOOKUP($B27,'Cental Budget'!$B$16:$K$76,'Public Expenditure'!F$1,FALSE),0)+IF(ISNUMBER(VLOOKUP('Public Expenditure'!$B27,'Local Government'!$B$16:$M$76,'Public Expenditure'!F$1,FALSE)),VLOOKUP('Public Expenditure'!$B27,'Local Government'!$B$16:$M$76,'Public Expenditure'!F$1,FALSE),0)</f>
        <v>127815203.6445145</v>
      </c>
      <c r="G27" s="283">
        <f t="shared" si="2"/>
        <v>3.2299404539703453</v>
      </c>
      <c r="H27" s="206">
        <f t="shared" si="3"/>
        <v>-5945372.5545144975</v>
      </c>
      <c r="I27" s="289">
        <f t="shared" si="4"/>
        <v>-4.6515378335194271</v>
      </c>
      <c r="J27" s="154">
        <f>+IF(ISNUMBER(VLOOKUP($B27,'Cental Budget'!$B$16:$K$76,'Public Expenditure'!J$1,FALSE)),VLOOKUP($B27,'Cental Budget'!$B$16:$K$76,'Public Expenditure'!J$1,FALSE),0)+IF(ISNUMBER(VLOOKUP('Public Expenditure'!$B27,'Local Government'!$B$16:$M$76,'Public Expenditure'!J$1,FALSE)),VLOOKUP('Public Expenditure'!$B27,'Local Government'!$B$16:$M$76,'Public Expenditure'!J$1,FALSE),0)</f>
        <v>119082929.00999999</v>
      </c>
      <c r="K27" s="283">
        <f t="shared" si="1"/>
        <v>3.1561868277232965</v>
      </c>
      <c r="L27" s="206">
        <f t="shared" si="5"/>
        <v>2786902.0800000131</v>
      </c>
      <c r="M27" s="289">
        <f t="shared" si="6"/>
        <v>2.3403036045292396</v>
      </c>
      <c r="N27" s="81"/>
      <c r="O27" s="307"/>
      <c r="BH27" s="138"/>
      <c r="BI27" s="138"/>
      <c r="BJ27" s="81"/>
    </row>
    <row r="28" spans="2:62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4">
        <f>+IF(ISNUMBER(VLOOKUP($B28,'Cental Budget'!$B$16:$K$76,'Public Expenditure'!D$1,FALSE)),VLOOKUP($B28,'Cental Budget'!$B$16:$K$76,'Public Expenditure'!D$1,FALSE),0)+IF(ISNUMBER(VLOOKUP('Public Expenditure'!$B28,'Local Government'!$B$16:$M$76,'Public Expenditure'!D$1,FALSE)),VLOOKUP('Public Expenditure'!$B28,'Local Government'!$B$16:$M$76,'Public Expenditure'!D$1,FALSE),0)</f>
        <v>70075748.219999999</v>
      </c>
      <c r="E28" s="283">
        <f t="shared" si="0"/>
        <v>1.7708417118164357</v>
      </c>
      <c r="F28" s="154">
        <f>+IF(ISNUMBER(VLOOKUP($B28,'Cental Budget'!$B$16:$K$76,'Public Expenditure'!F$1,FALSE)),VLOOKUP($B28,'Cental Budget'!$B$16:$K$76,'Public Expenditure'!F$1,FALSE),0)+IF(ISNUMBER(VLOOKUP('Public Expenditure'!$B28,'Local Government'!$B$16:$M$76,'Public Expenditure'!F$1,FALSE)),VLOOKUP('Public Expenditure'!$B28,'Local Government'!$B$16:$M$76,'Public Expenditure'!F$1,FALSE),0)</f>
        <v>71939567.55282855</v>
      </c>
      <c r="G28" s="283">
        <f t="shared" si="2"/>
        <v>1.8179411592244148</v>
      </c>
      <c r="H28" s="206">
        <f t="shared" si="3"/>
        <v>-1863819.3328285515</v>
      </c>
      <c r="I28" s="289">
        <f t="shared" si="4"/>
        <v>-2.5908125336726044</v>
      </c>
      <c r="J28" s="154">
        <f>+IF(ISNUMBER(VLOOKUP($B28,'Cental Budget'!$B$16:$K$76,'Public Expenditure'!J$1,FALSE)),VLOOKUP($B28,'Cental Budget'!$B$16:$K$76,'Public Expenditure'!J$1,FALSE),0)+IF(ISNUMBER(VLOOKUP('Public Expenditure'!$B28,'Local Government'!$B$16:$M$76,'Public Expenditure'!J$1,FALSE)),VLOOKUP('Public Expenditure'!$B28,'Local Government'!$B$16:$M$76,'Public Expenditure'!J$1,FALSE),0)</f>
        <v>68603465.63000001</v>
      </c>
      <c r="K28" s="283">
        <f t="shared" si="1"/>
        <v>1.8182736716141006</v>
      </c>
      <c r="L28" s="206">
        <f t="shared" si="5"/>
        <v>1472282.5899999887</v>
      </c>
      <c r="M28" s="289">
        <f t="shared" si="6"/>
        <v>2.1460761150762693</v>
      </c>
      <c r="N28" s="81"/>
      <c r="O28" s="307"/>
      <c r="BH28" s="138"/>
      <c r="BI28" s="138"/>
      <c r="BJ28" s="81"/>
    </row>
    <row r="29" spans="2:62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4">
        <f>+IF(ISNUMBER(VLOOKUP($B29,'Cental Budget'!$B$16:$K$76,'Public Expenditure'!D$1,FALSE)),VLOOKUP($B29,'Cental Budget'!$B$16:$K$76,'Public Expenditure'!D$1,FALSE),0)+IF(ISNUMBER(VLOOKUP('Public Expenditure'!$B29,'Local Government'!$B$16:$M$76,'Public Expenditure'!D$1,FALSE)),VLOOKUP('Public Expenditure'!$B29,'Local Government'!$B$16:$M$76,'Public Expenditure'!D$1,FALSE),0)</f>
        <v>5580341.0800000001</v>
      </c>
      <c r="E29" s="283">
        <f t="shared" si="0"/>
        <v>0.1410174133225513</v>
      </c>
      <c r="F29" s="154">
        <f>+IF(ISNUMBER(VLOOKUP($B29,'Cental Budget'!$B$16:$K$76,'Public Expenditure'!F$1,FALSE)),VLOOKUP($B29,'Cental Budget'!$B$16:$K$76,'Public Expenditure'!F$1,FALSE),0)+IF(ISNUMBER(VLOOKUP('Public Expenditure'!$B29,'Local Government'!$B$16:$M$76,'Public Expenditure'!F$1,FALSE)),VLOOKUP('Public Expenditure'!$B29,'Local Government'!$B$16:$M$76,'Public Expenditure'!F$1,FALSE),0)</f>
        <v>5605421.8297720626</v>
      </c>
      <c r="G29" s="283">
        <f t="shared" si="2"/>
        <v>0.14165121373122569</v>
      </c>
      <c r="H29" s="206">
        <f t="shared" si="3"/>
        <v>-25080.749772062525</v>
      </c>
      <c r="I29" s="289">
        <f t="shared" si="4"/>
        <v>-0.44743733003021191</v>
      </c>
      <c r="J29" s="154">
        <f>+IF(ISNUMBER(VLOOKUP($B29,'Cental Budget'!$B$16:$K$76,'Public Expenditure'!J$1,FALSE)),VLOOKUP($B29,'Cental Budget'!$B$16:$K$76,'Public Expenditure'!J$1,FALSE),0)+IF(ISNUMBER(VLOOKUP('Public Expenditure'!$B29,'Local Government'!$B$16:$M$76,'Public Expenditure'!J$1,FALSE)),VLOOKUP('Public Expenditure'!$B29,'Local Government'!$B$16:$M$76,'Public Expenditure'!J$1,FALSE),0)</f>
        <v>5536098.1999999993</v>
      </c>
      <c r="K29" s="283">
        <f t="shared" si="1"/>
        <v>0.14672934534852899</v>
      </c>
      <c r="L29" s="206">
        <f t="shared" si="5"/>
        <v>44242.88000000082</v>
      </c>
      <c r="M29" s="289">
        <f t="shared" si="6"/>
        <v>0.79917079505564459</v>
      </c>
      <c r="N29" s="81"/>
      <c r="O29" s="307"/>
      <c r="BH29" s="138"/>
      <c r="BI29" s="138"/>
      <c r="BJ29" s="81"/>
    </row>
    <row r="30" spans="2:62" ht="15" hidden="1" customHeight="1">
      <c r="B30" s="80">
        <v>7124</v>
      </c>
      <c r="C30" s="97" t="str">
        <f>IF(MasterSheet!$A$1=1,MasterSheet!C85,MasterSheet!B85)</f>
        <v>Ostali doprinosi</v>
      </c>
      <c r="D30" s="154">
        <f>+IF(ISNUMBER(VLOOKUP($B30,'Cental Budget'!$B$16:$K$76,'Public Expenditure'!D$1,FALSE)),VLOOKUP($B30,'Cental Budget'!$B$16:$K$76,'Public Expenditure'!D$1,FALSE),0)+IF(ISNUMBER(VLOOKUP('Public Expenditure'!$B30,'Local Government'!$B$16:$M$76,'Public Expenditure'!D$1,FALSE)),VLOOKUP('Public Expenditure'!$B30,'Local Government'!$B$16:$M$76,'Public Expenditure'!D$1,FALSE),0)</f>
        <v>5109017.97</v>
      </c>
      <c r="E30" s="283">
        <f t="shared" si="0"/>
        <v>0.12910689300515515</v>
      </c>
      <c r="F30" s="154">
        <f>+IF(ISNUMBER(VLOOKUP($B30,'Cental Budget'!$B$16:$K$76,'Public Expenditure'!F$1,FALSE)),VLOOKUP($B30,'Cental Budget'!$B$16:$K$76,'Public Expenditure'!F$1,FALSE),0)+IF(ISNUMBER(VLOOKUP('Public Expenditure'!$B30,'Local Government'!$B$16:$M$76,'Public Expenditure'!F$1,FALSE)),VLOOKUP('Public Expenditure'!$B30,'Local Government'!$B$16:$M$76,'Public Expenditure'!F$1,FALSE),0)</f>
        <v>5260769.6548840357</v>
      </c>
      <c r="G30" s="283">
        <f t="shared" si="2"/>
        <v>0.1329417177520478</v>
      </c>
      <c r="H30" s="206">
        <f t="shared" si="3"/>
        <v>-151751.68488403596</v>
      </c>
      <c r="I30" s="289">
        <f t="shared" si="4"/>
        <v>-2.8845909408550483</v>
      </c>
      <c r="J30" s="154">
        <f>+IF(ISNUMBER(VLOOKUP($B30,'Cental Budget'!$B$16:$K$76,'Public Expenditure'!J$1,FALSE)),VLOOKUP($B30,'Cental Budget'!$B$16:$K$76,'Public Expenditure'!J$1,FALSE),0)+IF(ISNUMBER(VLOOKUP('Public Expenditure'!$B30,'Local Government'!$B$16:$M$76,'Public Expenditure'!J$1,FALSE)),VLOOKUP('Public Expenditure'!$B30,'Local Government'!$B$16:$M$76,'Public Expenditure'!J$1,FALSE),0)</f>
        <v>5127658.1100000003</v>
      </c>
      <c r="K30" s="283">
        <f t="shared" si="1"/>
        <v>0.13590400503578057</v>
      </c>
      <c r="L30" s="206">
        <f t="shared" si="5"/>
        <v>-18640.140000000596</v>
      </c>
      <c r="M30" s="289">
        <f t="shared" si="6"/>
        <v>-0.36352150631198299</v>
      </c>
      <c r="N30" s="81"/>
      <c r="O30" s="307"/>
      <c r="BH30" s="81"/>
      <c r="BI30" s="81"/>
      <c r="BJ30" s="81"/>
    </row>
    <row r="31" spans="2:62" ht="15" customHeight="1">
      <c r="B31" s="80">
        <v>713</v>
      </c>
      <c r="C31" s="93" t="str">
        <f>IF(MasterSheet!$A$1=1,MasterSheet!C86,MasterSheet!B86)</f>
        <v>Takse</v>
      </c>
      <c r="D31" s="152">
        <f>'Cental Budget'!D30+'Local Government'!D21</f>
        <v>9379426.5300000012</v>
      </c>
      <c r="E31" s="284">
        <f t="shared" si="0"/>
        <v>0.23702179647225313</v>
      </c>
      <c r="F31" s="152">
        <f>+IF(ISNUMBER(VLOOKUP($B31,'Cental Budget'!$B$16:$K$76,'Public Expenditure'!F$1,FALSE)),VLOOKUP($B31,'Cental Budget'!$B$16:$K$76,'Public Expenditure'!F$1,FALSE),0)+IF(ISNUMBER(VLOOKUP('Public Expenditure'!$B31,'Local Government'!$B$16:$M$76,'Public Expenditure'!F$1,FALSE)),VLOOKUP('Public Expenditure'!$B31,'Local Government'!$B$16:$M$76,'Public Expenditure'!F$1,FALSE),0)</f>
        <v>9613213.5686298087</v>
      </c>
      <c r="G31" s="284">
        <f t="shared" si="2"/>
        <v>0.24292968686520289</v>
      </c>
      <c r="H31" s="205">
        <f t="shared" si="3"/>
        <v>-233787.03862980753</v>
      </c>
      <c r="I31" s="290">
        <f t="shared" si="4"/>
        <v>-2.4319343054304881</v>
      </c>
      <c r="J31" s="152">
        <f>+IF(ISNUMBER(VLOOKUP($B31,'Cental Budget'!$B$16:$K$76,'Public Expenditure'!J$1,FALSE)),VLOOKUP($B31,'Cental Budget'!$B$16:$K$76,'Public Expenditure'!J$1,FALSE),0)+IF(ISNUMBER(VLOOKUP('Public Expenditure'!$B31,'Local Government'!$B$16:$M$76,'Public Expenditure'!J$1,FALSE)),VLOOKUP('Public Expenditure'!$B31,'Local Government'!$B$16:$M$76,'Public Expenditure'!J$1,FALSE),0)</f>
        <v>8797565.6999999993</v>
      </c>
      <c r="K31" s="284">
        <f t="shared" si="1"/>
        <v>0.23317163265306121</v>
      </c>
      <c r="L31" s="205">
        <f t="shared" si="5"/>
        <v>581860.83000000194</v>
      </c>
      <c r="M31" s="290">
        <f t="shared" si="6"/>
        <v>6.6138844521502307</v>
      </c>
      <c r="N31" s="81"/>
      <c r="O31" s="307"/>
      <c r="BH31" s="81"/>
      <c r="BI31" s="81"/>
      <c r="BJ31" s="81"/>
    </row>
    <row r="32" spans="2:62" ht="15" customHeight="1">
      <c r="B32" s="80">
        <v>714</v>
      </c>
      <c r="C32" s="93" t="str">
        <f>IF(MasterSheet!$A$1=1,MasterSheet!C91,MasterSheet!B91)</f>
        <v>Naknade</v>
      </c>
      <c r="D32" s="152">
        <f>'Cental Budget'!D31+'Local Government'!D27</f>
        <v>33649801.390000001</v>
      </c>
      <c r="E32" s="284">
        <f t="shared" si="0"/>
        <v>0.85034371247346607</v>
      </c>
      <c r="F32" s="152">
        <f>+IF(ISNUMBER(VLOOKUP($B32,'Cental Budget'!$B$16:$K$76,'Public Expenditure'!F$1,FALSE)),VLOOKUP($B32,'Cental Budget'!$B$16:$K$76,'Public Expenditure'!F$1,FALSE),0)+IF(ISNUMBER(VLOOKUP('Public Expenditure'!$B32,'Local Government'!$B$16:$M$76,'Public Expenditure'!F$1,FALSE)),VLOOKUP('Public Expenditure'!$B32,'Local Government'!$B$16:$M$76,'Public Expenditure'!F$1,FALSE),0)</f>
        <v>31184558.643196478</v>
      </c>
      <c r="G32" s="284">
        <f t="shared" si="2"/>
        <v>0.7880460589102517</v>
      </c>
      <c r="H32" s="205">
        <f t="shared" si="3"/>
        <v>2465242.7468035221</v>
      </c>
      <c r="I32" s="290">
        <f t="shared" si="4"/>
        <v>7.9053315296522868</v>
      </c>
      <c r="J32" s="152">
        <f>+IF(ISNUMBER(VLOOKUP($B32,'Cental Budget'!$B$16:$K$76,'Public Expenditure'!J$1,FALSE)),VLOOKUP($B32,'Cental Budget'!$B$16:$K$76,'Public Expenditure'!J$1,FALSE),0)+IF(ISNUMBER(VLOOKUP('Public Expenditure'!$B32,'Local Government'!$B$16:$M$76,'Public Expenditure'!J$1,FALSE)),VLOOKUP('Public Expenditure'!$B32,'Local Government'!$B$16:$M$76,'Public Expenditure'!J$1,FALSE),0)</f>
        <v>30340980.950000003</v>
      </c>
      <c r="K32" s="284">
        <f t="shared" si="1"/>
        <v>0.80416064007421162</v>
      </c>
      <c r="L32" s="205">
        <f t="shared" si="5"/>
        <v>3308820.4399999976</v>
      </c>
      <c r="M32" s="290">
        <f t="shared" si="6"/>
        <v>10.90544977913774</v>
      </c>
      <c r="N32" s="81"/>
      <c r="O32" s="307"/>
      <c r="BH32" s="138"/>
      <c r="BI32" s="138"/>
      <c r="BJ32" s="138"/>
    </row>
    <row r="33" spans="1:65" ht="15" customHeight="1">
      <c r="B33" s="80">
        <v>715</v>
      </c>
      <c r="C33" s="93" t="str">
        <f>IF(MasterSheet!$A$1=1,MasterSheet!C98,MasterSheet!B98)</f>
        <v>Ostali prihodi</v>
      </c>
      <c r="D33" s="152">
        <f>'Cental Budget'!D32+'Local Government'!D33</f>
        <v>20992851.41</v>
      </c>
      <c r="E33" s="284">
        <f t="shared" si="0"/>
        <v>0.53049760967350656</v>
      </c>
      <c r="F33" s="152">
        <f>+IF(ISNUMBER(VLOOKUP($B33,'Cental Budget'!$B$16:$K$76,'Public Expenditure'!F$1,FALSE)),VLOOKUP($B33,'Cental Budget'!$B$16:$K$76,'Public Expenditure'!F$1,FALSE),0)+IF(ISNUMBER(VLOOKUP('Public Expenditure'!$B33,'Local Government'!$B$16:$M$76,'Public Expenditure'!F$1,FALSE)),VLOOKUP('Public Expenditure'!$B33,'Local Government'!$B$16:$M$76,'Public Expenditure'!F$1,FALSE),0)</f>
        <v>23594948.995322213</v>
      </c>
      <c r="G33" s="284">
        <f t="shared" si="2"/>
        <v>0.59625363881841231</v>
      </c>
      <c r="H33" s="205">
        <f t="shared" si="3"/>
        <v>-2602097.5853222124</v>
      </c>
      <c r="I33" s="290">
        <f t="shared" si="4"/>
        <v>-11.028197542779552</v>
      </c>
      <c r="J33" s="152">
        <f>+IF(ISNUMBER(VLOOKUP($B33,'Cental Budget'!$B$16:$K$76,'Public Expenditure'!J$1,FALSE)),VLOOKUP($B33,'Cental Budget'!$B$16:$K$76,'Public Expenditure'!J$1,FALSE),0)+IF(ISNUMBER(VLOOKUP('Public Expenditure'!$B33,'Local Government'!$B$16:$M$76,'Public Expenditure'!J$1,FALSE)),VLOOKUP('Public Expenditure'!$B33,'Local Government'!$B$16:$M$76,'Public Expenditure'!J$1,FALSE),0)</f>
        <v>20502945.000000004</v>
      </c>
      <c r="K33" s="284">
        <f t="shared" si="1"/>
        <v>0.54341227140206749</v>
      </c>
      <c r="L33" s="205">
        <f t="shared" si="5"/>
        <v>489906.40999999642</v>
      </c>
      <c r="M33" s="290">
        <f t="shared" si="6"/>
        <v>2.3894441018107244</v>
      </c>
      <c r="N33" s="81"/>
      <c r="O33" s="307"/>
      <c r="BH33" s="81"/>
      <c r="BI33" s="81"/>
      <c r="BJ33" s="81"/>
      <c r="BK33" s="81"/>
      <c r="BL33" s="81"/>
    </row>
    <row r="34" spans="1:65">
      <c r="B34" s="80">
        <v>73</v>
      </c>
      <c r="C34" s="101" t="str">
        <f>IF(MasterSheet!$A$1=1,MasterSheet!C103,MasterSheet!B103)</f>
        <v xml:space="preserve">Primici od otplate kredita </v>
      </c>
      <c r="D34" s="152">
        <f>'Cental Budget'!D33+'Local Government'!D38</f>
        <v>2615772.2199999997</v>
      </c>
      <c r="E34" s="284">
        <f t="shared" si="0"/>
        <v>6.6101592540179915E-2</v>
      </c>
      <c r="F34" s="152">
        <f>+IF(ISNUMBER(VLOOKUP($B34,'Cental Budget'!$B$16:$K$76,'Public Expenditure'!F$1,FALSE)),VLOOKUP($B34,'Cental Budget'!$B$16:$K$76,'Public Expenditure'!F$1,FALSE),0)+IF(ISNUMBER(VLOOKUP('Public Expenditure'!$B34,'Local Government'!$B$16:$M$76,'Public Expenditure'!F$1,FALSE)),VLOOKUP('Public Expenditure'!$B34,'Local Government'!$B$16:$M$76,'Public Expenditure'!F$1,FALSE),0)</f>
        <v>2405937.4277384095</v>
      </c>
      <c r="G34" s="284">
        <f t="shared" si="2"/>
        <v>6.0798984831153577E-2</v>
      </c>
      <c r="H34" s="205">
        <f t="shared" si="3"/>
        <v>209834.79226159025</v>
      </c>
      <c r="I34" s="290">
        <f t="shared" si="4"/>
        <v>8.721539880562716</v>
      </c>
      <c r="J34" s="152">
        <f>+IF(ISNUMBER(VLOOKUP($B34,'Cental Budget'!$B$16:$K$76,'Public Expenditure'!J$1,FALSE)),VLOOKUP($B34,'Cental Budget'!$B$16:$K$76,'Public Expenditure'!J$1,FALSE),0)+IF(ISNUMBER(VLOOKUP('Public Expenditure'!$B34,'Local Government'!$B$16:$M$76,'Public Expenditure'!J$1,FALSE)),VLOOKUP('Public Expenditure'!$B34,'Local Government'!$B$16:$M$76,'Public Expenditure'!J$1,FALSE),0)</f>
        <v>1940370.8399999999</v>
      </c>
      <c r="K34" s="284">
        <f t="shared" si="1"/>
        <v>5.1427798568778153E-2</v>
      </c>
      <c r="L34" s="205">
        <f t="shared" si="5"/>
        <v>675401.37999999989</v>
      </c>
      <c r="M34" s="290">
        <f t="shared" si="6"/>
        <v>34.807850441619678</v>
      </c>
      <c r="N34" s="81"/>
      <c r="O34" s="307"/>
      <c r="BG34" s="100"/>
      <c r="BH34" s="100"/>
      <c r="BI34" s="99"/>
      <c r="BJ34" s="143"/>
      <c r="BK34" s="143"/>
      <c r="BL34" s="143"/>
      <c r="BM34" s="140"/>
    </row>
    <row r="35" spans="1:65" ht="13.5" customHeight="1" thickBot="1">
      <c r="B35" s="80">
        <v>74</v>
      </c>
      <c r="C35" s="93" t="s">
        <v>122</v>
      </c>
      <c r="D35" s="152">
        <f>'Cental Budget'!D34+'Local Government'!D39</f>
        <v>8769717.290000001</v>
      </c>
      <c r="E35" s="284">
        <f>D35/D$11*100</f>
        <v>0.22161420423531791</v>
      </c>
      <c r="F35" s="152">
        <f>+IF(ISNUMBER(VLOOKUP($B35,'Cental Budget'!$B$16:$K$76,'Public Expenditure'!F$1,FALSE)),VLOOKUP($B35,'Cental Budget'!$B$16:$K$76,'Public Expenditure'!F$1,FALSE),0)+IF(ISNUMBER(VLOOKUP('Public Expenditure'!$B35,'Local Government'!$B$16:$M$76,'Public Expenditure'!F$1,FALSE)),VLOOKUP('Public Expenditure'!$B35,'Local Government'!$B$16:$M$76,'Public Expenditure'!F$1,FALSE),0)-185257.67</f>
        <v>13230125.069361188</v>
      </c>
      <c r="G35" s="284">
        <f t="shared" si="2"/>
        <v>0.33433046268475658</v>
      </c>
      <c r="H35" s="205">
        <f t="shared" si="3"/>
        <v>-4460407.7793611865</v>
      </c>
      <c r="I35" s="290">
        <f t="shared" si="4"/>
        <v>-33.71402580078977</v>
      </c>
      <c r="J35" s="152">
        <f>+IF(ISNUMBER(VLOOKUP($B35,'Cental Budget'!$B$16:$K$76,'Public Expenditure'!J$1,FALSE)),VLOOKUP($B35,'Cental Budget'!$B$16:$K$76,'Public Expenditure'!J$1,FALSE),0)+IF(ISNUMBER(VLOOKUP('Public Expenditure'!$B35,'Local Government'!$B$16:$M$76,'Public Expenditure'!J$1,FALSE)),VLOOKUP('Public Expenditure'!$B35,'Local Government'!$B$16:$M$76,'Public Expenditure'!J$1,FALSE),0)-181625.17</f>
        <v>5632805.870000001</v>
      </c>
      <c r="K35" s="284">
        <f>J35/J$11*100</f>
        <v>0.14929249589186327</v>
      </c>
      <c r="L35" s="205">
        <f t="shared" si="5"/>
        <v>3136911.42</v>
      </c>
      <c r="M35" s="290">
        <f t="shared" si="6"/>
        <v>55.690032505948921</v>
      </c>
      <c r="N35" s="81"/>
      <c r="O35" s="307"/>
      <c r="BH35" s="159"/>
      <c r="BI35" s="159"/>
      <c r="BJ35" s="143"/>
      <c r="BK35" s="143"/>
      <c r="BL35" s="143"/>
      <c r="BM35" s="140"/>
    </row>
    <row r="36" spans="1:65" ht="15" customHeight="1" thickTop="1" thickBot="1">
      <c r="B36" s="102"/>
      <c r="C36" s="176" t="s">
        <v>234</v>
      </c>
      <c r="D36" s="171">
        <f>+D38+D49+D55+SUM(D58:D63)</f>
        <v>873022595.26999998</v>
      </c>
      <c r="E36" s="281">
        <f t="shared" si="0"/>
        <v>22.061624261346406</v>
      </c>
      <c r="F36" s="171">
        <f>+F38+F49+F55+SUM(F58:F63)</f>
        <v>922793467.20737803</v>
      </c>
      <c r="G36" s="281">
        <f t="shared" si="2"/>
        <v>23.319353765475036</v>
      </c>
      <c r="H36" s="171">
        <f t="shared" si="3"/>
        <v>-49770871.937378049</v>
      </c>
      <c r="I36" s="281">
        <f t="shared" si="4"/>
        <v>-5.393500680926806</v>
      </c>
      <c r="J36" s="171">
        <f>+J38+J49+J55+SUM(J58:J63)</f>
        <v>829836078.21000004</v>
      </c>
      <c r="K36" s="281">
        <f t="shared" si="1"/>
        <v>21.994065152663662</v>
      </c>
      <c r="L36" s="171">
        <f t="shared" si="5"/>
        <v>43186517.059999943</v>
      </c>
      <c r="M36" s="281">
        <f t="shared" si="6"/>
        <v>5.2042226403503236</v>
      </c>
      <c r="N36" s="81"/>
      <c r="O36" s="307"/>
      <c r="BH36" s="81"/>
      <c r="BI36" s="81"/>
      <c r="BJ36" s="143"/>
      <c r="BK36" s="143"/>
      <c r="BL36" s="143"/>
      <c r="BM36" s="140"/>
    </row>
    <row r="37" spans="1:65" ht="13.5" customHeight="1" thickTop="1" thickBot="1">
      <c r="C37" s="176" t="s">
        <v>279</v>
      </c>
      <c r="D37" s="171">
        <f>+D36-D58</f>
        <v>817121258.33999991</v>
      </c>
      <c r="E37" s="281">
        <f t="shared" si="0"/>
        <v>20.64897549631052</v>
      </c>
      <c r="F37" s="171">
        <f>+F36-F58</f>
        <v>828428203.37333822</v>
      </c>
      <c r="G37" s="281">
        <f t="shared" si="2"/>
        <v>20.934706443276514</v>
      </c>
      <c r="H37" s="171">
        <f t="shared" si="3"/>
        <v>-11306945.033338308</v>
      </c>
      <c r="I37" s="281">
        <f t="shared" si="4"/>
        <v>-1.3648672253427208</v>
      </c>
      <c r="J37" s="171">
        <f>+J36-J58</f>
        <v>805539807.84000003</v>
      </c>
      <c r="K37" s="281">
        <f t="shared" si="1"/>
        <v>21.350114175457197</v>
      </c>
      <c r="L37" s="171">
        <f t="shared" si="5"/>
        <v>11581450.499999881</v>
      </c>
      <c r="M37" s="281">
        <f t="shared" si="6"/>
        <v>1.437725409381656</v>
      </c>
      <c r="N37" s="81"/>
      <c r="O37" s="307"/>
      <c r="BH37" s="159"/>
      <c r="BI37" s="159"/>
      <c r="BJ37" s="143"/>
      <c r="BK37" s="143"/>
      <c r="BL37" s="143"/>
      <c r="BM37" s="140"/>
    </row>
    <row r="38" spans="1:65" ht="13.5" customHeight="1" thickTop="1">
      <c r="A38" s="80">
        <v>41</v>
      </c>
      <c r="B38" s="80">
        <v>41</v>
      </c>
      <c r="C38" s="93" t="s">
        <v>62</v>
      </c>
      <c r="D38" s="94">
        <f>+SUM(D39:D48)</f>
        <v>418034449.95999998</v>
      </c>
      <c r="E38" s="284">
        <f t="shared" si="0"/>
        <v>10.563894924694228</v>
      </c>
      <c r="F38" s="94">
        <f>+SUM(F39:F48)</f>
        <v>424285924.92050433</v>
      </c>
      <c r="G38" s="284">
        <f t="shared" si="2"/>
        <v>10.721872155071878</v>
      </c>
      <c r="H38" s="203">
        <f t="shared" si="3"/>
        <v>-6251474.960504353</v>
      </c>
      <c r="I38" s="290">
        <f t="shared" si="4"/>
        <v>-1.4734108753844879</v>
      </c>
      <c r="J38" s="94">
        <f>+SUM(J39:J48)</f>
        <v>390067667.89000005</v>
      </c>
      <c r="K38" s="284">
        <f t="shared" si="1"/>
        <v>10.338395650410813</v>
      </c>
      <c r="L38" s="203">
        <f t="shared" si="5"/>
        <v>27966782.069999933</v>
      </c>
      <c r="M38" s="290">
        <f t="shared" si="6"/>
        <v>7.1697257609893938</v>
      </c>
      <c r="N38" s="81"/>
      <c r="O38" s="307"/>
      <c r="BH38" s="159"/>
      <c r="BI38" s="159"/>
      <c r="BJ38" s="143"/>
      <c r="BK38" s="143"/>
      <c r="BL38" s="143"/>
      <c r="BM38" s="140"/>
    </row>
    <row r="39" spans="1:65" ht="13.5" customHeight="1">
      <c r="B39" s="80">
        <v>411</v>
      </c>
      <c r="C39" s="93" t="s">
        <v>63</v>
      </c>
      <c r="D39" s="152">
        <f>'Cental Budget'!D38+'Local Government'!D43</f>
        <v>240119795.81000003</v>
      </c>
      <c r="E39" s="284">
        <f t="shared" si="0"/>
        <v>6.0679216569796832</v>
      </c>
      <c r="F39" s="152">
        <f>+IF(ISNUMBER(VLOOKUP($B39,'Cental Budget'!$B$16:$K$76,'Public Expenditure'!F$1,FALSE)),VLOOKUP($B39,'Cental Budget'!$B$16:$K$76,'Public Expenditure'!F$1,FALSE),0)+IF(ISNUMBER(VLOOKUP('Public Expenditure'!$B39,'Local Government'!$B$16:$M$76,'Public Expenditure'!F$1,FALSE)),VLOOKUP('Public Expenditure'!$B39,'Local Government'!$B$16:$M$76,'Public Expenditure'!F$1,FALSE),0)</f>
        <v>238512494.59596288</v>
      </c>
      <c r="G39" s="284">
        <f t="shared" si="2"/>
        <v>6.0273045232983646</v>
      </c>
      <c r="H39" s="205">
        <f t="shared" si="3"/>
        <v>1607301.2140371501</v>
      </c>
      <c r="I39" s="290">
        <f t="shared" si="4"/>
        <v>0.67388554078053176</v>
      </c>
      <c r="J39" s="152">
        <f>+IF(ISNUMBER(VLOOKUP($B39,'Cental Budget'!$B$16:$K$76,'Public Expenditure'!J$1,FALSE)),VLOOKUP($B39,'Cental Budget'!$B$16:$K$76,'Public Expenditure'!J$1,FALSE),0)+IF(ISNUMBER(VLOOKUP('Public Expenditure'!$B39,'Local Government'!$B$16:$M$76,'Public Expenditure'!J$1,FALSE)),VLOOKUP('Public Expenditure'!$B39,'Local Government'!$B$16:$M$76,'Public Expenditure'!J$1,FALSE),0)</f>
        <v>220382085.17000002</v>
      </c>
      <c r="K39" s="284">
        <f t="shared" si="1"/>
        <v>5.8410306167505972</v>
      </c>
      <c r="L39" s="205">
        <f t="shared" si="5"/>
        <v>19737710.640000015</v>
      </c>
      <c r="M39" s="290">
        <f t="shared" si="6"/>
        <v>8.9561320852257893</v>
      </c>
      <c r="N39" s="81"/>
      <c r="O39" s="307"/>
      <c r="BH39" s="159"/>
      <c r="BI39" s="159"/>
      <c r="BJ39" s="143"/>
      <c r="BK39" s="143"/>
      <c r="BL39" s="143"/>
      <c r="BM39" s="140"/>
    </row>
    <row r="40" spans="1:65" ht="13.5" customHeight="1">
      <c r="B40" s="80">
        <v>412</v>
      </c>
      <c r="C40" s="93" t="s">
        <v>74</v>
      </c>
      <c r="D40" s="152">
        <f>'Cental Budget'!D39+'Local Government'!D44</f>
        <v>5383559.0399999991</v>
      </c>
      <c r="E40" s="284">
        <f t="shared" si="0"/>
        <v>0.13604465379561304</v>
      </c>
      <c r="F40" s="152">
        <f>+IF(ISNUMBER(VLOOKUP($B40,'Cental Budget'!$B$16:$K$76,'Public Expenditure'!F$1,FALSE)),VLOOKUP($B40,'Cental Budget'!$B$16:$K$76,'Public Expenditure'!F$1,FALSE),0)+IF(ISNUMBER(VLOOKUP('Public Expenditure'!$B40,'Local Government'!$B$16:$M$76,'Public Expenditure'!F$1,FALSE)),VLOOKUP('Public Expenditure'!$B40,'Local Government'!$B$16:$M$76,'Public Expenditure'!F$1,FALSE),0)</f>
        <v>9251992.63014457</v>
      </c>
      <c r="G40" s="284">
        <f t="shared" si="2"/>
        <v>0.23380149171496439</v>
      </c>
      <c r="H40" s="205">
        <f t="shared" si="3"/>
        <v>-3868433.5901445709</v>
      </c>
      <c r="I40" s="290">
        <f t="shared" si="4"/>
        <v>-41.811896580424786</v>
      </c>
      <c r="J40" s="152">
        <f>+IF(ISNUMBER(VLOOKUP($B40,'Cental Budget'!$B$16:$K$76,'Public Expenditure'!J$1,FALSE)),VLOOKUP($B40,'Cental Budget'!$B$16:$K$76,'Public Expenditure'!J$1,FALSE),0)+IF(ISNUMBER(VLOOKUP('Public Expenditure'!$B40,'Local Government'!$B$16:$M$76,'Public Expenditure'!J$1,FALSE)),VLOOKUP('Public Expenditure'!$B40,'Local Government'!$B$16:$M$76,'Public Expenditure'!J$1,FALSE),0)</f>
        <v>7889143.8299999991</v>
      </c>
      <c r="K40" s="284">
        <f t="shared" si="1"/>
        <v>0.20909472117678238</v>
      </c>
      <c r="L40" s="205">
        <f t="shared" si="5"/>
        <v>-2505584.79</v>
      </c>
      <c r="M40" s="290">
        <f t="shared" si="6"/>
        <v>-31.759907589363863</v>
      </c>
      <c r="N40" s="81"/>
      <c r="O40" s="307"/>
      <c r="BH40" s="159"/>
      <c r="BI40" s="159"/>
      <c r="BJ40" s="143"/>
      <c r="BK40" s="143"/>
      <c r="BL40" s="143"/>
      <c r="BM40" s="140"/>
    </row>
    <row r="41" spans="1:65" ht="13.5" customHeight="1">
      <c r="B41" s="80">
        <v>413</v>
      </c>
      <c r="C41" s="93" t="s">
        <v>428</v>
      </c>
      <c r="D41" s="152">
        <f>'Cental Budget'!D40+'Local Government'!D45</f>
        <v>15253145.26</v>
      </c>
      <c r="E41" s="284">
        <f t="shared" si="0"/>
        <v>0.38545297836854342</v>
      </c>
      <c r="F41" s="152">
        <f>+IF(ISNUMBER(VLOOKUP($B41,'Cental Budget'!$B$16:$K$76,'Public Expenditure'!F$1,FALSE)),VLOOKUP($B41,'Cental Budget'!$B$16:$K$76,'Public Expenditure'!F$1,FALSE),0)+IF(ISNUMBER(VLOOKUP('Public Expenditure'!$B41,'Local Government'!$B$16:$M$76,'Public Expenditure'!F$1,FALSE)),VLOOKUP('Public Expenditure'!$B41,'Local Government'!$B$16:$M$76,'Public Expenditure'!F$1,FALSE),0)</f>
        <v>14991920.780000001</v>
      </c>
      <c r="G41" s="284">
        <f t="shared" si="2"/>
        <v>0.37885173304356617</v>
      </c>
      <c r="H41" s="205">
        <f t="shared" si="3"/>
        <v>261224.47999999858</v>
      </c>
      <c r="I41" s="290">
        <f t="shared" si="4"/>
        <v>1.742435034398568</v>
      </c>
      <c r="J41" s="152">
        <f>+IF(ISNUMBER(VLOOKUP($B41,'Cental Budget'!$B$16:$K$76,'Public Expenditure'!J$1,FALSE)),VLOOKUP($B41,'Cental Budget'!$B$16:$K$76,'Public Expenditure'!J$1,FALSE),0)+IF(ISNUMBER(VLOOKUP('Public Expenditure'!$B41,'Local Government'!$B$16:$M$76,'Public Expenditure'!J$1,FALSE)),VLOOKUP('Public Expenditure'!$B41,'Local Government'!$B$16:$M$76,'Public Expenditure'!J$1,FALSE),0)</f>
        <v>15285748.370000001</v>
      </c>
      <c r="K41" s="284">
        <f t="shared" si="1"/>
        <v>0.4051351277498012</v>
      </c>
      <c r="L41" s="205">
        <f t="shared" si="5"/>
        <v>-32603.110000001267</v>
      </c>
      <c r="M41" s="290">
        <f t="shared" si="6"/>
        <v>-0.21329089823294112</v>
      </c>
      <c r="N41" s="81"/>
      <c r="O41" s="307"/>
      <c r="BH41" s="159"/>
      <c r="BI41" s="159"/>
      <c r="BJ41" s="143"/>
      <c r="BK41" s="143"/>
      <c r="BL41" s="143"/>
      <c r="BM41" s="140"/>
    </row>
    <row r="42" spans="1:65" ht="13.5" customHeight="1">
      <c r="B42" s="80">
        <v>414</v>
      </c>
      <c r="C42" s="93" t="s">
        <v>429</v>
      </c>
      <c r="D42" s="152">
        <f>'Cental Budget'!D41+'Local Government'!D46</f>
        <v>27699077.979999997</v>
      </c>
      <c r="E42" s="284">
        <f t="shared" si="0"/>
        <v>0.69996659203477196</v>
      </c>
      <c r="F42" s="152">
        <f>+IF(ISNUMBER(VLOOKUP($B42,'Cental Budget'!$B$16:$K$76,'Public Expenditure'!F$1,FALSE)),VLOOKUP($B42,'Cental Budget'!$B$16:$K$76,'Public Expenditure'!F$1,FALSE),0)+IF(ISNUMBER(VLOOKUP('Public Expenditure'!$B42,'Local Government'!$B$16:$M$76,'Public Expenditure'!F$1,FALSE)),VLOOKUP('Public Expenditure'!$B42,'Local Government'!$B$16:$M$76,'Public Expenditure'!F$1,FALSE),0)</f>
        <v>24382975.399999999</v>
      </c>
      <c r="G42" s="284">
        <f t="shared" si="2"/>
        <v>0.61616737592236925</v>
      </c>
      <c r="H42" s="205">
        <f t="shared" si="3"/>
        <v>3316102.5799999982</v>
      </c>
      <c r="I42" s="290">
        <f t="shared" si="4"/>
        <v>13.600073516868648</v>
      </c>
      <c r="J42" s="152">
        <f>+IF(ISNUMBER(VLOOKUP($B42,'Cental Budget'!$B$16:$K$76,'Public Expenditure'!J$1,FALSE)),VLOOKUP($B42,'Cental Budget'!$B$16:$K$76,'Public Expenditure'!J$1,FALSE),0)+IF(ISNUMBER(VLOOKUP('Public Expenditure'!$B42,'Local Government'!$B$16:$M$76,'Public Expenditure'!J$1,FALSE)),VLOOKUP('Public Expenditure'!$B42,'Local Government'!$B$16:$M$76,'Public Expenditure'!J$1,FALSE),0)</f>
        <v>28852498.430000003</v>
      </c>
      <c r="K42" s="284">
        <f t="shared" si="1"/>
        <v>0.76470973840445278</v>
      </c>
      <c r="L42" s="205">
        <f t="shared" si="5"/>
        <v>-1153420.4500000067</v>
      </c>
      <c r="M42" s="290">
        <f t="shared" si="6"/>
        <v>-3.997644962353462</v>
      </c>
      <c r="N42" s="81"/>
      <c r="O42" s="307"/>
      <c r="BH42" s="159"/>
      <c r="BI42" s="159"/>
      <c r="BJ42" s="143"/>
      <c r="BK42" s="143"/>
      <c r="BL42" s="143"/>
      <c r="BM42" s="140"/>
    </row>
    <row r="43" spans="1:65" ht="13.5" customHeight="1">
      <c r="B43" s="80">
        <v>415</v>
      </c>
      <c r="C43" s="93" t="s">
        <v>430</v>
      </c>
      <c r="D43" s="152">
        <f>'Cental Budget'!D42+'Local Government'!D47</f>
        <v>9231240.3300000001</v>
      </c>
      <c r="E43" s="284">
        <f t="shared" si="0"/>
        <v>0.23327707293035482</v>
      </c>
      <c r="F43" s="152">
        <f>+IF(ISNUMBER(VLOOKUP($B43,'Cental Budget'!$B$16:$K$76,'Public Expenditure'!F$1,FALSE)),VLOOKUP($B43,'Cental Budget'!$B$16:$K$76,'Public Expenditure'!F$1,FALSE),0)+IF(ISNUMBER(VLOOKUP('Public Expenditure'!$B43,'Local Government'!$B$16:$M$76,'Public Expenditure'!F$1,FALSE)),VLOOKUP('Public Expenditure'!$B43,'Local Government'!$B$16:$M$76,'Public Expenditure'!F$1,FALSE),0)</f>
        <v>10190957.29465653</v>
      </c>
      <c r="G43" s="284">
        <f t="shared" si="2"/>
        <v>0.25752949799495933</v>
      </c>
      <c r="H43" s="205">
        <f t="shared" si="3"/>
        <v>-959716.96465652995</v>
      </c>
      <c r="I43" s="290">
        <f t="shared" si="4"/>
        <v>-9.4173386945674054</v>
      </c>
      <c r="J43" s="152">
        <f>+IF(ISNUMBER(VLOOKUP($B43,'Cental Budget'!$B$16:$K$76,'Public Expenditure'!J$1,FALSE)),VLOOKUP($B43,'Cental Budget'!$B$16:$K$76,'Public Expenditure'!J$1,FALSE),0)+IF(ISNUMBER(VLOOKUP('Public Expenditure'!$B43,'Local Government'!$B$16:$M$76,'Public Expenditure'!J$1,FALSE)),VLOOKUP('Public Expenditure'!$B43,'Local Government'!$B$16:$M$76,'Public Expenditure'!J$1,FALSE),0)</f>
        <v>8493650.0899999999</v>
      </c>
      <c r="K43" s="284">
        <f t="shared" si="1"/>
        <v>0.22511662046117148</v>
      </c>
      <c r="L43" s="205">
        <f t="shared" si="5"/>
        <v>737590.24000000022</v>
      </c>
      <c r="M43" s="290">
        <f t="shared" si="6"/>
        <v>8.6840196168241164</v>
      </c>
      <c r="N43" s="81"/>
      <c r="O43" s="307"/>
      <c r="BH43" s="159"/>
      <c r="BI43" s="159"/>
      <c r="BJ43" s="143"/>
      <c r="BK43" s="143"/>
      <c r="BL43" s="143"/>
      <c r="BM43" s="140"/>
    </row>
    <row r="44" spans="1:65" ht="13.5" customHeight="1">
      <c r="B44" s="80">
        <v>416</v>
      </c>
      <c r="C44" s="93" t="s">
        <v>79</v>
      </c>
      <c r="D44" s="152">
        <f>'Cental Budget'!D43+'Local Government'!D48</f>
        <v>82391751.489999995</v>
      </c>
      <c r="E44" s="284">
        <f t="shared" si="0"/>
        <v>2.0820719571919537</v>
      </c>
      <c r="F44" s="152">
        <f>+IF(ISNUMBER(VLOOKUP($B44,'Cental Budget'!$B$16:$K$76,'Public Expenditure'!F$1,FALSE)),VLOOKUP($B44,'Cental Budget'!$B$16:$K$76,'Public Expenditure'!F$1,FALSE),0)+IF(ISNUMBER(VLOOKUP('Public Expenditure'!$B44,'Local Government'!$B$16:$M$76,'Public Expenditure'!F$1,FALSE)),VLOOKUP('Public Expenditure'!$B44,'Local Government'!$B$16:$M$76,'Public Expenditure'!F$1,FALSE),0)</f>
        <v>82824567.929051548</v>
      </c>
      <c r="G44" s="284">
        <f t="shared" si="2"/>
        <v>2.0930093987933778</v>
      </c>
      <c r="H44" s="205">
        <f t="shared" si="3"/>
        <v>-432816.43905155361</v>
      </c>
      <c r="I44" s="290">
        <f t="shared" si="4"/>
        <v>-0.52257011400567421</v>
      </c>
      <c r="J44" s="152">
        <f>+IF(ISNUMBER(VLOOKUP($B44,'Cental Budget'!$B$16:$K$76,'Public Expenditure'!J$1,FALSE)),VLOOKUP($B44,'Cental Budget'!$B$16:$K$76,'Public Expenditure'!J$1,FALSE),0)+IF(ISNUMBER(VLOOKUP('Public Expenditure'!$B44,'Local Government'!$B$16:$M$76,'Public Expenditure'!J$1,FALSE)),VLOOKUP('Public Expenditure'!$B44,'Local Government'!$B$16:$M$76,'Public Expenditure'!J$1,FALSE),0)</f>
        <v>68982047.420000002</v>
      </c>
      <c r="K44" s="284">
        <f t="shared" si="1"/>
        <v>1.8283076443148689</v>
      </c>
      <c r="L44" s="205">
        <f t="shared" si="5"/>
        <v>13409704.069999993</v>
      </c>
      <c r="M44" s="290">
        <f t="shared" si="6"/>
        <v>19.439411515802746</v>
      </c>
      <c r="N44" s="81"/>
      <c r="O44" s="307"/>
      <c r="BH44" s="159"/>
      <c r="BI44" s="159"/>
      <c r="BJ44" s="143"/>
      <c r="BK44" s="143"/>
      <c r="BL44" s="143"/>
      <c r="BM44" s="140"/>
    </row>
    <row r="45" spans="1:65" ht="13.5" customHeight="1">
      <c r="B45" s="80">
        <v>417</v>
      </c>
      <c r="C45" s="93" t="s">
        <v>81</v>
      </c>
      <c r="D45" s="152">
        <f>'Cental Budget'!D44+'Local Government'!D49</f>
        <v>4152693.52</v>
      </c>
      <c r="E45" s="284">
        <f t="shared" si="0"/>
        <v>0.10494019811988274</v>
      </c>
      <c r="F45" s="152">
        <f>+IF(ISNUMBER(VLOOKUP($B45,'Cental Budget'!$B$16:$K$76,'Public Expenditure'!F$1,FALSE)),VLOOKUP($B45,'Cental Budget'!$B$16:$K$76,'Public Expenditure'!F$1,FALSE),0)+IF(ISNUMBER(VLOOKUP('Public Expenditure'!$B45,'Local Government'!$B$16:$M$76,'Public Expenditure'!F$1,FALSE)),VLOOKUP('Public Expenditure'!$B45,'Local Government'!$B$16:$M$76,'Public Expenditure'!F$1,FALSE),0)</f>
        <v>4914203.5416141301</v>
      </c>
      <c r="G45" s="284">
        <f t="shared" si="2"/>
        <v>0.12418385579738528</v>
      </c>
      <c r="H45" s="205">
        <f t="shared" si="3"/>
        <v>-761510.02161413012</v>
      </c>
      <c r="I45" s="290">
        <f t="shared" si="4"/>
        <v>-15.49610257624785</v>
      </c>
      <c r="J45" s="152">
        <f>+IF(ISNUMBER(VLOOKUP($B45,'Cental Budget'!$B$16:$K$76,'Public Expenditure'!J$1,FALSE)),VLOOKUP($B45,'Cental Budget'!$B$16:$K$76,'Public Expenditure'!J$1,FALSE),0)+IF(ISNUMBER(VLOOKUP('Public Expenditure'!$B45,'Local Government'!$B$16:$M$76,'Public Expenditure'!J$1,FALSE)),VLOOKUP('Public Expenditure'!$B45,'Local Government'!$B$16:$M$76,'Public Expenditure'!J$1,FALSE),0)</f>
        <v>4540155.76</v>
      </c>
      <c r="K45" s="284">
        <f t="shared" si="1"/>
        <v>0.12033277922077922</v>
      </c>
      <c r="L45" s="205">
        <f t="shared" si="5"/>
        <v>-387462.23999999976</v>
      </c>
      <c r="M45" s="290">
        <f t="shared" si="6"/>
        <v>-8.5341177810163913</v>
      </c>
      <c r="N45" s="81"/>
      <c r="O45" s="307"/>
      <c r="BH45" s="159"/>
      <c r="BI45" s="159"/>
      <c r="BJ45" s="143"/>
      <c r="BK45" s="143"/>
      <c r="BL45" s="143"/>
      <c r="BM45" s="140"/>
    </row>
    <row r="46" spans="1:65" ht="13.5" customHeight="1">
      <c r="B46" s="80">
        <v>418</v>
      </c>
      <c r="C46" s="93" t="s">
        <v>83</v>
      </c>
      <c r="D46" s="152">
        <f>'Cental Budget'!D45+'Local Government'!D50</f>
        <v>6365750.8100000005</v>
      </c>
      <c r="E46" s="284">
        <f t="shared" si="0"/>
        <v>0.160865026028505</v>
      </c>
      <c r="F46" s="152">
        <f>+IF(ISNUMBER(VLOOKUP($B46,'Cental Budget'!$B$16:$K$76,'Public Expenditure'!F$1,FALSE)),VLOOKUP($B46,'Cental Budget'!$B$16:$K$76,'Public Expenditure'!F$1,FALSE),0)+IF(ISNUMBER(VLOOKUP('Public Expenditure'!$B46,'Local Government'!$B$16:$M$76,'Public Expenditure'!F$1,FALSE)),VLOOKUP('Public Expenditure'!$B46,'Local Government'!$B$16:$M$76,'Public Expenditure'!F$1,FALSE),0)</f>
        <v>10394214.504006846</v>
      </c>
      <c r="G46" s="284">
        <f t="shared" si="2"/>
        <v>0.26266588759746401</v>
      </c>
      <c r="H46" s="205">
        <f t="shared" si="3"/>
        <v>-4028463.6940068454</v>
      </c>
      <c r="I46" s="290">
        <f t="shared" si="4"/>
        <v>-38.75678813876624</v>
      </c>
      <c r="J46" s="152">
        <f>+IF(ISNUMBER(VLOOKUP($B46,'Cental Budget'!$B$16:$K$76,'Public Expenditure'!J$1,FALSE)),VLOOKUP($B46,'Cental Budget'!$B$16:$K$76,'Public Expenditure'!J$1,FALSE),0)+IF(ISNUMBER(VLOOKUP('Public Expenditure'!$B46,'Local Government'!$B$16:$M$76,'Public Expenditure'!J$1,FALSE)),VLOOKUP('Public Expenditure'!$B46,'Local Government'!$B$16:$M$76,'Public Expenditure'!J$1,FALSE),0)</f>
        <v>7126581.0300000012</v>
      </c>
      <c r="K46" s="284">
        <f t="shared" si="1"/>
        <v>0.18888367426451105</v>
      </c>
      <c r="L46" s="205">
        <f t="shared" si="5"/>
        <v>-760830.22000000067</v>
      </c>
      <c r="M46" s="290">
        <f t="shared" si="6"/>
        <v>-10.675949895149088</v>
      </c>
      <c r="N46" s="81"/>
      <c r="O46" s="307"/>
      <c r="BH46" s="159"/>
      <c r="BI46" s="159"/>
      <c r="BJ46" s="143"/>
      <c r="BK46" s="143"/>
      <c r="BL46" s="143"/>
      <c r="BM46" s="140"/>
    </row>
    <row r="47" spans="1:65" ht="13.5" customHeight="1">
      <c r="B47" s="80">
        <v>419</v>
      </c>
      <c r="C47" s="93" t="s">
        <v>85</v>
      </c>
      <c r="D47" s="152">
        <f>'Cental Budget'!D46+'Local Government'!D51</f>
        <v>15559363.199999999</v>
      </c>
      <c r="E47" s="284">
        <f t="shared" si="0"/>
        <v>0.39319122611947838</v>
      </c>
      <c r="F47" s="152">
        <f>+IF(ISNUMBER(VLOOKUP($B47,'Cental Budget'!$B$16:$K$76,'Public Expenditure'!F$1,FALSE)),VLOOKUP($B47,'Cental Budget'!$B$16:$K$76,'Public Expenditure'!F$1,FALSE),0)+IF(ISNUMBER(VLOOKUP('Public Expenditure'!$B47,'Local Government'!$B$16:$M$76,'Public Expenditure'!F$1,FALSE)),VLOOKUP('Public Expenditure'!$B47,'Local Government'!$B$16:$M$76,'Public Expenditure'!F$1,FALSE),0)</f>
        <v>14379828.925067879</v>
      </c>
      <c r="G47" s="284">
        <f t="shared" si="2"/>
        <v>0.36338393119043466</v>
      </c>
      <c r="H47" s="205">
        <f t="shared" si="3"/>
        <v>1179534.27493212</v>
      </c>
      <c r="I47" s="290">
        <f t="shared" si="4"/>
        <v>8.2027003316838858</v>
      </c>
      <c r="J47" s="152">
        <f>+IF(ISNUMBER(VLOOKUP($B47,'Cental Budget'!$B$16:$K$76,'Public Expenditure'!J$1,FALSE)),VLOOKUP($B47,'Cental Budget'!$B$16:$K$76,'Public Expenditure'!J$1,FALSE),0)+IF(ISNUMBER(VLOOKUP('Public Expenditure'!$B47,'Local Government'!$B$16:$M$76,'Public Expenditure'!J$1,FALSE)),VLOOKUP('Public Expenditure'!$B47,'Local Government'!$B$16:$M$76,'Public Expenditure'!J$1,FALSE),0)</f>
        <v>16378620.050000001</v>
      </c>
      <c r="K47" s="284">
        <f t="shared" si="1"/>
        <v>0.43410071693612517</v>
      </c>
      <c r="L47" s="205">
        <f t="shared" si="5"/>
        <v>-819256.85000000149</v>
      </c>
      <c r="M47" s="290">
        <f t="shared" si="6"/>
        <v>-5.0019894685816411</v>
      </c>
      <c r="N47" s="81"/>
      <c r="O47" s="307"/>
      <c r="BH47" s="159"/>
      <c r="BI47" s="159"/>
      <c r="BJ47" s="143"/>
      <c r="BK47" s="143"/>
      <c r="BL47" s="143"/>
      <c r="BM47" s="140"/>
    </row>
    <row r="48" spans="1:65" ht="13.5" customHeight="1">
      <c r="B48" s="80">
        <v>441</v>
      </c>
      <c r="C48" s="93" t="s">
        <v>129</v>
      </c>
      <c r="D48" s="152">
        <f>'Cental Budget'!D47</f>
        <v>11878072.52</v>
      </c>
      <c r="E48" s="284">
        <f t="shared" si="0"/>
        <v>0.30016356312544223</v>
      </c>
      <c r="F48" s="152">
        <f>+IF(ISNUMBER(VLOOKUP($B48,'Cental Budget'!$B$16:$K$76,'Public Expenditure'!F$1,FALSE)),VLOOKUP($B48,'Cental Budget'!$B$16:$K$76,'Public Expenditure'!F$1,FALSE),0)+IF(ISNUMBER(VLOOKUP('Public Expenditure'!$B48,'Local Government'!$B$16:$M$76,'Public Expenditure'!F$1,FALSE)),VLOOKUP('Public Expenditure'!$B48,'Local Government'!$B$16:$M$76,'Public Expenditure'!F$1,FALSE),0)</f>
        <v>14442769.320000002</v>
      </c>
      <c r="G48" s="284">
        <f t="shared" si="2"/>
        <v>0.36497445971899328</v>
      </c>
      <c r="H48" s="205">
        <f>+D48-F48</f>
        <v>-2564696.8000000026</v>
      </c>
      <c r="I48" s="290">
        <f t="shared" si="4"/>
        <v>-17.757652588471871</v>
      </c>
      <c r="J48" s="152">
        <f>+IF(ISNUMBER(VLOOKUP($B48,'Cental Budget'!$B$16:$K$76,'Public Expenditure'!J$1,FALSE)),VLOOKUP($B48,'Cental Budget'!$B$16:$K$76,'Public Expenditure'!J$1,FALSE),0)+IF(ISNUMBER(VLOOKUP('Public Expenditure'!$B48,'Local Government'!$B$16:$M$76,'Public Expenditure'!J$1,FALSE)),VLOOKUP('Public Expenditure'!$B48,'Local Government'!$B$16:$M$76,'Public Expenditure'!J$1,FALSE),0)</f>
        <v>12137137.739999998</v>
      </c>
      <c r="K48" s="284">
        <f t="shared" si="1"/>
        <v>0.3216840111317254</v>
      </c>
      <c r="L48" s="205">
        <f t="shared" si="5"/>
        <v>-259065.21999999881</v>
      </c>
      <c r="M48" s="290">
        <f t="shared" si="6"/>
        <v>-2.1344836447410955</v>
      </c>
      <c r="N48" s="81"/>
      <c r="O48" s="307"/>
      <c r="BH48" s="159"/>
      <c r="BI48" s="159"/>
      <c r="BJ48" s="143"/>
      <c r="BK48" s="143"/>
      <c r="BL48" s="143"/>
      <c r="BM48" s="140"/>
    </row>
    <row r="49" spans="1:65" ht="13.5" customHeight="1">
      <c r="A49" s="80">
        <v>42</v>
      </c>
      <c r="B49" s="80">
        <v>42</v>
      </c>
      <c r="C49" s="93" t="s">
        <v>86</v>
      </c>
      <c r="D49" s="94">
        <f>'Cental Budget'!D48+'Local Government'!D52</f>
        <v>273054917.74000001</v>
      </c>
      <c r="E49" s="284">
        <f t="shared" si="0"/>
        <v>6.9002051384817547</v>
      </c>
      <c r="F49" s="94">
        <f>+IF(ISNUMBER(VLOOKUP($B49,'Cental Budget'!$B$16:$K$76,'Public Expenditure'!F$1,FALSE)),VLOOKUP($B49,'Cental Budget'!$B$16:$K$76,'Public Expenditure'!F$1,FALSE),0)+IF(ISNUMBER(VLOOKUP('Public Expenditure'!$B49,'Local Government'!$B$16:$M$76,'Public Expenditure'!F$1,FALSE)),VLOOKUP('Public Expenditure'!$B49,'Local Government'!$B$16:$M$76,'Public Expenditure'!F$1,FALSE),0)</f>
        <v>285459052.5</v>
      </c>
      <c r="G49" s="284">
        <f t="shared" si="2"/>
        <v>7.2136625012635198</v>
      </c>
      <c r="H49" s="203">
        <f t="shared" si="3"/>
        <v>-12404134.75999999</v>
      </c>
      <c r="I49" s="290">
        <f t="shared" si="4"/>
        <v>-4.3453289189348823</v>
      </c>
      <c r="J49" s="94">
        <f>+IF(ISNUMBER(VLOOKUP($B49,'Cental Budget'!$B$16:$K$76,'Public Expenditure'!J$1,FALSE)),VLOOKUP($B49,'Cental Budget'!$B$16:$K$76,'Public Expenditure'!J$1,FALSE),0)+IF(ISNUMBER(VLOOKUP('Public Expenditure'!$B49,'Local Government'!$B$16:$M$76,'Public Expenditure'!J$1,FALSE)),VLOOKUP('Public Expenditure'!$B49,'Local Government'!$B$16:$M$76,'Public Expenditure'!J$1,FALSE),0)</f>
        <v>266302220.22</v>
      </c>
      <c r="K49" s="284">
        <f t="shared" si="1"/>
        <v>7.0581028417704754</v>
      </c>
      <c r="L49" s="203">
        <f t="shared" si="5"/>
        <v>6752697.5200000107</v>
      </c>
      <c r="M49" s="290">
        <f t="shared" si="6"/>
        <v>2.5357270827188074</v>
      </c>
      <c r="N49" s="81"/>
      <c r="O49" s="307"/>
      <c r="BH49" s="159"/>
      <c r="BI49" s="159"/>
      <c r="BJ49" s="143"/>
      <c r="BK49" s="143"/>
      <c r="BL49" s="143"/>
      <c r="BM49" s="140"/>
    </row>
    <row r="50" spans="1:65" ht="13.5" customHeight="1">
      <c r="B50" s="80">
        <v>421</v>
      </c>
      <c r="C50" s="97" t="s">
        <v>88</v>
      </c>
      <c r="D50" s="154">
        <f>'Cental Budget'!D49+'Local Government'!D53</f>
        <v>57556963.009999998</v>
      </c>
      <c r="E50" s="283">
        <f t="shared" si="0"/>
        <v>1.454487087081775</v>
      </c>
      <c r="F50" s="154">
        <f>+IF(ISNUMBER(VLOOKUP($B50,'Cental Budget'!$B$16:$K$76,'Public Expenditure'!F$1,FALSE)),VLOOKUP($B50,'Cental Budget'!$B$16:$K$76,'Public Expenditure'!F$1,FALSE),0)+IF(ISNUMBER(VLOOKUP('Public Expenditure'!$B50,'Local Government'!$B$16:$M$76,'Public Expenditure'!F$1,FALSE)),VLOOKUP('Public Expenditure'!$B50,'Local Government'!$B$16:$M$76,'Public Expenditure'!F$1,FALSE),0)</f>
        <v>59513678.781977609</v>
      </c>
      <c r="G50" s="283">
        <f t="shared" si="2"/>
        <v>1.5039340640346106</v>
      </c>
      <c r="H50" s="206">
        <f t="shared" si="3"/>
        <v>-1956715.7719776109</v>
      </c>
      <c r="I50" s="289">
        <f t="shared" si="4"/>
        <v>-3.287842076013888</v>
      </c>
      <c r="J50" s="154">
        <f>+IF(ISNUMBER(VLOOKUP($B50,'Cental Budget'!$B$16:$K$76,'Public Expenditure'!J$1,FALSE)),VLOOKUP($B50,'Cental Budget'!$B$16:$K$76,'Public Expenditure'!J$1,FALSE),0)+IF(ISNUMBER(VLOOKUP('Public Expenditure'!$B50,'Local Government'!$B$16:$M$76,'Public Expenditure'!J$1,FALSE)),VLOOKUP('Public Expenditure'!$B50,'Local Government'!$B$16:$M$76,'Public Expenditure'!J$1,FALSE),0)</f>
        <v>53075512.649999991</v>
      </c>
      <c r="K50" s="283">
        <f t="shared" si="1"/>
        <v>1.4067191266896366</v>
      </c>
      <c r="L50" s="206">
        <f t="shared" si="5"/>
        <v>4481450.3600000069</v>
      </c>
      <c r="M50" s="289">
        <f t="shared" si="6"/>
        <v>8.4435366447657145</v>
      </c>
      <c r="N50" s="81"/>
      <c r="O50" s="307"/>
      <c r="BH50" s="159"/>
      <c r="BI50" s="159"/>
      <c r="BJ50" s="143"/>
      <c r="BK50" s="143"/>
      <c r="BL50" s="143"/>
      <c r="BM50" s="140"/>
    </row>
    <row r="51" spans="1:65" ht="13.5" customHeight="1">
      <c r="B51" s="80">
        <v>422</v>
      </c>
      <c r="C51" s="97" t="s">
        <v>90</v>
      </c>
      <c r="D51" s="154">
        <f>'Cental Budget'!D50</f>
        <v>5536005.5500000007</v>
      </c>
      <c r="E51" s="283">
        <f t="shared" si="0"/>
        <v>0.13989703704639647</v>
      </c>
      <c r="F51" s="154">
        <f>+IF(ISNUMBER(VLOOKUP($B51,'Cental Budget'!$B$16:$K$76,'Public Expenditure'!F$1,FALSE)),VLOOKUP($B51,'Cental Budget'!$B$16:$K$76,'Public Expenditure'!F$1,FALSE),0)+IF(ISNUMBER(VLOOKUP('Public Expenditure'!$B51,'Local Government'!$B$16:$M$76,'Public Expenditure'!F$1,FALSE)),VLOOKUP('Public Expenditure'!$B51,'Local Government'!$B$16:$M$76,'Public Expenditure'!F$1,FALSE),0)</f>
        <v>10298240</v>
      </c>
      <c r="G51" s="283">
        <f t="shared" si="2"/>
        <v>0.26024057414333363</v>
      </c>
      <c r="H51" s="206">
        <f t="shared" si="3"/>
        <v>-4762234.4499999993</v>
      </c>
      <c r="I51" s="289">
        <f t="shared" si="4"/>
        <v>-46.243187670902984</v>
      </c>
      <c r="J51" s="154">
        <f>+IF(ISNUMBER(VLOOKUP($B51,'Cental Budget'!$B$16:$K$76,'Public Expenditure'!J$1,FALSE)),VLOOKUP($B51,'Cental Budget'!$B$16:$K$76,'Public Expenditure'!J$1,FALSE),0)+IF(ISNUMBER(VLOOKUP('Public Expenditure'!$B51,'Local Government'!$B$16:$M$76,'Public Expenditure'!J$1,FALSE)),VLOOKUP('Public Expenditure'!$B51,'Local Government'!$B$16:$M$76,'Public Expenditure'!J$1,FALSE),0)</f>
        <v>8865716.4499999993</v>
      </c>
      <c r="K51" s="283">
        <f t="shared" si="1"/>
        <v>0.23497790750066255</v>
      </c>
      <c r="L51" s="206">
        <f t="shared" si="5"/>
        <v>-3329710.8999999985</v>
      </c>
      <c r="M51" s="289">
        <f t="shared" si="6"/>
        <v>-37.557155349808177</v>
      </c>
      <c r="N51" s="81"/>
      <c r="O51" s="307"/>
      <c r="BH51" s="159"/>
      <c r="BI51" s="159"/>
      <c r="BJ51" s="143"/>
      <c r="BK51" s="143"/>
      <c r="BL51" s="143"/>
      <c r="BM51" s="140"/>
    </row>
    <row r="52" spans="1:65" ht="13.5" customHeight="1">
      <c r="B52" s="80">
        <v>423</v>
      </c>
      <c r="C52" s="97" t="s">
        <v>92</v>
      </c>
      <c r="D52" s="154">
        <f>+'Cental Budget'!D51</f>
        <v>198586743.64000002</v>
      </c>
      <c r="E52" s="283">
        <f t="shared" si="0"/>
        <v>5.0183650975437182</v>
      </c>
      <c r="F52" s="154">
        <f>+IF(ISNUMBER(VLOOKUP($B52,'Cental Budget'!$B$16:$K$76,'Public Expenditure'!F$1,FALSE)),VLOOKUP($B52,'Cental Budget'!$B$16:$K$76,'Public Expenditure'!F$1,FALSE),0)+IF(ISNUMBER(VLOOKUP('Public Expenditure'!$B52,'Local Government'!$B$16:$M$76,'Public Expenditure'!F$1,FALSE)),VLOOKUP('Public Expenditure'!$B52,'Local Government'!$B$16:$M$76,'Public Expenditure'!F$1,FALSE),0)</f>
        <v>205575000</v>
      </c>
      <c r="G52" s="283">
        <f t="shared" si="2"/>
        <v>5.1949610835944604</v>
      </c>
      <c r="H52" s="206">
        <f t="shared" si="3"/>
        <v>-6988256.3599999845</v>
      </c>
      <c r="I52" s="289">
        <f t="shared" si="4"/>
        <v>-3.3993707211479887</v>
      </c>
      <c r="J52" s="154">
        <f>+IF(ISNUMBER(VLOOKUP($B52,'Cental Budget'!$B$16:$K$76,'Public Expenditure'!J$1,FALSE)),VLOOKUP($B52,'Cental Budget'!$B$16:$K$76,'Public Expenditure'!J$1,FALSE),0)+IF(ISNUMBER(VLOOKUP('Public Expenditure'!$B52,'Local Government'!$B$16:$M$76,'Public Expenditure'!J$1,FALSE)),VLOOKUP('Public Expenditure'!$B52,'Local Government'!$B$16:$M$76,'Public Expenditure'!J$1,FALSE),0)</f>
        <v>193968601.93000001</v>
      </c>
      <c r="K52" s="283">
        <f t="shared" si="1"/>
        <v>5.1409648006891073</v>
      </c>
      <c r="L52" s="206">
        <f t="shared" si="5"/>
        <v>4618141.7100000083</v>
      </c>
      <c r="M52" s="289">
        <f t="shared" si="6"/>
        <v>2.3808707512706633</v>
      </c>
      <c r="N52" s="81"/>
      <c r="O52" s="307"/>
      <c r="BH52" s="159"/>
      <c r="BI52" s="159"/>
      <c r="BJ52" s="143"/>
      <c r="BK52" s="143"/>
      <c r="BL52" s="143"/>
      <c r="BM52" s="140"/>
    </row>
    <row r="53" spans="1:65" ht="13.5" customHeight="1">
      <c r="B53" s="80">
        <v>424</v>
      </c>
      <c r="C53" s="97" t="s">
        <v>94</v>
      </c>
      <c r="D53" s="154">
        <f>+'Cental Budget'!D52</f>
        <v>7180365.1899999995</v>
      </c>
      <c r="E53" s="283">
        <f t="shared" si="0"/>
        <v>0.1814506517234408</v>
      </c>
      <c r="F53" s="154">
        <f>+IF(ISNUMBER(VLOOKUP($B53,'Cental Budget'!$B$16:$K$76,'Public Expenditure'!F$1,FALSE)),VLOOKUP($B53,'Cental Budget'!$B$16:$K$76,'Public Expenditure'!F$1,FALSE),0)+IF(ISNUMBER(VLOOKUP('Public Expenditure'!$B53,'Local Government'!$B$16:$M$76,'Public Expenditure'!F$1,FALSE)),VLOOKUP('Public Expenditure'!$B53,'Local Government'!$B$16:$M$76,'Public Expenditure'!F$1,FALSE),0)</f>
        <v>7965499.9999999991</v>
      </c>
      <c r="G53" s="283">
        <f t="shared" si="2"/>
        <v>0.20129131709289394</v>
      </c>
      <c r="H53" s="206">
        <f t="shared" si="3"/>
        <v>-785134.80999999959</v>
      </c>
      <c r="I53" s="289">
        <f t="shared" si="4"/>
        <v>-9.8566921097231699</v>
      </c>
      <c r="J53" s="154">
        <f>+IF(ISNUMBER(VLOOKUP($B53,'Cental Budget'!$B$16:$K$76,'Public Expenditure'!J$1,FALSE)),VLOOKUP($B53,'Cental Budget'!$B$16:$K$76,'Public Expenditure'!J$1,FALSE),0)+IF(ISNUMBER(VLOOKUP('Public Expenditure'!$B53,'Local Government'!$B$16:$M$76,'Public Expenditure'!J$1,FALSE)),VLOOKUP('Public Expenditure'!$B53,'Local Government'!$B$16:$M$76,'Public Expenditure'!J$1,FALSE),0)</f>
        <v>6728251.5499999989</v>
      </c>
      <c r="K53" s="283">
        <f t="shared" si="1"/>
        <v>0.1783263066525311</v>
      </c>
      <c r="L53" s="206">
        <f t="shared" si="5"/>
        <v>452113.6400000006</v>
      </c>
      <c r="M53" s="289">
        <f t="shared" si="6"/>
        <v>6.7196304513912111</v>
      </c>
      <c r="N53" s="81"/>
      <c r="O53" s="307"/>
      <c r="BH53" s="159"/>
      <c r="BI53" s="159"/>
      <c r="BJ53" s="143"/>
      <c r="BK53" s="143"/>
      <c r="BL53" s="143"/>
      <c r="BM53" s="140"/>
    </row>
    <row r="54" spans="1:65" ht="13.5" customHeight="1">
      <c r="B54" s="80">
        <v>425</v>
      </c>
      <c r="C54" s="97" t="s">
        <v>431</v>
      </c>
      <c r="D54" s="154">
        <f>+'Cental Budget'!D53</f>
        <v>4194840.3499999996</v>
      </c>
      <c r="E54" s="283">
        <f t="shared" si="0"/>
        <v>0.10600526508642474</v>
      </c>
      <c r="F54" s="154">
        <f>+IF(ISNUMBER(VLOOKUP($B54,'Cental Budget'!$B$16:$K$76,'Public Expenditure'!F$1,FALSE)),VLOOKUP($B54,'Cental Budget'!$B$16:$K$76,'Public Expenditure'!F$1,FALSE),0)+IF(ISNUMBER(VLOOKUP('Public Expenditure'!$B54,'Local Government'!$B$16:$M$76,'Public Expenditure'!F$1,FALSE)),VLOOKUP('Public Expenditure'!$B54,'Local Government'!$B$16:$M$76,'Public Expenditure'!F$1,FALSE),0)</f>
        <v>4262500</v>
      </c>
      <c r="G54" s="283">
        <f t="shared" si="2"/>
        <v>0.10771505104619428</v>
      </c>
      <c r="H54" s="206">
        <f t="shared" si="3"/>
        <v>-67659.650000000373</v>
      </c>
      <c r="I54" s="289">
        <f t="shared" si="4"/>
        <v>-1.5873231671554322</v>
      </c>
      <c r="J54" s="154">
        <f>+IF(ISNUMBER(VLOOKUP($B54,'Cental Budget'!$B$16:$K$76,'Public Expenditure'!J$1,FALSE)),VLOOKUP($B54,'Cental Budget'!$B$16:$K$76,'Public Expenditure'!J$1,FALSE),0)+IF(ISNUMBER(VLOOKUP('Public Expenditure'!$B54,'Local Government'!$B$16:$M$76,'Public Expenditure'!J$1,FALSE)),VLOOKUP('Public Expenditure'!$B54,'Local Government'!$B$16:$M$76,'Public Expenditure'!J$1,FALSE),0)</f>
        <v>4385138.1399999997</v>
      </c>
      <c r="K54" s="283">
        <f t="shared" si="1"/>
        <v>0.11622417545719586</v>
      </c>
      <c r="L54" s="206">
        <f t="shared" si="5"/>
        <v>-190297.79000000004</v>
      </c>
      <c r="M54" s="289">
        <f t="shared" si="6"/>
        <v>-4.339607645746824</v>
      </c>
      <c r="N54" s="81"/>
      <c r="O54" s="307"/>
      <c r="BH54" s="159"/>
      <c r="BI54" s="159"/>
      <c r="BJ54" s="143"/>
      <c r="BK54" s="143"/>
      <c r="BL54" s="143"/>
      <c r="BM54" s="140"/>
    </row>
    <row r="55" spans="1:65" ht="13.5" customHeight="1">
      <c r="A55" s="80">
        <v>43</v>
      </c>
      <c r="B55" s="80">
        <v>43</v>
      </c>
      <c r="C55" s="93" t="s">
        <v>432</v>
      </c>
      <c r="D55" s="94">
        <f>+SUM(D56:D57)</f>
        <v>84688672.629999995</v>
      </c>
      <c r="E55" s="284">
        <f t="shared" si="0"/>
        <v>2.1401160575659559</v>
      </c>
      <c r="F55" s="94">
        <f>+SUM(F56:F57)</f>
        <v>86459064.337502941</v>
      </c>
      <c r="G55" s="284">
        <f t="shared" si="2"/>
        <v>2.1848545521455307</v>
      </c>
      <c r="H55" s="203">
        <f t="shared" si="3"/>
        <v>-1770391.7075029463</v>
      </c>
      <c r="I55" s="290">
        <f t="shared" si="4"/>
        <v>-2.0476646619630543</v>
      </c>
      <c r="J55" s="94">
        <f>+SUM(J56:J57)</f>
        <v>89160658.629999995</v>
      </c>
      <c r="K55" s="284">
        <f t="shared" si="1"/>
        <v>2.3631237378743704</v>
      </c>
      <c r="L55" s="203">
        <f t="shared" si="5"/>
        <v>-4471986</v>
      </c>
      <c r="M55" s="290">
        <f t="shared" si="6"/>
        <v>-5.0156493555727337</v>
      </c>
      <c r="N55" s="81"/>
      <c r="O55" s="307"/>
      <c r="BH55" s="159"/>
      <c r="BI55" s="159"/>
      <c r="BJ55" s="143"/>
      <c r="BK55" s="143"/>
      <c r="BL55" s="143"/>
      <c r="BM55" s="140"/>
    </row>
    <row r="56" spans="1:65" ht="13.5" customHeight="1">
      <c r="A56" s="80">
        <v>999</v>
      </c>
      <c r="B56" s="80">
        <v>431</v>
      </c>
      <c r="C56" s="97" t="s">
        <v>432</v>
      </c>
      <c r="D56" s="154">
        <f>'Cental Budget'!D55+'Local Government'!D56</f>
        <v>75365357.989999995</v>
      </c>
      <c r="E56" s="283">
        <f t="shared" si="0"/>
        <v>1.9045122306176081</v>
      </c>
      <c r="F56" s="154">
        <f>'Cental Budget'!F55+'Local Government'!F56-'Local Government'!F76</f>
        <v>83565523.166102946</v>
      </c>
      <c r="G56" s="283">
        <f t="shared" si="2"/>
        <v>2.1117336289826887</v>
      </c>
      <c r="H56" s="206">
        <f t="shared" si="3"/>
        <v>-8200165.1761029512</v>
      </c>
      <c r="I56" s="289">
        <f t="shared" si="4"/>
        <v>-9.8128568641920708</v>
      </c>
      <c r="J56" s="154">
        <f>'Cental Budget'!J55+'Local Government'!J56-'Local Government'!J76</f>
        <v>80545771.969999999</v>
      </c>
      <c r="K56" s="283">
        <f t="shared" si="1"/>
        <v>2.1347938502517887</v>
      </c>
      <c r="L56" s="206">
        <f t="shared" si="5"/>
        <v>-5180413.9800000042</v>
      </c>
      <c r="M56" s="289">
        <f t="shared" si="6"/>
        <v>-6.4316398655034277</v>
      </c>
      <c r="N56" s="81"/>
      <c r="O56" s="307"/>
      <c r="BH56" s="159"/>
      <c r="BI56" s="159"/>
      <c r="BJ56" s="143"/>
      <c r="BK56" s="143"/>
      <c r="BL56" s="143"/>
      <c r="BM56" s="140"/>
    </row>
    <row r="57" spans="1:65" ht="13.5" customHeight="1" thickBot="1">
      <c r="A57" s="80" t="s">
        <v>427</v>
      </c>
      <c r="B57" s="80">
        <v>432</v>
      </c>
      <c r="C57" s="97" t="s">
        <v>433</v>
      </c>
      <c r="D57" s="154">
        <f>'Cental Budget'!D56+'Local Government'!D57</f>
        <v>9323314.6399999987</v>
      </c>
      <c r="E57" s="283">
        <f t="shared" si="0"/>
        <v>0.23560382694834728</v>
      </c>
      <c r="F57" s="154">
        <f>+IF(ISNUMBER(VLOOKUP($B57,'Cental Budget'!$B$16:$K$76,'Public Expenditure'!F$1,FALSE)),VLOOKUP($B57,'Cental Budget'!$B$16:$K$76,'Public Expenditure'!F$1,FALSE),0)+IF(ISNUMBER(VLOOKUP('Public Expenditure'!$B57,'Local Government'!$B$16:$M$76,'Public Expenditure'!F$1,FALSE)),VLOOKUP('Public Expenditure'!$B57,'Local Government'!$B$16:$M$76,'Public Expenditure'!F$1,FALSE),0)</f>
        <v>2893541.1713999994</v>
      </c>
      <c r="G57" s="283">
        <f t="shared" si="2"/>
        <v>7.3120923162842411E-2</v>
      </c>
      <c r="H57" s="206">
        <f t="shared" si="3"/>
        <v>6429773.4685999993</v>
      </c>
      <c r="I57" s="289">
        <f t="shared" si="4"/>
        <v>222.21123141956343</v>
      </c>
      <c r="J57" s="154">
        <f>+IF(ISNUMBER(VLOOKUP($B57,'Cental Budget'!$B$16:$K$76,'Public Expenditure'!J$1,FALSE)),VLOOKUP($B57,'Cental Budget'!$B$16:$K$76,'Public Expenditure'!J$1,FALSE),0)+IF(ISNUMBER(VLOOKUP('Public Expenditure'!$B57,'Local Government'!$B$16:$M$76,'Public Expenditure'!J$1,FALSE)),VLOOKUP('Public Expenditure'!$B57,'Local Government'!$B$16:$M$76,'Public Expenditure'!J$1,FALSE),0)</f>
        <v>8614886.6600000001</v>
      </c>
      <c r="K57" s="283">
        <f t="shared" si="1"/>
        <v>0.2283298876225815</v>
      </c>
      <c r="L57" s="206">
        <f t="shared" si="5"/>
        <v>708427.97999999858</v>
      </c>
      <c r="M57" s="289">
        <f t="shared" si="6"/>
        <v>8.2233000613846485</v>
      </c>
      <c r="N57" s="81"/>
      <c r="O57" s="307"/>
      <c r="BH57" s="159"/>
      <c r="BI57" s="159"/>
      <c r="BJ57" s="143"/>
      <c r="BK57" s="143"/>
      <c r="BL57" s="143"/>
      <c r="BM57" s="140"/>
    </row>
    <row r="58" spans="1:65" ht="13.5" customHeight="1" thickTop="1" thickBot="1">
      <c r="B58" s="80">
        <v>44</v>
      </c>
      <c r="C58" s="176" t="s">
        <v>130</v>
      </c>
      <c r="D58" s="175">
        <f>'Cental Budget'!D57+'Local Government'!D58</f>
        <v>55901336.930000007</v>
      </c>
      <c r="E58" s="281">
        <f t="shared" si="0"/>
        <v>1.4126487650358841</v>
      </c>
      <c r="F58" s="175">
        <f>+IF(ISNUMBER(VLOOKUP($B58,'Cental Budget'!$B$16:$K$76,'Public Expenditure'!F$1,FALSE)),VLOOKUP($B58,'Cental Budget'!$B$16:$K$76,'Public Expenditure'!F$1,FALSE),0)+IF(ISNUMBER(VLOOKUP('Public Expenditure'!$B58,'Local Government'!$B$16:$M$76,'Public Expenditure'!F$1,FALSE)),VLOOKUP('Public Expenditure'!$B58,'Local Government'!$B$16:$M$76,'Public Expenditure'!F$1,FALSE),0)</f>
        <v>94365263.834039778</v>
      </c>
      <c r="G58" s="281">
        <f t="shared" si="2"/>
        <v>2.3846473221985187</v>
      </c>
      <c r="H58" s="175">
        <f t="shared" si="3"/>
        <v>-38463926.90403977</v>
      </c>
      <c r="I58" s="281">
        <f t="shared" si="4"/>
        <v>-40.760683901320185</v>
      </c>
      <c r="J58" s="175">
        <f>+IF(ISNUMBER(VLOOKUP($B58,'Cental Budget'!$B$16:$K$76,'Public Expenditure'!J$1,FALSE)),VLOOKUP($B58,'Cental Budget'!$B$16:$K$76,'Public Expenditure'!J$1,FALSE),0)+IF(ISNUMBER(VLOOKUP('Public Expenditure'!$B58,'Local Government'!$B$16:$M$76,'Public Expenditure'!J$1,FALSE)),VLOOKUP('Public Expenditure'!$B58,'Local Government'!$B$16:$M$76,'Public Expenditure'!J$1,FALSE),0)</f>
        <v>24296270.369999997</v>
      </c>
      <c r="K58" s="281">
        <f t="shared" si="1"/>
        <v>0.64395097720646699</v>
      </c>
      <c r="L58" s="175">
        <f t="shared" si="5"/>
        <v>31605066.56000001</v>
      </c>
      <c r="M58" s="281">
        <f t="shared" si="6"/>
        <v>130.08196763822895</v>
      </c>
      <c r="N58" s="81"/>
      <c r="O58" s="307"/>
      <c r="BH58" s="159"/>
      <c r="BI58" s="159"/>
      <c r="BJ58" s="143"/>
      <c r="BK58" s="143"/>
      <c r="BL58" s="143"/>
      <c r="BM58" s="140"/>
    </row>
    <row r="59" spans="1:65" ht="13.5" customHeight="1" thickTop="1">
      <c r="B59" s="80">
        <v>451</v>
      </c>
      <c r="C59" s="93" t="s">
        <v>110</v>
      </c>
      <c r="D59" s="152">
        <f>'Cental Budget'!D58+'Local Government'!D59</f>
        <v>1437597.89</v>
      </c>
      <c r="E59" s="284">
        <f t="shared" si="0"/>
        <v>3.6328663954311127E-2</v>
      </c>
      <c r="F59" s="152">
        <f>+IF(ISNUMBER(VLOOKUP($B59,'Cental Budget'!$B$16:$K$76,'Public Expenditure'!F$1,FALSE)),VLOOKUP($B59,'Cental Budget'!$B$16:$K$76,'Public Expenditure'!F$1,FALSE),0)+IF(ISNUMBER(VLOOKUP('Public Expenditure'!$B59,'Local Government'!$B$16:$M$76,'Public Expenditure'!F$1,FALSE)),VLOOKUP('Public Expenditure'!$B59,'Local Government'!$B$16:$M$76,'Public Expenditure'!F$1,FALSE),0)</f>
        <v>1441798.6240596201</v>
      </c>
      <c r="G59" s="284">
        <f t="shared" si="2"/>
        <v>3.6434818155757102E-2</v>
      </c>
      <c r="H59" s="205">
        <f t="shared" si="3"/>
        <v>-4200.734059620183</v>
      </c>
      <c r="I59" s="290">
        <f t="shared" si="4"/>
        <v>-0.29135372926020864</v>
      </c>
      <c r="J59" s="152">
        <f>+IF(ISNUMBER(VLOOKUP($B59,'Cental Budget'!$B$16:$K$76,'Public Expenditure'!J$1,FALSE)),VLOOKUP($B59,'Cental Budget'!$B$16:$K$76,'Public Expenditure'!J$1,FALSE),0)+IF(ISNUMBER(VLOOKUP('Public Expenditure'!$B59,'Local Government'!$B$16:$M$76,'Public Expenditure'!J$1,FALSE)),VLOOKUP('Public Expenditure'!$B59,'Local Government'!$B$16:$M$76,'Public Expenditure'!J$1,FALSE),0)</f>
        <v>1622296.8499999999</v>
      </c>
      <c r="K59" s="284">
        <f t="shared" si="1"/>
        <v>4.2997531142327058E-2</v>
      </c>
      <c r="L59" s="205">
        <f t="shared" si="5"/>
        <v>-184698.95999999996</v>
      </c>
      <c r="M59" s="290">
        <f t="shared" si="6"/>
        <v>-11.385028578462681</v>
      </c>
      <c r="N59" s="81"/>
      <c r="O59" s="307"/>
      <c r="BH59" s="159"/>
      <c r="BI59" s="159"/>
      <c r="BJ59" s="143"/>
      <c r="BK59" s="143"/>
      <c r="BL59" s="143"/>
      <c r="BM59" s="140"/>
    </row>
    <row r="60" spans="1:65" ht="13.5" customHeight="1" thickBot="1">
      <c r="B60" s="80">
        <v>47</v>
      </c>
      <c r="C60" s="93" t="s">
        <v>117</v>
      </c>
      <c r="D60" s="152">
        <f>'Cental Budget'!D59+'Local Government'!D60</f>
        <v>7196295.4000000004</v>
      </c>
      <c r="E60" s="284">
        <f t="shared" si="0"/>
        <v>0.18185321439401597</v>
      </c>
      <c r="F60" s="152">
        <f>+IF(ISNUMBER(VLOOKUP($B60,'Cental Budget'!$B$16:$K$76,'Public Expenditure'!F$1,FALSE)),VLOOKUP($B60,'Cental Budget'!$B$16:$K$76,'Public Expenditure'!F$1,FALSE),0)+IF(ISNUMBER(VLOOKUP('Public Expenditure'!$B60,'Local Government'!$B$16:$M$76,'Public Expenditure'!F$1,FALSE)),VLOOKUP('Public Expenditure'!$B60,'Local Government'!$B$16:$M$76,'Public Expenditure'!F$1,FALSE),0)</f>
        <v>7911876.842922328</v>
      </c>
      <c r="G60" s="284">
        <f t="shared" si="2"/>
        <v>0.1999362388285234</v>
      </c>
      <c r="H60" s="205">
        <f t="shared" si="3"/>
        <v>-715581.44292232767</v>
      </c>
      <c r="I60" s="290">
        <f t="shared" si="4"/>
        <v>-9.0443956235549905</v>
      </c>
      <c r="J60" s="152">
        <f>+IF(ISNUMBER(VLOOKUP($B60,'Cental Budget'!$B$16:$K$76,'Public Expenditure'!J$1,FALSE)),VLOOKUP($B60,'Cental Budget'!$B$16:$K$76,'Public Expenditure'!J$1,FALSE),0)+IF(ISNUMBER(VLOOKUP('Public Expenditure'!$B60,'Local Government'!$B$16:$M$76,'Public Expenditure'!J$1,FALSE)),VLOOKUP('Public Expenditure'!$B60,'Local Government'!$B$16:$M$76,'Public Expenditure'!J$1,FALSE),0)</f>
        <v>6847715.3399999999</v>
      </c>
      <c r="K60" s="284">
        <f t="shared" si="1"/>
        <v>0.18149258786111847</v>
      </c>
      <c r="L60" s="205">
        <f t="shared" si="5"/>
        <v>348580.06000000052</v>
      </c>
      <c r="M60" s="290">
        <f t="shared" si="6"/>
        <v>5.0904578051575555</v>
      </c>
      <c r="N60" s="81"/>
      <c r="O60" s="307"/>
      <c r="BH60" s="159"/>
      <c r="BI60" s="159"/>
      <c r="BJ60" s="143"/>
      <c r="BK60" s="143"/>
      <c r="BL60" s="143"/>
      <c r="BM60" s="140"/>
    </row>
    <row r="61" spans="1:65" ht="13.5" customHeight="1" thickTop="1" thickBot="1">
      <c r="B61" s="80">
        <v>462</v>
      </c>
      <c r="C61" s="146" t="s">
        <v>112</v>
      </c>
      <c r="D61" s="161">
        <f>'Cental Budget'!D60+'Local Government'!D61</f>
        <v>0</v>
      </c>
      <c r="E61" s="285">
        <f t="shared" si="0"/>
        <v>0</v>
      </c>
      <c r="F61" s="161">
        <f>+IF(ISNUMBER(VLOOKUP($B61,'Cental Budget'!$B$16:$K$76,'Public Expenditure'!F$1,FALSE)),VLOOKUP($B61,'Cental Budget'!$B$16:$K$76,'Public Expenditure'!F$1,FALSE),0)+IF(ISNUMBER(VLOOKUP('Public Expenditure'!$B61,'Local Government'!$B$16:$M$76,'Public Expenditure'!F$1,FALSE)),VLOOKUP('Public Expenditure'!$B61,'Local Government'!$B$16:$M$76,'Public Expenditure'!F$1,FALSE),0)</f>
        <v>0</v>
      </c>
      <c r="G61" s="285">
        <f t="shared" si="2"/>
        <v>0</v>
      </c>
      <c r="H61" s="207">
        <f t="shared" si="3"/>
        <v>0</v>
      </c>
      <c r="I61" s="262" t="e">
        <f t="shared" si="4"/>
        <v>#DIV/0!</v>
      </c>
      <c r="J61" s="161">
        <f>+IF(ISNUMBER(VLOOKUP($B61,'Cental Budget'!$B$16:$K$76,'Public Expenditure'!J$1,FALSE)),VLOOKUP($B61,'Cental Budget'!$B$16:$K$76,'Public Expenditure'!J$1,FALSE),0)+IF(ISNUMBER(VLOOKUP('Public Expenditure'!$B61,'Local Government'!$B$16:$M$76,'Public Expenditure'!J$1,FALSE)),VLOOKUP('Public Expenditure'!$B61,'Local Government'!$B$16:$M$76,'Public Expenditure'!J$1,FALSE),0)</f>
        <v>0</v>
      </c>
      <c r="K61" s="285">
        <f t="shared" si="1"/>
        <v>0</v>
      </c>
      <c r="L61" s="207">
        <f t="shared" si="5"/>
        <v>0</v>
      </c>
      <c r="M61" s="291" t="e">
        <f t="shared" si="6"/>
        <v>#DIV/0!</v>
      </c>
      <c r="N61" s="81"/>
      <c r="O61" s="307"/>
      <c r="BH61" s="159"/>
      <c r="BI61" s="159"/>
      <c r="BJ61" s="143"/>
      <c r="BK61" s="143"/>
      <c r="BL61" s="143"/>
      <c r="BM61" s="140"/>
    </row>
    <row r="62" spans="1:65" ht="13.5" customHeight="1" thickTop="1" thickBot="1">
      <c r="B62" s="300" t="s">
        <v>450</v>
      </c>
      <c r="C62" s="209" t="s">
        <v>115</v>
      </c>
      <c r="D62" s="210">
        <f>'Cental Budget'!D61+'Local Government'!D62</f>
        <v>32709324.719999999</v>
      </c>
      <c r="E62" s="286">
        <f>D62/D$11*100</f>
        <v>0.82657749722025664</v>
      </c>
      <c r="F62" s="210">
        <f>'Cental Budget'!F61+'Local Government'!F62</f>
        <v>22870486.148349036</v>
      </c>
      <c r="G62" s="286">
        <f>F62/D$11*100</f>
        <v>0.57794617781130686</v>
      </c>
      <c r="H62" s="211">
        <f>+D62-F62</f>
        <v>9838838.5716509633</v>
      </c>
      <c r="I62" s="262">
        <f t="shared" si="4"/>
        <v>43.019805122774812</v>
      </c>
      <c r="J62" s="210">
        <f>'Cental Budget'!J61+'Local Government'!J62</f>
        <v>51539248.909999996</v>
      </c>
      <c r="K62" s="286">
        <f>J62/J$11*100</f>
        <v>1.3660018263980915</v>
      </c>
      <c r="L62" s="211">
        <f>+D62-J62</f>
        <v>-18829924.189999998</v>
      </c>
      <c r="M62" s="292">
        <f>+D62/J62*100-100</f>
        <v>-36.535115641443674</v>
      </c>
      <c r="N62" s="81"/>
      <c r="O62" s="307"/>
      <c r="BH62" s="159"/>
      <c r="BI62" s="159"/>
      <c r="BJ62" s="143"/>
      <c r="BK62" s="143"/>
      <c r="BL62" s="143"/>
      <c r="BM62" s="140"/>
    </row>
    <row r="63" spans="1:65" ht="13.5" customHeight="1" thickTop="1" thickBot="1">
      <c r="B63" s="80">
        <v>990</v>
      </c>
      <c r="C63" s="145" t="s">
        <v>151</v>
      </c>
      <c r="D63" s="152">
        <f>'Cental Budget'!D62+'Local Government'!D63</f>
        <v>0</v>
      </c>
      <c r="E63" s="284">
        <f t="shared" si="0"/>
        <v>0</v>
      </c>
      <c r="F63" s="152">
        <f>+IF(ISNUMBER(VLOOKUP($B63,'Cental Budget'!$B$16:$K$76,'Public Expenditure'!F$1,FALSE)),VLOOKUP($B63,'Cental Budget'!$B$16:$K$76,'Public Expenditure'!F$1,FALSE),0)+IF(ISNUMBER(VLOOKUP('Public Expenditure'!$B63,'Local Government'!$B$16:$M$76,'Public Expenditure'!F$1,FALSE)),VLOOKUP('Public Expenditure'!$B63,'Local Government'!$B$16:$M$76,'Public Expenditure'!F$1,FALSE),0)</f>
        <v>0</v>
      </c>
      <c r="G63" s="284">
        <f t="shared" si="2"/>
        <v>0</v>
      </c>
      <c r="H63" s="205">
        <f t="shared" si="3"/>
        <v>0</v>
      </c>
      <c r="I63" s="262" t="e">
        <f t="shared" si="4"/>
        <v>#DIV/0!</v>
      </c>
      <c r="J63" s="152">
        <f>+IF(ISNUMBER(VLOOKUP($B63,'Cental Budget'!$B$16:$K$76,'Public Expenditure'!J$1,FALSE)),VLOOKUP($B63,'Cental Budget'!$B$16:$K$76,'Public Expenditure'!J$1,FALSE),0)+IF(ISNUMBER(VLOOKUP('Public Expenditure'!$B63,'Local Government'!$B$16:$M$76,'Public Expenditure'!J$1,FALSE)),VLOOKUP('Public Expenditure'!$B63,'Local Government'!$B$16:$M$76,'Public Expenditure'!J$1,FALSE),0)</f>
        <v>0</v>
      </c>
      <c r="K63" s="284">
        <f t="shared" si="1"/>
        <v>0</v>
      </c>
      <c r="L63" s="205">
        <f t="shared" si="5"/>
        <v>0</v>
      </c>
      <c r="M63" s="290" t="e">
        <f t="shared" si="6"/>
        <v>#DIV/0!</v>
      </c>
      <c r="N63" s="81"/>
      <c r="O63" s="307"/>
      <c r="BH63" s="159"/>
      <c r="BI63" s="159"/>
      <c r="BJ63" s="143"/>
      <c r="BK63" s="143"/>
      <c r="BL63" s="143"/>
      <c r="BM63" s="140"/>
    </row>
    <row r="64" spans="1:65" ht="13.5" customHeight="1" thickTop="1" thickBot="1">
      <c r="C64" s="176" t="s">
        <v>131</v>
      </c>
      <c r="D64" s="171">
        <f>+D16-D36</f>
        <v>-103311248.08000016</v>
      </c>
      <c r="E64" s="281">
        <f t="shared" si="0"/>
        <v>-2.6107158617204123</v>
      </c>
      <c r="F64" s="171">
        <f>+F16-F36</f>
        <v>-160619472.29425073</v>
      </c>
      <c r="G64" s="281">
        <f t="shared" si="2"/>
        <v>-4.0589172216276843</v>
      </c>
      <c r="H64" s="171">
        <f>+D64-F64</f>
        <v>57308224.214250565</v>
      </c>
      <c r="I64" s="281">
        <f t="shared" si="4"/>
        <v>-35.679499749110974</v>
      </c>
      <c r="J64" s="171">
        <f>+J16-J36-J63</f>
        <v>-118300625.0999999</v>
      </c>
      <c r="K64" s="281">
        <f>J64/J$11*100</f>
        <v>-3.1354525602968435</v>
      </c>
      <c r="L64" s="171">
        <f t="shared" si="5"/>
        <v>14989377.019999743</v>
      </c>
      <c r="M64" s="281">
        <f t="shared" si="6"/>
        <v>-12.670581416902209</v>
      </c>
      <c r="O64" s="307"/>
      <c r="BH64" s="159"/>
      <c r="BI64" s="159"/>
      <c r="BJ64" s="143"/>
      <c r="BK64" s="143"/>
      <c r="BL64" s="143"/>
      <c r="BM64" s="140"/>
    </row>
    <row r="65" spans="2:65" ht="13.5" customHeight="1" thickTop="1" thickBot="1">
      <c r="C65" s="176" t="s">
        <v>132</v>
      </c>
      <c r="D65" s="171">
        <f>+D64+D44</f>
        <v>-20919496.590000167</v>
      </c>
      <c r="E65" s="281">
        <f t="shared" si="0"/>
        <v>-0.52864390452845877</v>
      </c>
      <c r="F65" s="171">
        <f>+F64+F44</f>
        <v>-77794904.365199178</v>
      </c>
      <c r="G65" s="281">
        <f t="shared" si="2"/>
        <v>-1.9659078228343068</v>
      </c>
      <c r="H65" s="171">
        <f t="shared" si="3"/>
        <v>56875407.775199011</v>
      </c>
      <c r="I65" s="281">
        <f t="shared" si="4"/>
        <v>-73.109425661356937</v>
      </c>
      <c r="J65" s="171">
        <f>+J64+J44</f>
        <v>-49318577.679999903</v>
      </c>
      <c r="K65" s="281">
        <f t="shared" si="1"/>
        <v>-1.3071449159819746</v>
      </c>
      <c r="L65" s="171">
        <f t="shared" si="5"/>
        <v>28399081.089999735</v>
      </c>
      <c r="M65" s="281">
        <f t="shared" si="6"/>
        <v>-57.582928028186785</v>
      </c>
      <c r="O65" s="307"/>
      <c r="BH65" s="159"/>
      <c r="BI65" s="159"/>
      <c r="BJ65" s="143"/>
      <c r="BK65" s="143"/>
      <c r="BL65" s="143"/>
      <c r="BM65" s="140"/>
    </row>
    <row r="66" spans="2:65" ht="13.5" customHeight="1" thickTop="1" thickBot="1">
      <c r="C66" s="176" t="s">
        <v>0</v>
      </c>
      <c r="D66" s="171">
        <f>+SUM(D67:D68)</f>
        <v>204700369</v>
      </c>
      <c r="E66" s="281">
        <f t="shared" si="0"/>
        <v>5.1728588143131509</v>
      </c>
      <c r="F66" s="171">
        <f>+SUM(F67:F68)</f>
        <v>123611343.04867242</v>
      </c>
      <c r="G66" s="281">
        <f t="shared" si="2"/>
        <v>3.1237072437246645</v>
      </c>
      <c r="H66" s="171">
        <f t="shared" si="3"/>
        <v>81089025.951327577</v>
      </c>
      <c r="I66" s="281">
        <f t="shared" si="4"/>
        <v>65.599987793513804</v>
      </c>
      <c r="J66" s="171">
        <f>+SUM(J67:J68)</f>
        <v>355428818.54999995</v>
      </c>
      <c r="K66" s="281">
        <f t="shared" si="1"/>
        <v>9.4203238417704718</v>
      </c>
      <c r="L66" s="171">
        <f t="shared" si="5"/>
        <v>-150728449.54999995</v>
      </c>
      <c r="M66" s="281">
        <f t="shared" si="6"/>
        <v>-42.407492494533393</v>
      </c>
      <c r="O66" s="307"/>
      <c r="BH66" s="159"/>
      <c r="BI66" s="159"/>
      <c r="BJ66" s="143"/>
      <c r="BK66" s="143"/>
      <c r="BL66" s="143"/>
      <c r="BM66" s="140"/>
    </row>
    <row r="67" spans="2:65" ht="13.5" customHeight="1" thickTop="1">
      <c r="B67" s="80">
        <v>4611</v>
      </c>
      <c r="C67" s="97" t="s">
        <v>134</v>
      </c>
      <c r="D67" s="154">
        <f>'Cental Budget'!D66+'Local Government'!D67</f>
        <v>110065250.91</v>
      </c>
      <c r="E67" s="283">
        <f t="shared" si="0"/>
        <v>2.7813921689578489</v>
      </c>
      <c r="F67" s="154">
        <f>+IF(ISNUMBER(VLOOKUP($B67,'Cental Budget'!$B$16:$K$76,'Public Expenditure'!F$1,FALSE)),VLOOKUP($B67,'Cental Budget'!$B$16:$K$76,'Public Expenditure'!F$1,FALSE),0)+IF(ISNUMBER(VLOOKUP('Public Expenditure'!$B67,'Local Government'!$B$16:$M$76,'Public Expenditure'!F$1,FALSE)),VLOOKUP('Public Expenditure'!$B67,'Local Government'!$B$16:$M$76,'Public Expenditure'!F$1,FALSE),0)</f>
        <v>28197266.671157137</v>
      </c>
      <c r="G67" s="283">
        <f t="shared" si="2"/>
        <v>0.71255601615175224</v>
      </c>
      <c r="H67" s="206">
        <f t="shared" si="3"/>
        <v>81867984.23884286</v>
      </c>
      <c r="I67" s="289">
        <f t="shared" si="4"/>
        <v>290.34014251666906</v>
      </c>
      <c r="J67" s="154">
        <f>+IF(ISNUMBER(VLOOKUP($B67,'Cental Budget'!$B$16:$K$76,'Public Expenditure'!J$1,FALSE)),VLOOKUP($B67,'Cental Budget'!$B$16:$K$76,'Public Expenditure'!J$1,FALSE),0)+IF(ISNUMBER(VLOOKUP('Public Expenditure'!$B67,'Local Government'!$B$16:$M$76,'Public Expenditure'!J$1,FALSE)),VLOOKUP('Public Expenditure'!$B67,'Local Government'!$B$16:$M$76,'Public Expenditure'!J$1,FALSE),0)</f>
        <v>118447454.66000003</v>
      </c>
      <c r="K67" s="283">
        <f t="shared" si="1"/>
        <v>3.1393441468327601</v>
      </c>
      <c r="L67" s="206">
        <f t="shared" si="5"/>
        <v>-8382203.7500000298</v>
      </c>
      <c r="M67" s="289">
        <f t="shared" si="6"/>
        <v>-7.0767276291929591</v>
      </c>
      <c r="O67" s="307"/>
      <c r="BH67" s="159"/>
      <c r="BI67" s="159"/>
      <c r="BJ67" s="143"/>
      <c r="BK67" s="143"/>
      <c r="BL67" s="143"/>
      <c r="BM67" s="140"/>
    </row>
    <row r="68" spans="2:65" ht="13.5" customHeight="1" thickBot="1">
      <c r="B68" s="80">
        <v>4612</v>
      </c>
      <c r="C68" s="97" t="s">
        <v>136</v>
      </c>
      <c r="D68" s="154">
        <f>'Cental Budget'!D67+'Local Government'!D68</f>
        <v>94635118.090000018</v>
      </c>
      <c r="E68" s="283">
        <f t="shared" si="0"/>
        <v>2.3914666453553024</v>
      </c>
      <c r="F68" s="154">
        <f>+IF(ISNUMBER(VLOOKUP($B68,'Cental Budget'!$B$16:$K$76,'Public Expenditure'!F$1,FALSE)),VLOOKUP($B68,'Cental Budget'!$B$16:$K$76,'Public Expenditure'!F$1,FALSE),0)+IF(ISNUMBER(VLOOKUP('Public Expenditure'!$B68,'Local Government'!$B$16:$M$76,'Public Expenditure'!F$1,FALSE)),VLOOKUP('Public Expenditure'!$B68,'Local Government'!$B$16:$M$76,'Public Expenditure'!F$1,FALSE),0)</f>
        <v>95414076.377515286</v>
      </c>
      <c r="G68" s="283">
        <f t="shared" si="2"/>
        <v>2.4111512275729123</v>
      </c>
      <c r="H68" s="206">
        <f t="shared" si="3"/>
        <v>-778958.28751526773</v>
      </c>
      <c r="I68" s="289">
        <f t="shared" si="4"/>
        <v>-0.81639766069027075</v>
      </c>
      <c r="J68" s="154">
        <f>+IF(ISNUMBER(VLOOKUP($B68,'Cental Budget'!$B$16:$K$76,'Public Expenditure'!J$1,FALSE)),VLOOKUP($B68,'Cental Budget'!$B$16:$K$76,'Public Expenditure'!J$1,FALSE),0)+IF(ISNUMBER(VLOOKUP('Public Expenditure'!$B68,'Local Government'!$B$16:$M$76,'Public Expenditure'!J$1,FALSE)),VLOOKUP('Public Expenditure'!$B68,'Local Government'!$B$16:$M$76,'Public Expenditure'!J$1,FALSE),0)</f>
        <v>236981363.88999996</v>
      </c>
      <c r="K68" s="283">
        <f t="shared" si="1"/>
        <v>6.2809796949377148</v>
      </c>
      <c r="L68" s="206">
        <f t="shared" si="5"/>
        <v>-142346245.79999995</v>
      </c>
      <c r="M68" s="289">
        <f t="shared" si="6"/>
        <v>-60.066430314779112</v>
      </c>
      <c r="O68" s="307"/>
      <c r="BH68" s="159"/>
      <c r="BI68" s="159"/>
      <c r="BJ68" s="143"/>
      <c r="BK68" s="143"/>
      <c r="BL68" s="143"/>
      <c r="BM68" s="140"/>
    </row>
    <row r="69" spans="2:65" ht="13.5" hidden="1" customHeight="1" thickBot="1">
      <c r="B69" s="80" t="s">
        <v>451</v>
      </c>
      <c r="C69" s="97" t="s">
        <v>115</v>
      </c>
      <c r="D69" s="154">
        <f>+IF(ISNUMBER(VLOOKUP($B69,'Cental Budget'!$B$16:$K$76,'Public Expenditure'!D$1,FALSE)),VLOOKUP($B69,'Cental Budget'!$B$16:$K$76,'Public Expenditure'!D$1,FALSE),0)+IF(ISNUMBER(VLOOKUP('Public Expenditure'!$B69,'Local Government'!$B$16:$M$76,'Public Expenditure'!D$1,FALSE)),VLOOKUP('Public Expenditure'!$B69,'Local Government'!$B$16:$M$76,'Public Expenditure'!D$1,FALSE),0)</f>
        <v>18837705.409999996</v>
      </c>
      <c r="E69" s="283">
        <f t="shared" si="0"/>
        <v>0.47603622283432723</v>
      </c>
      <c r="F69" s="154">
        <f>+IF(ISNUMBER(VLOOKUP($B69,'Cental Budget'!$B$16:$K$76,'Public Expenditure'!F$1,FALSE)),VLOOKUP($B69,'Cental Budget'!$B$16:$K$76,'Public Expenditure'!F$1,FALSE),0)+IF(ISNUMBER(VLOOKUP('Public Expenditure'!$B69,'Local Government'!$B$16:$M$76,'Public Expenditure'!F$1,FALSE)),VLOOKUP('Public Expenditure'!$B69,'Local Government'!$B$16:$M$76,'Public Expenditure'!F$1,FALSE),0)</f>
        <v>39728735.548349038</v>
      </c>
      <c r="G69" s="283">
        <f t="shared" si="2"/>
        <v>1.003960768936345</v>
      </c>
      <c r="H69" s="206">
        <f t="shared" si="3"/>
        <v>-20891030.138349041</v>
      </c>
      <c r="I69" s="289">
        <f t="shared" si="4"/>
        <v>-52.584180820265715</v>
      </c>
      <c r="J69" s="154">
        <f>+IF(ISNUMBER(VLOOKUP($B69,'Cental Budget'!$B$16:$K$76,'Public Expenditure'!J$1,FALSE)),VLOOKUP($B69,'Cental Budget'!$B$16:$K$76,'Public Expenditure'!J$1,FALSE),0)+IF(ISNUMBER(VLOOKUP('Public Expenditure'!$B69,'Local Government'!$B$16:$M$76,'Public Expenditure'!J$1,FALSE)),VLOOKUP('Public Expenditure'!$B69,'Local Government'!$B$16:$M$76,'Public Expenditure'!J$1,FALSE),0)</f>
        <v>22510150.970000003</v>
      </c>
      <c r="K69" s="283">
        <f t="shared" si="1"/>
        <v>0.59661147548369997</v>
      </c>
      <c r="L69" s="206">
        <f t="shared" si="5"/>
        <v>-3672445.5600000061</v>
      </c>
      <c r="M69" s="289">
        <f t="shared" si="6"/>
        <v>-16.314619857034245</v>
      </c>
      <c r="O69" s="307"/>
      <c r="BH69" s="159"/>
      <c r="BI69" s="159"/>
      <c r="BJ69" s="143"/>
      <c r="BK69" s="143"/>
      <c r="BL69" s="143"/>
      <c r="BM69" s="140"/>
    </row>
    <row r="70" spans="2:65" ht="13.5" customHeight="1" thickTop="1" thickBot="1">
      <c r="C70" s="176" t="s">
        <v>140</v>
      </c>
      <c r="D70" s="171">
        <f>+D64-D66</f>
        <v>-308011617.08000016</v>
      </c>
      <c r="E70" s="281">
        <f t="shared" si="0"/>
        <v>-7.7835746760335622</v>
      </c>
      <c r="F70" s="171">
        <f>+F64-F66</f>
        <v>-284230815.34292316</v>
      </c>
      <c r="G70" s="281">
        <f t="shared" si="2"/>
        <v>-7.1826244653523492</v>
      </c>
      <c r="H70" s="171">
        <f t="shared" si="3"/>
        <v>-23780801.737076998</v>
      </c>
      <c r="I70" s="281">
        <f t="shared" si="4"/>
        <v>8.3667218518813797</v>
      </c>
      <c r="J70" s="171">
        <f>+J64-J66</f>
        <v>-473729443.64999986</v>
      </c>
      <c r="K70" s="281">
        <f t="shared" si="1"/>
        <v>-12.555776402067318</v>
      </c>
      <c r="L70" s="171">
        <f t="shared" si="5"/>
        <v>165717826.56999969</v>
      </c>
      <c r="M70" s="281">
        <f t="shared" si="6"/>
        <v>-34.981534036215649</v>
      </c>
      <c r="O70" s="307"/>
      <c r="BH70" s="159"/>
      <c r="BI70" s="159"/>
      <c r="BJ70" s="143"/>
      <c r="BK70" s="143"/>
      <c r="BL70" s="143"/>
      <c r="BM70" s="140"/>
    </row>
    <row r="71" spans="2:65" ht="13.5" customHeight="1" thickTop="1" thickBot="1">
      <c r="C71" s="176" t="s">
        <v>120</v>
      </c>
      <c r="D71" s="171">
        <f>+SUM(D72:D76)</f>
        <v>308011617.08000016</v>
      </c>
      <c r="E71" s="281">
        <f t="shared" si="0"/>
        <v>7.7835746760335622</v>
      </c>
      <c r="F71" s="171">
        <f>+SUM(F72:F76)</f>
        <v>284230815.34292316</v>
      </c>
      <c r="G71" s="281">
        <f t="shared" si="2"/>
        <v>7.1826244653523492</v>
      </c>
      <c r="H71" s="171">
        <f t="shared" si="3"/>
        <v>23780801.737076998</v>
      </c>
      <c r="I71" s="281">
        <f t="shared" si="4"/>
        <v>8.3667218518813797</v>
      </c>
      <c r="J71" s="171">
        <f>+SUM(J72:J76)</f>
        <v>473729443.64999986</v>
      </c>
      <c r="K71" s="281">
        <f t="shared" si="1"/>
        <v>12.555776402067318</v>
      </c>
      <c r="L71" s="171">
        <f t="shared" si="5"/>
        <v>-165717826.56999969</v>
      </c>
      <c r="M71" s="281">
        <f t="shared" si="6"/>
        <v>-34.981534036215649</v>
      </c>
      <c r="O71" s="307"/>
      <c r="BH71" s="159"/>
      <c r="BI71" s="159"/>
      <c r="BJ71" s="143"/>
      <c r="BK71" s="143"/>
      <c r="BL71" s="143"/>
      <c r="BM71" s="140"/>
    </row>
    <row r="72" spans="2:65" ht="13.5" customHeight="1" thickTop="1">
      <c r="B72" s="80">
        <v>7511</v>
      </c>
      <c r="C72" s="97" t="s">
        <v>143</v>
      </c>
      <c r="D72" s="154">
        <f>'Cental Budget'!D71+'Local Government'!D72</f>
        <v>185385276.91</v>
      </c>
      <c r="E72" s="283">
        <f t="shared" si="0"/>
        <v>4.6847588423632871</v>
      </c>
      <c r="F72" s="154">
        <f>+IF(ISNUMBER(VLOOKUP($B72,'Cental Budget'!$B$16:$K$76,'Public Expenditure'!F$1,FALSE)),VLOOKUP($B72,'Cental Budget'!$B$16:$K$76,'Public Expenditure'!F$1,FALSE),0)+IF(ISNUMBER(VLOOKUP('Public Expenditure'!$B72,'Local Government'!$B$16:$M$76,'Public Expenditure'!F$1,FALSE)),VLOOKUP('Public Expenditure'!$B72,'Local Government'!$B$16:$M$76,'Public Expenditure'!F$1,FALSE),0)</f>
        <v>59142807.705068305</v>
      </c>
      <c r="G72" s="283">
        <f t="shared" si="2"/>
        <v>1.4945620060918909</v>
      </c>
      <c r="H72" s="206">
        <f t="shared" si="3"/>
        <v>126242469.20493169</v>
      </c>
      <c r="I72" s="289">
        <f t="shared" si="4"/>
        <v>213.45362877338204</v>
      </c>
      <c r="J72" s="154">
        <f>+IF(ISNUMBER(VLOOKUP($B72,'Cental Budget'!$B$16:$K$76,'Public Expenditure'!J$1,FALSE)),VLOOKUP($B72,'Cental Budget'!$B$16:$K$76,'Public Expenditure'!J$1,FALSE),0)+IF(ISNUMBER(VLOOKUP('Public Expenditure'!$B72,'Local Government'!$B$16:$M$76,'Public Expenditure'!J$1,FALSE)),VLOOKUP('Public Expenditure'!$B72,'Local Government'!$B$16:$M$76,'Public Expenditure'!J$1,FALSE),0)</f>
        <v>132218412.91499999</v>
      </c>
      <c r="K72" s="283">
        <f t="shared" si="1"/>
        <v>3.5043311135701036</v>
      </c>
      <c r="L72" s="206">
        <f t="shared" si="5"/>
        <v>53166863.995000005</v>
      </c>
      <c r="M72" s="289">
        <f t="shared" si="6"/>
        <v>40.211391759164201</v>
      </c>
      <c r="O72" s="307"/>
      <c r="BH72" s="159"/>
      <c r="BI72" s="159"/>
      <c r="BJ72" s="143"/>
      <c r="BK72" s="143"/>
      <c r="BL72" s="143"/>
      <c r="BM72" s="140"/>
    </row>
    <row r="73" spans="2:65" ht="13.5" customHeight="1">
      <c r="B73" s="80">
        <v>7512</v>
      </c>
      <c r="C73" s="97" t="s">
        <v>121</v>
      </c>
      <c r="D73" s="154">
        <f>'Cental Budget'!D72+'Local Government'!D73</f>
        <v>106584913.94</v>
      </c>
      <c r="E73" s="283">
        <f t="shared" si="0"/>
        <v>2.6934426852319819</v>
      </c>
      <c r="F73" s="154">
        <f>+IF(ISNUMBER(VLOOKUP($B73,'Cental Budget'!$B$16:$K$76,'Public Expenditure'!F$1,FALSE)),VLOOKUP($B73,'Cental Budget'!$B$16:$K$76,'Public Expenditure'!F$1,FALSE),0)+IF(ISNUMBER(VLOOKUP('Public Expenditure'!$B73,'Local Government'!$B$16:$M$76,'Public Expenditure'!F$1,FALSE)),VLOOKUP('Public Expenditure'!$B73,'Local Government'!$B$16:$M$76,'Public Expenditure'!F$1,FALSE),0)</f>
        <v>180686911.81743497</v>
      </c>
      <c r="G73" s="283">
        <f t="shared" si="2"/>
        <v>4.56602930904263</v>
      </c>
      <c r="H73" s="206">
        <f t="shared" si="3"/>
        <v>-74101997.877434969</v>
      </c>
      <c r="I73" s="289">
        <f t="shared" si="4"/>
        <v>-41.011270341654416</v>
      </c>
      <c r="J73" s="154">
        <f>+IF(ISNUMBER(VLOOKUP($B73,'Cental Budget'!$B$16:$K$76,'Public Expenditure'!J$1,FALSE)),VLOOKUP($B73,'Cental Budget'!$B$16:$K$76,'Public Expenditure'!J$1,FALSE),0)+IF(ISNUMBER(VLOOKUP('Public Expenditure'!$B73,'Local Government'!$B$16:$M$76,'Public Expenditure'!J$1,FALSE)),VLOOKUP('Public Expenditure'!$B73,'Local Government'!$B$16:$M$76,'Public Expenditure'!J$1,FALSE),0)</f>
        <v>309114304.92000008</v>
      </c>
      <c r="K73" s="283">
        <f t="shared" si="1"/>
        <v>8.1927989642194561</v>
      </c>
      <c r="L73" s="206">
        <f t="shared" si="5"/>
        <v>-202529390.98000008</v>
      </c>
      <c r="M73" s="289">
        <f t="shared" si="6"/>
        <v>-65.519255419905406</v>
      </c>
      <c r="O73" s="307"/>
      <c r="BH73" s="159"/>
      <c r="BI73" s="159"/>
      <c r="BJ73" s="143"/>
      <c r="BK73" s="143"/>
      <c r="BL73" s="143"/>
      <c r="BM73" s="140"/>
    </row>
    <row r="74" spans="2:65" ht="13.5" customHeight="1">
      <c r="B74" s="80">
        <v>72</v>
      </c>
      <c r="C74" s="103" t="s">
        <v>328</v>
      </c>
      <c r="D74" s="154">
        <f>'Cental Budget'!D73+'Local Government'!D74</f>
        <v>4635943.1899999995</v>
      </c>
      <c r="E74" s="287">
        <f t="shared" si="0"/>
        <v>0.11715210729808954</v>
      </c>
      <c r="F74" s="154">
        <f>+IF(ISNUMBER(VLOOKUP($B74,'Cental Budget'!$B$16:$K$76,'Public Expenditure'!F$1,FALSE)),VLOOKUP($B74,'Cental Budget'!$B$16:$K$76,'Public Expenditure'!F$1,FALSE),0)+IF(ISNUMBER(VLOOKUP('Public Expenditure'!$B74,'Local Government'!$B$16:$M$76,'Public Expenditure'!F$1,FALSE)),VLOOKUP('Public Expenditure'!$B74,'Local Government'!$B$16:$M$76,'Public Expenditure'!F$1,FALSE),0)</f>
        <v>1056203.8861100243</v>
      </c>
      <c r="G74" s="287">
        <f t="shared" si="2"/>
        <v>2.6690687509097956E-2</v>
      </c>
      <c r="H74" s="206">
        <f t="shared" si="3"/>
        <v>3579739.303889975</v>
      </c>
      <c r="I74" s="289">
        <f t="shared" si="4"/>
        <v>338.92502678380367</v>
      </c>
      <c r="J74" s="154">
        <f>+IF(ISNUMBER(VLOOKUP($B74,'Cental Budget'!$B$16:$K$76,'Public Expenditure'!J$1,FALSE)),VLOOKUP($B74,'Cental Budget'!$B$16:$K$76,'Public Expenditure'!J$1,FALSE),0)+IF(ISNUMBER(VLOOKUP('Public Expenditure'!$B74,'Local Government'!$B$16:$M$76,'Public Expenditure'!J$1,FALSE)),VLOOKUP('Public Expenditure'!$B74,'Local Government'!$B$16:$M$76,'Public Expenditure'!J$1,FALSE),0)</f>
        <v>2507387.87</v>
      </c>
      <c r="K74" s="287">
        <f t="shared" si="1"/>
        <v>6.6456079247283334E-2</v>
      </c>
      <c r="L74" s="206">
        <f t="shared" si="5"/>
        <v>2128555.3199999994</v>
      </c>
      <c r="M74" s="289">
        <f t="shared" si="6"/>
        <v>84.891346307741344</v>
      </c>
      <c r="O74" s="307"/>
      <c r="BH74" s="159"/>
      <c r="BI74" s="159"/>
      <c r="BJ74" s="143"/>
      <c r="BK74" s="143"/>
      <c r="BL74" s="143"/>
      <c r="BM74" s="140"/>
    </row>
    <row r="75" spans="2:65" ht="13.5" customHeight="1" thickBot="1">
      <c r="C75" s="103" t="s">
        <v>470</v>
      </c>
      <c r="D75" s="154">
        <f>+'Local Government'!D76</f>
        <v>564040.1</v>
      </c>
      <c r="E75" s="287">
        <f t="shared" si="0"/>
        <v>1.4253515111695137E-2</v>
      </c>
      <c r="F75" s="154">
        <f>+'Local Government'!F76</f>
        <v>1048398.2642970546</v>
      </c>
      <c r="G75" s="287">
        <f t="shared" si="2"/>
        <v>2.649343637665659E-2</v>
      </c>
      <c r="H75" s="206">
        <f t="shared" si="3"/>
        <v>-484358.16429705464</v>
      </c>
      <c r="I75" s="289">
        <f t="shared" si="4"/>
        <v>-46.199825084774837</v>
      </c>
      <c r="J75" s="154">
        <f>+'Local Government'!J76</f>
        <v>610785.23</v>
      </c>
      <c r="K75" s="287">
        <f t="shared" si="1"/>
        <v>1.6188317784256556E-2</v>
      </c>
      <c r="L75" s="206">
        <f t="shared" si="5"/>
        <v>-46745.130000000005</v>
      </c>
      <c r="M75" s="289">
        <f t="shared" si="6"/>
        <v>-7.6532842812849395</v>
      </c>
      <c r="O75" s="307"/>
      <c r="BH75" s="159"/>
      <c r="BI75" s="159"/>
      <c r="BJ75" s="143"/>
      <c r="BK75" s="143"/>
      <c r="BL75" s="143"/>
      <c r="BM75" s="140"/>
    </row>
    <row r="76" spans="2:65" ht="13.5" customHeight="1" thickTop="1" thickBot="1">
      <c r="C76" s="146" t="s">
        <v>124</v>
      </c>
      <c r="D76" s="147">
        <f>-D70-SUM(D72:D75)</f>
        <v>10841442.940000117</v>
      </c>
      <c r="E76" s="285">
        <f t="shared" si="0"/>
        <v>0.27396752602850794</v>
      </c>
      <c r="F76" s="147">
        <f>-F70-SUM(F72:F75)</f>
        <v>42296493.670012802</v>
      </c>
      <c r="G76" s="285">
        <f t="shared" si="2"/>
        <v>1.0688490263320731</v>
      </c>
      <c r="H76" s="204">
        <f t="shared" si="3"/>
        <v>-31455050.730012685</v>
      </c>
      <c r="I76" s="291">
        <f t="shared" si="4"/>
        <v>-74.367986565074446</v>
      </c>
      <c r="J76" s="147">
        <f>-J70-SUM(J72:J75)</f>
        <v>29278552.714999795</v>
      </c>
      <c r="K76" s="285">
        <f t="shared" si="1"/>
        <v>0.77600192724621764</v>
      </c>
      <c r="L76" s="204">
        <f t="shared" si="5"/>
        <v>-18437109.774999678</v>
      </c>
      <c r="M76" s="291">
        <f t="shared" si="6"/>
        <v>-62.971383710350203</v>
      </c>
      <c r="O76" s="307"/>
      <c r="BH76" s="159"/>
      <c r="BI76" s="159"/>
      <c r="BJ76" s="143"/>
      <c r="BK76" s="143"/>
      <c r="BL76" s="143"/>
      <c r="BM76" s="140"/>
    </row>
    <row r="77" spans="2:65" ht="13.5" thickTop="1">
      <c r="C77" s="106" t="str">
        <f>IF(MasterSheet!$A$1=1,MasterSheet!C151,MasterSheet!B151)</f>
        <v>Izvor: Ministarstvo finansija Crne Gore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 t="s">
        <v>427</v>
      </c>
    </row>
    <row r="79" spans="2:65">
      <c r="D79" s="212"/>
    </row>
    <row r="82" spans="4:10">
      <c r="D82" s="102"/>
      <c r="F82" s="102"/>
      <c r="J82" s="102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7" t="s">
        <v>436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47" t="s">
        <v>195</v>
      </c>
      <c r="C3" s="347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47" t="s">
        <v>243</v>
      </c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  <c r="S37" s="347"/>
      <c r="T37" s="347"/>
    </row>
    <row r="40" spans="2:20" ht="12.75" customHeight="1">
      <c r="B40" s="346" t="s">
        <v>238</v>
      </c>
      <c r="C40" s="346"/>
      <c r="D40" s="351" t="s">
        <v>244</v>
      </c>
      <c r="E40" s="351"/>
      <c r="F40" s="346" t="s">
        <v>239</v>
      </c>
      <c r="G40" s="346"/>
      <c r="H40" s="346"/>
      <c r="I40" s="2" t="s">
        <v>240</v>
      </c>
      <c r="J40" s="346" t="s">
        <v>241</v>
      </c>
      <c r="K40" s="346"/>
      <c r="L40" s="346"/>
      <c r="M40" s="346" t="s">
        <v>242</v>
      </c>
      <c r="N40" s="346"/>
      <c r="O40" s="346"/>
      <c r="P40" s="346"/>
    </row>
    <row r="41" spans="2:20">
      <c r="B41" s="346"/>
      <c r="C41" s="346"/>
      <c r="D41" s="351"/>
      <c r="E41" s="351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49" t="s">
        <v>222</v>
      </c>
      <c r="C42" s="15" t="s">
        <v>223</v>
      </c>
      <c r="D42" s="352" t="s">
        <v>180</v>
      </c>
      <c r="E42" s="16" t="s">
        <v>181</v>
      </c>
      <c r="F42" s="352" t="s">
        <v>246</v>
      </c>
      <c r="G42" s="352"/>
      <c r="H42" s="352"/>
      <c r="I42" s="17" t="s">
        <v>247</v>
      </c>
      <c r="J42" s="353" t="s">
        <v>248</v>
      </c>
      <c r="K42" s="353"/>
      <c r="L42" s="353"/>
      <c r="M42" s="352" t="s">
        <v>249</v>
      </c>
      <c r="N42" s="352"/>
      <c r="O42" s="352"/>
      <c r="P42" s="352"/>
    </row>
    <row r="43" spans="2:20">
      <c r="B43" s="349"/>
      <c r="C43" s="18" t="s">
        <v>224</v>
      </c>
      <c r="D43" s="352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49"/>
      <c r="C44" s="15" t="s">
        <v>225</v>
      </c>
      <c r="D44" s="352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49"/>
      <c r="C45" s="15" t="s">
        <v>226</v>
      </c>
      <c r="D45" s="352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49"/>
      <c r="C46" s="15" t="s">
        <v>227</v>
      </c>
      <c r="D46" s="352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49"/>
      <c r="C47" s="15" t="s">
        <v>228</v>
      </c>
      <c r="D47" s="352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49"/>
      <c r="C48" s="15" t="s">
        <v>229</v>
      </c>
      <c r="D48" s="352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49"/>
      <c r="C49" s="19" t="s">
        <v>230</v>
      </c>
      <c r="D49" s="352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49"/>
      <c r="C50" s="15" t="s">
        <v>231</v>
      </c>
      <c r="D50" s="352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49"/>
      <c r="C51" s="15" t="s">
        <v>378</v>
      </c>
      <c r="D51" s="352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50" t="s">
        <v>232</v>
      </c>
      <c r="C52" s="20" t="s">
        <v>233</v>
      </c>
      <c r="D52" s="352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50"/>
      <c r="C53" s="20" t="s">
        <v>234</v>
      </c>
      <c r="D53" s="352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50"/>
      <c r="C54" s="20" t="s">
        <v>235</v>
      </c>
      <c r="D54" s="352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50"/>
      <c r="C55" s="20" t="s">
        <v>374</v>
      </c>
      <c r="D55" s="352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50"/>
      <c r="C56" s="20" t="s">
        <v>79</v>
      </c>
      <c r="D56" s="352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50"/>
      <c r="C57" s="20" t="s">
        <v>236</v>
      </c>
      <c r="D57" s="352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50"/>
      <c r="C58" s="20" t="s">
        <v>375</v>
      </c>
      <c r="D58" s="352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50"/>
      <c r="C59" s="20" t="s">
        <v>237</v>
      </c>
      <c r="D59" s="352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47" t="s">
        <v>251</v>
      </c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466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47" t="s">
        <v>255</v>
      </c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467</v>
      </c>
      <c r="C198" s="11" t="s">
        <v>465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47" t="s">
        <v>278</v>
      </c>
      <c r="C253" s="347"/>
      <c r="D253" s="347"/>
      <c r="E253" s="347"/>
      <c r="F253" s="347"/>
      <c r="G253" s="347"/>
      <c r="H253" s="347"/>
      <c r="I253" s="347"/>
      <c r="J253" s="347"/>
      <c r="K253" s="347"/>
      <c r="L253" s="347"/>
      <c r="M253" s="347"/>
      <c r="N253" s="347"/>
      <c r="O253" s="347"/>
      <c r="P253" s="347"/>
      <c r="Q253" s="347"/>
      <c r="R253" s="347"/>
      <c r="S253" s="347"/>
      <c r="T253" s="347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466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47" t="s">
        <v>314</v>
      </c>
      <c r="C331" s="347"/>
      <c r="D331" s="347"/>
      <c r="E331" s="347"/>
      <c r="F331" s="347"/>
      <c r="G331" s="347"/>
      <c r="H331" s="347"/>
      <c r="I331" s="347"/>
      <c r="J331" s="347"/>
      <c r="K331" s="347"/>
      <c r="L331" s="347"/>
      <c r="M331" s="347"/>
      <c r="N331" s="347"/>
      <c r="O331" s="347"/>
      <c r="P331" s="347"/>
      <c r="Q331" s="347"/>
      <c r="R331" s="347"/>
      <c r="S331" s="347"/>
      <c r="T331" s="347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461</v>
      </c>
      <c r="C345" s="11" t="s">
        <v>462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465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47" t="s">
        <v>386</v>
      </c>
      <c r="C419" s="348"/>
      <c r="D419" s="348"/>
      <c r="E419" s="348"/>
      <c r="F419" s="348"/>
      <c r="G419" s="348"/>
      <c r="H419" s="348"/>
      <c r="I419" s="348"/>
      <c r="J419" s="348"/>
      <c r="K419" s="348"/>
      <c r="L419" s="348"/>
      <c r="M419" s="348"/>
      <c r="N419" s="348"/>
      <c r="O419" s="348"/>
      <c r="P419" s="348"/>
      <c r="Q419" s="348"/>
      <c r="R419" s="348"/>
      <c r="S419" s="348"/>
      <c r="T419" s="348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47" t="s">
        <v>329</v>
      </c>
      <c r="C427" s="347"/>
      <c r="D427" s="347"/>
      <c r="E427" s="347"/>
      <c r="F427" s="347"/>
      <c r="G427" s="347"/>
      <c r="H427" s="347"/>
      <c r="I427" s="347"/>
      <c r="J427" s="347"/>
      <c r="K427" s="347"/>
      <c r="L427" s="347"/>
      <c r="M427" s="347"/>
      <c r="N427" s="347"/>
      <c r="O427" s="347"/>
      <c r="P427" s="347"/>
      <c r="Q427" s="347"/>
      <c r="R427" s="347"/>
      <c r="S427" s="347"/>
      <c r="T427" s="347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47" t="s">
        <v>344</v>
      </c>
      <c r="C432" s="347"/>
      <c r="D432" s="347"/>
      <c r="E432" s="347"/>
      <c r="F432" s="347"/>
      <c r="G432" s="347"/>
      <c r="H432" s="347"/>
      <c r="I432" s="347"/>
      <c r="J432" s="347"/>
      <c r="K432" s="347"/>
      <c r="L432" s="347"/>
      <c r="M432" s="347"/>
      <c r="N432" s="347"/>
      <c r="O432" s="347"/>
      <c r="P432" s="347"/>
      <c r="Q432" s="347"/>
      <c r="R432" s="347"/>
      <c r="S432" s="347"/>
      <c r="T432" s="347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79" t="s">
        <v>292</v>
      </c>
      <c r="E4" s="179" t="s">
        <v>293</v>
      </c>
      <c r="F4" s="179" t="s">
        <v>294</v>
      </c>
      <c r="G4" s="179" t="s">
        <v>295</v>
      </c>
      <c r="H4" s="179" t="s">
        <v>296</v>
      </c>
      <c r="I4" s="179" t="s">
        <v>297</v>
      </c>
      <c r="J4" s="179" t="s">
        <v>298</v>
      </c>
      <c r="K4" s="179" t="s">
        <v>299</v>
      </c>
      <c r="L4" s="179" t="s">
        <v>300</v>
      </c>
      <c r="M4" s="179" t="s">
        <v>301</v>
      </c>
      <c r="N4" s="179" t="s">
        <v>302</v>
      </c>
      <c r="O4" s="179" t="s">
        <v>303</v>
      </c>
    </row>
    <row r="5" spans="3:16">
      <c r="C5" s="179" t="s">
        <v>437</v>
      </c>
      <c r="D5" s="180">
        <v>62425293.156965584</v>
      </c>
      <c r="E5" s="180">
        <v>79762187.59852089</v>
      </c>
      <c r="F5" s="180">
        <v>89318688.151918903</v>
      </c>
      <c r="G5" s="180">
        <v>106294081.27535464</v>
      </c>
      <c r="H5" s="180">
        <v>97189661.825924918</v>
      </c>
      <c r="I5" s="180">
        <v>105191801.34506513</v>
      </c>
      <c r="J5" s="180">
        <v>123272889.17858437</v>
      </c>
      <c r="K5" s="180">
        <v>125579133.65326507</v>
      </c>
      <c r="L5" s="180">
        <v>121047897.33843082</v>
      </c>
      <c r="M5" s="180">
        <v>114789505.85515907</v>
      </c>
      <c r="N5" s="180">
        <v>97406301.479715049</v>
      </c>
      <c r="O5" s="180">
        <v>145778958.57826602</v>
      </c>
      <c r="P5" s="180">
        <f>+SUM(D5:O5)</f>
        <v>1268056399.4371705</v>
      </c>
    </row>
    <row r="6" spans="3:16">
      <c r="C6" s="179" t="s">
        <v>438</v>
      </c>
      <c r="D6" s="180">
        <v>70632268.589999989</v>
      </c>
      <c r="E6" s="180">
        <v>81381758.450000018</v>
      </c>
      <c r="F6" s="180">
        <v>100495765.61000001</v>
      </c>
      <c r="G6" s="180">
        <v>107356417.33534782</v>
      </c>
      <c r="H6" s="180">
        <v>98816734.644163221</v>
      </c>
      <c r="I6" s="180">
        <v>107147051.5707173</v>
      </c>
      <c r="J6" s="180">
        <v>125666748.8575906</v>
      </c>
      <c r="K6" s="180">
        <v>127890096.38694921</v>
      </c>
      <c r="L6" s="180">
        <v>123465322.33433203</v>
      </c>
      <c r="M6" s="180">
        <v>117130344.73943919</v>
      </c>
      <c r="N6" s="180">
        <v>99294843.070796907</v>
      </c>
      <c r="O6" s="180">
        <v>149056317.49743444</v>
      </c>
      <c r="P6" s="180">
        <f>+SUM(D6:O6)</f>
        <v>1308333669.0867708</v>
      </c>
    </row>
    <row r="7" spans="3:16">
      <c r="C7" s="179" t="s">
        <v>439</v>
      </c>
      <c r="D7" s="180">
        <v>54757461.979999989</v>
      </c>
      <c r="E7" s="180">
        <v>75673443.909999996</v>
      </c>
      <c r="F7" s="180">
        <v>88296245.580000013</v>
      </c>
      <c r="G7" s="180">
        <v>103948239.19999999</v>
      </c>
      <c r="H7" s="180">
        <v>93997829.679999992</v>
      </c>
      <c r="I7" s="180">
        <v>99561632.659999996</v>
      </c>
      <c r="J7" s="180">
        <v>122021331.04999998</v>
      </c>
      <c r="K7" s="180">
        <v>125053427.64999999</v>
      </c>
      <c r="L7" s="180">
        <v>116342017.78000002</v>
      </c>
      <c r="M7" s="180">
        <v>117283627.60000001</v>
      </c>
      <c r="N7" s="180">
        <v>95781753.159999996</v>
      </c>
      <c r="O7" s="180">
        <v>142429369.22999999</v>
      </c>
      <c r="P7" s="180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17">
        <v>3335894492.1291356</v>
      </c>
      <c r="D3" s="317"/>
      <c r="E3" s="310">
        <v>3516156889.9792166</v>
      </c>
      <c r="F3" s="311"/>
      <c r="G3" s="311"/>
      <c r="H3" s="312"/>
    </row>
    <row r="4" spans="2:13" ht="13.5" thickTop="1">
      <c r="E4" s="83"/>
      <c r="F4" s="83"/>
      <c r="G4" s="82"/>
      <c r="H4" s="82"/>
    </row>
    <row r="5" spans="2:13" ht="13.5" thickBot="1">
      <c r="E5" s="162"/>
      <c r="F5" s="162"/>
      <c r="G5" s="162"/>
      <c r="H5" s="162"/>
    </row>
    <row r="6" spans="2:13" ht="13.5" thickTop="1">
      <c r="B6" t="s">
        <v>126</v>
      </c>
      <c r="C6" s="308">
        <v>2013</v>
      </c>
      <c r="D6" s="309"/>
      <c r="E6" s="308" t="s">
        <v>392</v>
      </c>
      <c r="F6" s="309"/>
      <c r="G6" s="308" t="s">
        <v>426</v>
      </c>
      <c r="H6" s="309"/>
      <c r="I6" s="308" t="s">
        <v>440</v>
      </c>
      <c r="J6" s="309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82" t="s">
        <v>262</v>
      </c>
      <c r="J7" s="182" t="s">
        <v>441</v>
      </c>
    </row>
    <row r="8" spans="2:13" ht="14.25" thickTop="1" thickBot="1">
      <c r="B8" s="90" t="s">
        <v>127</v>
      </c>
      <c r="C8" s="163">
        <f>C9+C17+C22+C27+C34+C39</f>
        <v>1235146379.48</v>
      </c>
      <c r="D8" s="92">
        <f>C8/C$3*100</f>
        <v>37.025942588839719</v>
      </c>
      <c r="E8" s="163">
        <f>+E9+E17+E22+E27+E34+E39+E40</f>
        <v>1276056399.4371703</v>
      </c>
      <c r="F8" s="92">
        <f>E8/E$3*100</f>
        <v>36.291224748071834</v>
      </c>
      <c r="G8" s="160">
        <f>+G9+G17+G22+G27+G34+G39+G40</f>
        <v>1316333669.0867703</v>
      </c>
      <c r="H8" s="92">
        <f>G8/E$3*100</f>
        <v>37.436716002014087</v>
      </c>
      <c r="I8" s="160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2">
        <f>SUM(C10:C16)</f>
        <v>755696459.51000011</v>
      </c>
      <c r="D9" s="95">
        <f t="shared" ref="D9:D72" si="0">C9/C$3*100</f>
        <v>22.653488031261944</v>
      </c>
      <c r="E9" s="152">
        <f>+SUM(E10:E16)</f>
        <v>797828901.35953081</v>
      </c>
      <c r="F9" s="96">
        <f t="shared" ref="F9:F73" si="1">E9/E$3*100</f>
        <v>22.690366963808792</v>
      </c>
      <c r="G9" s="152">
        <f>+SUM(G10:G16)</f>
        <v>819077478.06873</v>
      </c>
      <c r="H9" s="96">
        <f t="shared" ref="H9:H72" si="2">G9/E$3*100</f>
        <v>23.294679495190881</v>
      </c>
      <c r="I9" s="152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3">
        <v>95618433.909999996</v>
      </c>
      <c r="D10" s="98">
        <f t="shared" si="0"/>
        <v>2.8663506635358695</v>
      </c>
      <c r="E10" s="153">
        <v>96011654.614494905</v>
      </c>
      <c r="F10" s="98">
        <f t="shared" si="1"/>
        <v>2.7305850568875618</v>
      </c>
      <c r="G10" s="154">
        <v>96781150.729929999</v>
      </c>
      <c r="H10" s="98">
        <f t="shared" si="2"/>
        <v>2.7524696354064582</v>
      </c>
      <c r="I10" s="154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4">
        <v>40638726.390000008</v>
      </c>
      <c r="D11" s="98">
        <f t="shared" si="0"/>
        <v>1.2182257708055488</v>
      </c>
      <c r="E11" s="154">
        <v>44395641.531501003</v>
      </c>
      <c r="F11" s="98">
        <f t="shared" si="1"/>
        <v>1.2626183336137604</v>
      </c>
      <c r="G11" s="154">
        <v>50018934.706970006</v>
      </c>
      <c r="H11" s="98">
        <f t="shared" si="2"/>
        <v>1.4225455880401758</v>
      </c>
      <c r="I11" s="154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4">
        <v>1440565.3199999998</v>
      </c>
      <c r="D12" s="98">
        <f t="shared" si="0"/>
        <v>4.318377944503151E-2</v>
      </c>
      <c r="E12" s="154">
        <v>1544536.6728920399</v>
      </c>
      <c r="F12" s="98">
        <f t="shared" si="1"/>
        <v>4.3926841754241781E-2</v>
      </c>
      <c r="G12" s="154">
        <v>1489198.0023599996</v>
      </c>
      <c r="H12" s="98">
        <f t="shared" si="2"/>
        <v>4.2353002125818169E-2</v>
      </c>
      <c r="I12" s="154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3">
        <v>429195069.32999998</v>
      </c>
      <c r="D13" s="98">
        <f t="shared" si="0"/>
        <v>12.865966544885122</v>
      </c>
      <c r="E13" s="153">
        <v>455945630.52919102</v>
      </c>
      <c r="F13" s="98">
        <f t="shared" si="1"/>
        <v>12.967158315051353</v>
      </c>
      <c r="G13" s="154">
        <v>473642045.78458995</v>
      </c>
      <c r="H13" s="98">
        <f t="shared" si="2"/>
        <v>13.470446871538474</v>
      </c>
      <c r="I13" s="154">
        <f t="shared" si="3"/>
        <v>17696415.255398929</v>
      </c>
      <c r="J13" s="98">
        <f t="shared" si="4"/>
        <v>3.8812555862986784</v>
      </c>
      <c r="L13" s="154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4">
        <v>161445470.17000002</v>
      </c>
      <c r="D14" s="98">
        <f t="shared" si="0"/>
        <v>4.8396455748502225</v>
      </c>
      <c r="E14" s="154">
        <v>171111988.52539012</v>
      </c>
      <c r="F14" s="98">
        <f t="shared" si="1"/>
        <v>4.8664491909631922</v>
      </c>
      <c r="G14" s="154">
        <v>169158715.98390999</v>
      </c>
      <c r="H14" s="98">
        <f t="shared" si="2"/>
        <v>4.8108978432105705</v>
      </c>
      <c r="I14" s="154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4">
        <v>22269382.640000001</v>
      </c>
      <c r="D15" s="98">
        <f t="shared" si="0"/>
        <v>0.66756855447746977</v>
      </c>
      <c r="E15" s="154">
        <v>23735353.696558259</v>
      </c>
      <c r="F15" s="98">
        <f t="shared" si="1"/>
        <v>0.67503682114419394</v>
      </c>
      <c r="G15" s="154">
        <v>22781578.440719999</v>
      </c>
      <c r="H15" s="98">
        <f t="shared" si="2"/>
        <v>0.64791131776985811</v>
      </c>
      <c r="I15" s="154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4">
        <v>5088811.75</v>
      </c>
      <c r="D16" s="98">
        <f t="shared" si="0"/>
        <v>0.15254714326267749</v>
      </c>
      <c r="E16" s="154">
        <v>5084095.7895035082</v>
      </c>
      <c r="F16" s="98">
        <f t="shared" si="1"/>
        <v>0.14459240439449103</v>
      </c>
      <c r="G16" s="154">
        <v>5205854.4202499995</v>
      </c>
      <c r="H16" s="98">
        <f t="shared" si="2"/>
        <v>0.14805523709952459</v>
      </c>
      <c r="I16" s="154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4">
        <f>SUM(C18:C21)</f>
        <v>398494284.19</v>
      </c>
      <c r="D17" s="96">
        <f t="shared" si="0"/>
        <v>11.94565011364196</v>
      </c>
      <c r="E17" s="152">
        <f>+SUM(E18:E21)</f>
        <v>397823173.70918262</v>
      </c>
      <c r="F17" s="96">
        <f t="shared" si="1"/>
        <v>11.314147410286179</v>
      </c>
      <c r="G17" s="152">
        <f>+SUM(G18:G21)</f>
        <v>417559652.73636997</v>
      </c>
      <c r="H17" s="96">
        <f t="shared" si="2"/>
        <v>11.87545566940951</v>
      </c>
      <c r="I17" s="152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4">
        <v>241949355.72999999</v>
      </c>
      <c r="D18" s="98">
        <f t="shared" si="0"/>
        <v>7.2529079172277937</v>
      </c>
      <c r="E18" s="154">
        <v>234882396.70208701</v>
      </c>
      <c r="F18" s="98">
        <f t="shared" si="1"/>
        <v>6.6800886323213922</v>
      </c>
      <c r="G18" s="154">
        <v>254875867.28178996</v>
      </c>
      <c r="H18" s="98">
        <f t="shared" si="2"/>
        <v>7.2487057676000486</v>
      </c>
      <c r="I18" s="154">
        <f t="shared" si="3"/>
        <v>19993470.579702944</v>
      </c>
      <c r="J18" s="98">
        <f t="shared" si="4"/>
        <v>8.5121196225963445</v>
      </c>
      <c r="L18" s="154">
        <f>+G18-C18</f>
        <v>12926511.551789969</v>
      </c>
    </row>
    <row r="19" spans="2:12">
      <c r="B19" s="97" t="s">
        <v>23</v>
      </c>
      <c r="C19" s="154">
        <v>134703897.09</v>
      </c>
      <c r="D19" s="98">
        <f t="shared" si="0"/>
        <v>4.038014313936686</v>
      </c>
      <c r="E19" s="154">
        <v>138667298.82084399</v>
      </c>
      <c r="F19" s="98">
        <f t="shared" si="1"/>
        <v>3.9437176201106214</v>
      </c>
      <c r="G19" s="154">
        <v>139196347.37307</v>
      </c>
      <c r="H19" s="98">
        <f t="shared" si="2"/>
        <v>3.9587638358734543</v>
      </c>
      <c r="I19" s="154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4">
        <v>10770190.189999999</v>
      </c>
      <c r="D20" s="98">
        <f t="shared" si="0"/>
        <v>0.32285763879558199</v>
      </c>
      <c r="E20" s="154">
        <v>11617385.520490499</v>
      </c>
      <c r="F20" s="98">
        <f t="shared" si="1"/>
        <v>0.33040008975706336</v>
      </c>
      <c r="G20" s="154">
        <v>11434714.104369998</v>
      </c>
      <c r="H20" s="98">
        <f t="shared" si="2"/>
        <v>0.3252048888079504</v>
      </c>
      <c r="I20" s="154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4">
        <v>11070841.180000002</v>
      </c>
      <c r="D21" s="98">
        <f t="shared" si="0"/>
        <v>0.33187024368189877</v>
      </c>
      <c r="E21" s="153">
        <v>12656092.6657611</v>
      </c>
      <c r="F21" s="98">
        <f t="shared" si="1"/>
        <v>0.3599410680971038</v>
      </c>
      <c r="G21" s="154">
        <v>12052723.97714</v>
      </c>
      <c r="H21" s="98">
        <f t="shared" si="2"/>
        <v>0.34278117712805589</v>
      </c>
      <c r="I21" s="154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2">
        <f>SUM(C23:C26)</f>
        <v>27069458</v>
      </c>
      <c r="D22" s="96">
        <f t="shared" si="0"/>
        <v>0.81146025642804165</v>
      </c>
      <c r="E22" s="152">
        <f>+SUM(E23:E26)</f>
        <v>20923047.198280636</v>
      </c>
      <c r="F22" s="96">
        <f t="shared" si="1"/>
        <v>0.59505442598166625</v>
      </c>
      <c r="G22" s="152">
        <f>+SUM(G23:G26)</f>
        <v>19923047.198280636</v>
      </c>
      <c r="H22" s="96">
        <f t="shared" si="2"/>
        <v>0.56661428433582772</v>
      </c>
      <c r="I22" s="152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4">
        <v>7881462.9399999995</v>
      </c>
      <c r="D23" s="98">
        <f t="shared" si="0"/>
        <v>0.23626235657620134</v>
      </c>
      <c r="E23" s="154">
        <v>8144616.5029747505</v>
      </c>
      <c r="F23" s="98">
        <f t="shared" si="1"/>
        <v>0.23163404699563594</v>
      </c>
      <c r="G23" s="154">
        <v>8144616.5029747505</v>
      </c>
      <c r="H23" s="98">
        <f t="shared" si="2"/>
        <v>0.23163404699563594</v>
      </c>
      <c r="I23" s="154">
        <f t="shared" si="3"/>
        <v>0</v>
      </c>
      <c r="J23" s="98">
        <f t="shared" si="4"/>
        <v>0</v>
      </c>
    </row>
    <row r="24" spans="2:12">
      <c r="B24" s="97" t="s">
        <v>32</v>
      </c>
      <c r="C24" s="154">
        <v>4557791.26</v>
      </c>
      <c r="D24" s="98">
        <f t="shared" si="0"/>
        <v>0.13662875941531916</v>
      </c>
      <c r="E24" s="154">
        <v>3676083.5729169641</v>
      </c>
      <c r="F24" s="98">
        <f t="shared" si="1"/>
        <v>0.10454833751569864</v>
      </c>
      <c r="G24" s="154">
        <v>5176083.5729169641</v>
      </c>
      <c r="H24" s="98">
        <f t="shared" si="2"/>
        <v>0.14720854998445643</v>
      </c>
      <c r="I24" s="154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4">
        <v>767936.98999999987</v>
      </c>
      <c r="D25" s="98">
        <f t="shared" si="0"/>
        <v>2.3020422013103413E-2</v>
      </c>
      <c r="E25" s="154">
        <v>762511.44191594806</v>
      </c>
      <c r="F25" s="98">
        <f t="shared" si="1"/>
        <v>2.1685933414662142E-2</v>
      </c>
      <c r="G25" s="154">
        <v>762511.44191594806</v>
      </c>
      <c r="H25" s="98">
        <f t="shared" si="2"/>
        <v>2.1685933414662142E-2</v>
      </c>
      <c r="I25" s="154">
        <f t="shared" si="3"/>
        <v>0</v>
      </c>
      <c r="J25" s="98">
        <f t="shared" si="4"/>
        <v>0</v>
      </c>
    </row>
    <row r="26" spans="2:12">
      <c r="B26" s="97" t="s">
        <v>37</v>
      </c>
      <c r="C26" s="153">
        <v>13862266.809999999</v>
      </c>
      <c r="D26" s="98">
        <f t="shared" si="0"/>
        <v>0.41554871842341756</v>
      </c>
      <c r="E26" s="153">
        <v>8339835.6804729737</v>
      </c>
      <c r="F26" s="98">
        <f t="shared" si="1"/>
        <v>0.23718610805566953</v>
      </c>
      <c r="G26" s="153">
        <v>5839835.6804729737</v>
      </c>
      <c r="H26" s="98">
        <f t="shared" si="2"/>
        <v>0.16608575394107319</v>
      </c>
      <c r="I26" s="153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2">
        <f>SUM(C28:C33)</f>
        <v>13233490.18</v>
      </c>
      <c r="D27" s="96">
        <f t="shared" si="0"/>
        <v>0.39669990196703492</v>
      </c>
      <c r="E27" s="152">
        <f>+SUM(E28:E33)</f>
        <v>13024243.76827177</v>
      </c>
      <c r="F27" s="96">
        <f t="shared" si="1"/>
        <v>0.37041133759957889</v>
      </c>
      <c r="G27" s="152">
        <f>+SUM(G28:G33)</f>
        <v>12724243.76827177</v>
      </c>
      <c r="H27" s="96">
        <f t="shared" si="2"/>
        <v>0.36187929510582734</v>
      </c>
      <c r="I27" s="152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4">
        <v>647266.8600000001</v>
      </c>
      <c r="D28" s="98">
        <f t="shared" si="0"/>
        <v>1.9403097475870164E-2</v>
      </c>
      <c r="E28" s="154">
        <v>698651.48499726248</v>
      </c>
      <c r="F28" s="98">
        <f t="shared" si="1"/>
        <v>1.9869747194397578E-2</v>
      </c>
      <c r="G28" s="154">
        <v>698651.48499726248</v>
      </c>
      <c r="H28" s="98">
        <f t="shared" si="2"/>
        <v>1.9869747194397578E-2</v>
      </c>
      <c r="I28" s="154">
        <f t="shared" si="3"/>
        <v>0</v>
      </c>
      <c r="J28" s="98">
        <f t="shared" si="4"/>
        <v>0</v>
      </c>
    </row>
    <row r="29" spans="2:12">
      <c r="B29" s="97" t="s">
        <v>42</v>
      </c>
      <c r="C29" s="154">
        <v>1995183.6300000001</v>
      </c>
      <c r="D29" s="98">
        <f t="shared" si="0"/>
        <v>5.9809554370125591E-2</v>
      </c>
      <c r="E29" s="154">
        <v>1997965.7673730874</v>
      </c>
      <c r="F29" s="98">
        <f t="shared" si="1"/>
        <v>5.6822429427627073E-2</v>
      </c>
      <c r="G29" s="154">
        <v>1997965.7673730874</v>
      </c>
      <c r="H29" s="98">
        <f t="shared" si="2"/>
        <v>5.6822429427627073E-2</v>
      </c>
      <c r="I29" s="154">
        <f t="shared" si="3"/>
        <v>0</v>
      </c>
      <c r="J29" s="98">
        <f t="shared" si="4"/>
        <v>0</v>
      </c>
    </row>
    <row r="30" spans="2:12">
      <c r="B30" s="97" t="s">
        <v>45</v>
      </c>
      <c r="C30" s="154">
        <v>309851.25</v>
      </c>
      <c r="D30" s="98">
        <f t="shared" si="0"/>
        <v>9.2884007791936302E-3</v>
      </c>
      <c r="E30" s="154">
        <v>424373.88097611902</v>
      </c>
      <c r="F30" s="98">
        <f t="shared" si="1"/>
        <v>1.2069253285755047E-2</v>
      </c>
      <c r="G30" s="154">
        <v>424373.88097611902</v>
      </c>
      <c r="H30" s="98">
        <f t="shared" si="2"/>
        <v>1.2069253285755047E-2</v>
      </c>
      <c r="I30" s="154">
        <f t="shared" si="3"/>
        <v>0</v>
      </c>
      <c r="J30" s="98">
        <f t="shared" si="4"/>
        <v>0</v>
      </c>
    </row>
    <row r="31" spans="2:12">
      <c r="B31" s="97" t="s">
        <v>47</v>
      </c>
      <c r="C31" s="154">
        <v>3324177.16</v>
      </c>
      <c r="D31" s="98">
        <f t="shared" si="0"/>
        <v>9.9648749918296836E-2</v>
      </c>
      <c r="E31" s="154">
        <v>3266343.0516235088</v>
      </c>
      <c r="F31" s="98">
        <f t="shared" si="1"/>
        <v>9.2895259052073062E-2</v>
      </c>
      <c r="G31" s="154">
        <v>3666343.0516235088</v>
      </c>
      <c r="H31" s="98">
        <f t="shared" si="2"/>
        <v>0.10427131571040847</v>
      </c>
      <c r="I31" s="154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4">
        <v>3659024.1899999995</v>
      </c>
      <c r="D32" s="98">
        <f t="shared" si="0"/>
        <v>0.10968644837638813</v>
      </c>
      <c r="E32" s="154">
        <v>3355752.0175728933</v>
      </c>
      <c r="F32" s="98">
        <f t="shared" si="1"/>
        <v>9.5438062708081514E-2</v>
      </c>
      <c r="G32" s="154">
        <v>3355752.0175728933</v>
      </c>
      <c r="H32" s="98">
        <f t="shared" si="2"/>
        <v>9.5438062708081514E-2</v>
      </c>
      <c r="I32" s="154">
        <f t="shared" si="3"/>
        <v>0</v>
      </c>
      <c r="J32" s="98">
        <f t="shared" si="4"/>
        <v>0</v>
      </c>
    </row>
    <row r="33" spans="2:10">
      <c r="B33" s="97" t="s">
        <v>51</v>
      </c>
      <c r="C33" s="154">
        <v>3297987.09</v>
      </c>
      <c r="D33" s="98">
        <f t="shared" si="0"/>
        <v>9.8863651047160633E-2</v>
      </c>
      <c r="E33" s="154">
        <v>3281157.5657288986</v>
      </c>
      <c r="F33" s="98">
        <f t="shared" si="1"/>
        <v>9.331658593164463E-2</v>
      </c>
      <c r="G33" s="154">
        <v>2581157.5657288986</v>
      </c>
      <c r="H33" s="98">
        <f t="shared" si="2"/>
        <v>7.340848677955765E-2</v>
      </c>
      <c r="I33" s="154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2">
        <f>SUM(C35:C38)</f>
        <v>33088194.540000003</v>
      </c>
      <c r="D34" s="96">
        <f t="shared" si="0"/>
        <v>0.99188372468223518</v>
      </c>
      <c r="E34" s="152">
        <f>+SUM(E35:E38)</f>
        <v>31410770.914738216</v>
      </c>
      <c r="F34" s="96">
        <f t="shared" si="1"/>
        <v>0.89332677402013982</v>
      </c>
      <c r="G34" s="152">
        <f>+SUM(G35:G38)</f>
        <v>31310770.914738216</v>
      </c>
      <c r="H34" s="96">
        <f t="shared" si="2"/>
        <v>0.89048275985555603</v>
      </c>
      <c r="I34" s="152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4">
        <v>6034873.3200000003</v>
      </c>
      <c r="D35" s="98">
        <f t="shared" si="0"/>
        <v>0.18090719998006413</v>
      </c>
      <c r="E35" s="154">
        <v>5533606.7424404304</v>
      </c>
      <c r="F35" s="98">
        <f t="shared" si="1"/>
        <v>0.15737655956737298</v>
      </c>
      <c r="G35" s="154">
        <v>6533606.7424404304</v>
      </c>
      <c r="H35" s="98">
        <f t="shared" si="2"/>
        <v>0.1858167012132115</v>
      </c>
      <c r="I35" s="154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4">
        <v>12316700.43</v>
      </c>
      <c r="D36" s="98">
        <f t="shared" si="0"/>
        <v>0.36921732563966259</v>
      </c>
      <c r="E36" s="154">
        <v>11824073.889814863</v>
      </c>
      <c r="F36" s="98">
        <f t="shared" si="1"/>
        <v>0.33627833625719566</v>
      </c>
      <c r="G36" s="154">
        <v>12424073.889814863</v>
      </c>
      <c r="H36" s="98">
        <f t="shared" si="2"/>
        <v>0.35334242124469878</v>
      </c>
      <c r="I36" s="154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4">
        <v>2179410.2600000002</v>
      </c>
      <c r="D37" s="98">
        <f t="shared" si="0"/>
        <v>6.5332110027526411E-2</v>
      </c>
      <c r="E37" s="154">
        <v>2220205.3434794326</v>
      </c>
      <c r="F37" s="98">
        <f t="shared" si="1"/>
        <v>6.3142954451402653E-2</v>
      </c>
      <c r="G37" s="154">
        <v>2220205.3434794326</v>
      </c>
      <c r="H37" s="98">
        <f t="shared" si="2"/>
        <v>6.3142954451402653E-2</v>
      </c>
      <c r="I37" s="154">
        <f t="shared" si="3"/>
        <v>0</v>
      </c>
      <c r="J37" s="98">
        <f t="shared" si="4"/>
        <v>0</v>
      </c>
    </row>
    <row r="38" spans="2:10">
      <c r="B38" s="97" t="s">
        <v>53</v>
      </c>
      <c r="C38" s="154">
        <v>12557210.530000001</v>
      </c>
      <c r="D38" s="98">
        <f t="shared" si="0"/>
        <v>0.37642708903498195</v>
      </c>
      <c r="E38" s="154">
        <v>11832884.939003492</v>
      </c>
      <c r="F38" s="98">
        <f t="shared" si="1"/>
        <v>0.33652892374416871</v>
      </c>
      <c r="G38" s="154">
        <v>10132884.939003492</v>
      </c>
      <c r="H38" s="98">
        <f t="shared" si="2"/>
        <v>0.28818068294624322</v>
      </c>
      <c r="I38" s="154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52">
        <v>7564493.0600000005</v>
      </c>
      <c r="D39" s="96">
        <f t="shared" si="0"/>
        <v>0.22676056085850488</v>
      </c>
      <c r="E39" s="152">
        <v>7046262.4871663069</v>
      </c>
      <c r="F39" s="96">
        <f t="shared" si="1"/>
        <v>0.20039670320876826</v>
      </c>
      <c r="G39" s="152">
        <v>7738476.4003799995</v>
      </c>
      <c r="H39" s="96">
        <f t="shared" si="2"/>
        <v>0.22008336494978584</v>
      </c>
      <c r="I39" s="152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54">
        <v>6615451.54</v>
      </c>
      <c r="D40" s="98">
        <f t="shared" si="0"/>
        <v>0.19831117427750797</v>
      </c>
      <c r="E40" s="152">
        <v>8000000</v>
      </c>
      <c r="F40" s="96">
        <f t="shared" si="1"/>
        <v>0.22752113316670824</v>
      </c>
      <c r="G40" s="152">
        <v>8000000</v>
      </c>
      <c r="H40" s="96">
        <f t="shared" si="2"/>
        <v>0.22752113316670824</v>
      </c>
      <c r="I40" s="152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52">
        <v>366128508.17291778</v>
      </c>
      <c r="D44" s="96">
        <f t="shared" si="0"/>
        <v>10.975422305375018</v>
      </c>
      <c r="E44" s="152">
        <v>386488693.71999997</v>
      </c>
      <c r="F44" s="96">
        <f t="shared" si="1"/>
        <v>10.991793193911903</v>
      </c>
      <c r="G44" s="152">
        <v>386488693.71999997</v>
      </c>
      <c r="H44" s="96">
        <f t="shared" si="2"/>
        <v>10.991793193911903</v>
      </c>
      <c r="I44" s="152">
        <f t="shared" si="5"/>
        <v>0</v>
      </c>
      <c r="J44" s="96">
        <f t="shared" si="4"/>
        <v>0</v>
      </c>
    </row>
    <row r="45" spans="2:10">
      <c r="B45" s="93" t="s">
        <v>74</v>
      </c>
      <c r="C45" s="152">
        <v>12022159.040000001</v>
      </c>
      <c r="D45" s="96">
        <f t="shared" si="0"/>
        <v>0.36038786803256645</v>
      </c>
      <c r="E45" s="152">
        <v>11478163.960000001</v>
      </c>
      <c r="F45" s="96">
        <f t="shared" si="1"/>
        <v>0.3264406088565589</v>
      </c>
      <c r="G45" s="152">
        <v>11478163.960000001</v>
      </c>
      <c r="H45" s="96">
        <f t="shared" si="2"/>
        <v>0.3264406088565589</v>
      </c>
      <c r="I45" s="152">
        <f t="shared" si="5"/>
        <v>0</v>
      </c>
      <c r="J45" s="96">
        <f t="shared" si="4"/>
        <v>0</v>
      </c>
    </row>
    <row r="46" spans="2:10">
      <c r="B46" s="93" t="s">
        <v>428</v>
      </c>
      <c r="C46" s="152">
        <v>90442340.840000004</v>
      </c>
      <c r="D46" s="96">
        <f t="shared" si="0"/>
        <v>2.7111870910004456</v>
      </c>
      <c r="E46" s="152">
        <v>89210330.25999999</v>
      </c>
      <c r="F46" s="96">
        <f t="shared" si="1"/>
        <v>2.5371544288664349</v>
      </c>
      <c r="G46" s="152">
        <v>29295302.830000002</v>
      </c>
      <c r="H46" s="96">
        <f t="shared" si="2"/>
        <v>0.83316256204293437</v>
      </c>
      <c r="I46" s="152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52"/>
      <c r="D47" s="96">
        <f t="shared" si="0"/>
        <v>0</v>
      </c>
      <c r="E47" s="152"/>
      <c r="F47" s="96">
        <f t="shared" si="1"/>
        <v>0</v>
      </c>
      <c r="G47" s="152">
        <v>40692845.799999997</v>
      </c>
      <c r="H47" s="96">
        <f t="shared" si="2"/>
        <v>1.1573102985242654</v>
      </c>
      <c r="I47" s="152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52">
        <v>20416485.639999997</v>
      </c>
      <c r="D48" s="96">
        <f t="shared" si="0"/>
        <v>0.61202432175752564</v>
      </c>
      <c r="E48" s="152">
        <v>21655403.200000003</v>
      </c>
      <c r="F48" s="96">
        <f t="shared" si="1"/>
        <v>0.61588273440574504</v>
      </c>
      <c r="G48" s="152">
        <v>21655403.200000003</v>
      </c>
      <c r="H48" s="96">
        <f t="shared" si="2"/>
        <v>0.61588273440574504</v>
      </c>
      <c r="I48" s="152">
        <f t="shared" si="5"/>
        <v>0</v>
      </c>
      <c r="J48" s="96">
        <f t="shared" si="4"/>
        <v>0</v>
      </c>
    </row>
    <row r="49" spans="2:10">
      <c r="B49" s="93" t="s">
        <v>79</v>
      </c>
      <c r="C49" s="152">
        <v>67427730.789999992</v>
      </c>
      <c r="D49" s="96">
        <f t="shared" si="0"/>
        <v>2.0212788788462022</v>
      </c>
      <c r="E49" s="152">
        <v>73316123.120000005</v>
      </c>
      <c r="F49" s="96">
        <f t="shared" si="1"/>
        <v>2.0851209264565371</v>
      </c>
      <c r="G49" s="152">
        <v>73316123.120000005</v>
      </c>
      <c r="H49" s="96">
        <f t="shared" si="2"/>
        <v>2.0851209264565371</v>
      </c>
      <c r="I49" s="152">
        <f t="shared" si="5"/>
        <v>0</v>
      </c>
      <c r="J49" s="96">
        <f t="shared" si="4"/>
        <v>0</v>
      </c>
    </row>
    <row r="50" spans="2:10">
      <c r="B50" s="93" t="s">
        <v>81</v>
      </c>
      <c r="C50" s="152">
        <v>7928041.8100000005</v>
      </c>
      <c r="D50" s="96">
        <f t="shared" si="0"/>
        <v>0.23765864983757101</v>
      </c>
      <c r="E50" s="152">
        <v>8172802.1399999997</v>
      </c>
      <c r="F50" s="96">
        <f t="shared" si="1"/>
        <v>0.23243565050501225</v>
      </c>
      <c r="G50" s="152">
        <v>8172802.1399999997</v>
      </c>
      <c r="H50" s="96">
        <f t="shared" si="2"/>
        <v>0.23243565050501225</v>
      </c>
      <c r="I50" s="152">
        <f t="shared" si="5"/>
        <v>0</v>
      </c>
      <c r="J50" s="96">
        <f t="shared" si="4"/>
        <v>0</v>
      </c>
    </row>
    <row r="51" spans="2:10">
      <c r="B51" s="93" t="s">
        <v>83</v>
      </c>
      <c r="C51" s="152">
        <v>17426749.959999997</v>
      </c>
      <c r="D51" s="96">
        <f t="shared" si="0"/>
        <v>0.52240111313824467</v>
      </c>
      <c r="E51" s="152">
        <v>18874600</v>
      </c>
      <c r="F51" s="96">
        <f t="shared" si="1"/>
        <v>0.53679629750854385</v>
      </c>
      <c r="G51" s="152">
        <v>18874600</v>
      </c>
      <c r="H51" s="96">
        <f t="shared" si="2"/>
        <v>0.53679629750854385</v>
      </c>
      <c r="I51" s="152">
        <f t="shared" si="5"/>
        <v>0</v>
      </c>
      <c r="J51" s="96">
        <f t="shared" si="4"/>
        <v>0</v>
      </c>
    </row>
    <row r="52" spans="2:10">
      <c r="B52" s="93" t="s">
        <v>85</v>
      </c>
      <c r="C52" s="152">
        <v>6279093.0100000007</v>
      </c>
      <c r="D52" s="96">
        <f t="shared" si="0"/>
        <v>0.18822816563339112</v>
      </c>
      <c r="E52" s="152">
        <v>5827393.7300000023</v>
      </c>
      <c r="F52" s="96">
        <f t="shared" si="1"/>
        <v>0.16573190310727137</v>
      </c>
      <c r="G52" s="152">
        <v>25049575.370000001</v>
      </c>
      <c r="H52" s="96">
        <f t="shared" si="2"/>
        <v>0.71241347169090818</v>
      </c>
      <c r="I52" s="152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52">
        <v>12216538.75</v>
      </c>
      <c r="D53" s="158">
        <f t="shared" si="0"/>
        <v>0.36621478223679643</v>
      </c>
      <c r="E53" s="152"/>
      <c r="F53" s="158">
        <f t="shared" si="1"/>
        <v>0</v>
      </c>
      <c r="G53" s="152">
        <v>10502963.32</v>
      </c>
      <c r="H53" s="158">
        <f t="shared" si="2"/>
        <v>0.2987057645218465</v>
      </c>
      <c r="I53" s="152">
        <f t="shared" si="5"/>
        <v>10502963.32</v>
      </c>
      <c r="J53" s="158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54">
        <v>64036543.990000002</v>
      </c>
      <c r="D55" s="98">
        <f t="shared" si="0"/>
        <v>1.919621383142986</v>
      </c>
      <c r="E55" s="154">
        <v>58645000</v>
      </c>
      <c r="F55" s="98">
        <f t="shared" si="1"/>
        <v>1.6678721068202007</v>
      </c>
      <c r="G55" s="154">
        <v>58645000</v>
      </c>
      <c r="H55" s="98">
        <f t="shared" si="2"/>
        <v>1.6678721068202007</v>
      </c>
      <c r="I55" s="154">
        <f t="shared" si="5"/>
        <v>0</v>
      </c>
      <c r="J55" s="98">
        <f t="shared" si="4"/>
        <v>0</v>
      </c>
    </row>
    <row r="56" spans="2:10">
      <c r="B56" s="97" t="s">
        <v>90</v>
      </c>
      <c r="C56" s="154">
        <v>13086355.520000001</v>
      </c>
      <c r="D56" s="98">
        <f t="shared" si="0"/>
        <v>0.39228925108022916</v>
      </c>
      <c r="E56" s="154">
        <v>20758124</v>
      </c>
      <c r="F56" s="98">
        <f t="shared" si="1"/>
        <v>0.59036398686188019</v>
      </c>
      <c r="G56" s="154">
        <v>20758124</v>
      </c>
      <c r="H56" s="98">
        <f t="shared" si="2"/>
        <v>0.59036398686188019</v>
      </c>
      <c r="I56" s="154">
        <f t="shared" si="5"/>
        <v>0</v>
      </c>
      <c r="J56" s="98">
        <f t="shared" si="4"/>
        <v>0</v>
      </c>
    </row>
    <row r="57" spans="2:10">
      <c r="B57" s="97" t="s">
        <v>92</v>
      </c>
      <c r="C57" s="154">
        <v>383190248.31999987</v>
      </c>
      <c r="D57" s="98">
        <f t="shared" si="0"/>
        <v>11.486881531298929</v>
      </c>
      <c r="E57" s="154">
        <v>397320274.96999997</v>
      </c>
      <c r="F57" s="98">
        <f t="shared" si="1"/>
        <v>11.299844898910312</v>
      </c>
      <c r="G57" s="154">
        <v>397320274.96999997</v>
      </c>
      <c r="H57" s="98">
        <f t="shared" si="2"/>
        <v>11.299844898910312</v>
      </c>
      <c r="I57" s="154">
        <f t="shared" si="5"/>
        <v>0</v>
      </c>
      <c r="J57" s="98">
        <f t="shared" si="4"/>
        <v>0</v>
      </c>
    </row>
    <row r="58" spans="2:10">
      <c r="B58" s="97" t="s">
        <v>94</v>
      </c>
      <c r="C58" s="154">
        <v>14792096.089999998</v>
      </c>
      <c r="D58" s="98">
        <f t="shared" si="0"/>
        <v>0.44342218031478986</v>
      </c>
      <c r="E58" s="154">
        <v>14500000</v>
      </c>
      <c r="F58" s="98">
        <f t="shared" si="1"/>
        <v>0.4123820538646587</v>
      </c>
      <c r="G58" s="154">
        <v>14500000</v>
      </c>
      <c r="H58" s="98">
        <f t="shared" si="2"/>
        <v>0.4123820538646587</v>
      </c>
      <c r="I58" s="154">
        <f t="shared" si="5"/>
        <v>0</v>
      </c>
      <c r="J58" s="98">
        <f t="shared" si="4"/>
        <v>0</v>
      </c>
    </row>
    <row r="59" spans="2:10">
      <c r="B59" s="97" t="s">
        <v>431</v>
      </c>
      <c r="C59" s="154">
        <v>7862525.3600000013</v>
      </c>
      <c r="D59" s="98">
        <f t="shared" si="0"/>
        <v>0.23569466536040659</v>
      </c>
      <c r="E59" s="154">
        <v>7000000</v>
      </c>
      <c r="F59" s="98">
        <f t="shared" si="1"/>
        <v>0.19908099152086972</v>
      </c>
      <c r="G59" s="154">
        <v>7000000</v>
      </c>
      <c r="H59" s="98">
        <f t="shared" si="2"/>
        <v>0.19908099152086972</v>
      </c>
      <c r="I59" s="154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54">
        <v>94307106.209999993</v>
      </c>
      <c r="D61" s="98">
        <f t="shared" si="0"/>
        <v>2.8270410359953697</v>
      </c>
      <c r="E61" s="154">
        <v>101040047.61999999</v>
      </c>
      <c r="F61" s="98">
        <f t="shared" si="1"/>
        <v>2.8735932662150696</v>
      </c>
      <c r="G61" s="154">
        <v>101040047.61999999</v>
      </c>
      <c r="H61" s="98">
        <f t="shared" si="2"/>
        <v>2.8735932662150696</v>
      </c>
      <c r="I61" s="154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54"/>
      <c r="D62" s="98">
        <f t="shared" si="0"/>
        <v>0</v>
      </c>
      <c r="E62" s="154"/>
      <c r="F62" s="98">
        <f t="shared" si="1"/>
        <v>0</v>
      </c>
      <c r="G62" s="154"/>
      <c r="H62" s="98">
        <f t="shared" si="2"/>
        <v>0</v>
      </c>
      <c r="I62" s="154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60">
        <v>61785502.860000007</v>
      </c>
      <c r="D63" s="92">
        <f t="shared" si="0"/>
        <v>1.8521419968700925</v>
      </c>
      <c r="E63" s="160">
        <v>101820500</v>
      </c>
      <c r="F63" s="92">
        <f t="shared" si="1"/>
        <v>2.8957894424501021</v>
      </c>
      <c r="G63" s="160">
        <v>101820500</v>
      </c>
      <c r="H63" s="92">
        <f t="shared" si="2"/>
        <v>2.8957894424501021</v>
      </c>
      <c r="I63" s="160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52">
        <v>2752781.9799999995</v>
      </c>
      <c r="D64" s="96">
        <f t="shared" si="0"/>
        <v>8.2520055310353516E-2</v>
      </c>
      <c r="E64" s="152">
        <v>2140000</v>
      </c>
      <c r="F64" s="96">
        <f t="shared" si="1"/>
        <v>6.0861903122094448E-2</v>
      </c>
      <c r="G64" s="152">
        <v>2140000</v>
      </c>
      <c r="H64" s="96">
        <f t="shared" si="2"/>
        <v>6.0861903122094448E-2</v>
      </c>
      <c r="I64" s="152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52">
        <v>14126844.789999999</v>
      </c>
      <c r="D65" s="96">
        <f t="shared" si="0"/>
        <v>0.42347996386970665</v>
      </c>
      <c r="E65" s="152">
        <v>8854649.7699999996</v>
      </c>
      <c r="F65" s="96">
        <f t="shared" si="1"/>
        <v>0.25182749368309154</v>
      </c>
      <c r="G65" s="152">
        <v>8854649.7699999996</v>
      </c>
      <c r="H65" s="96">
        <f t="shared" si="2"/>
        <v>0.25182749368309154</v>
      </c>
      <c r="I65" s="152">
        <f t="shared" si="5"/>
        <v>0</v>
      </c>
      <c r="J65" s="96">
        <f t="shared" si="4"/>
        <v>0</v>
      </c>
    </row>
    <row r="66" spans="2:10" ht="14.25" thickTop="1" thickBot="1">
      <c r="B66" s="146" t="s">
        <v>112</v>
      </c>
      <c r="C66" s="161">
        <v>107239350.92999999</v>
      </c>
      <c r="D66" s="148">
        <f t="shared" si="0"/>
        <v>3.2147105126683559</v>
      </c>
      <c r="E66" s="161">
        <v>0</v>
      </c>
      <c r="F66" s="148">
        <f t="shared" si="1"/>
        <v>0</v>
      </c>
      <c r="G66" s="161">
        <v>5153201.26</v>
      </c>
      <c r="H66" s="148">
        <f t="shared" si="2"/>
        <v>0.14655777376391357</v>
      </c>
      <c r="I66" s="161">
        <f t="shared" si="5"/>
        <v>5153201.26</v>
      </c>
      <c r="J66" s="148" t="e">
        <f t="shared" si="4"/>
        <v>#DIV/0!</v>
      </c>
    </row>
    <row r="67" spans="2:10" ht="14.25" thickTop="1" thickBot="1">
      <c r="B67" s="181" t="s">
        <v>151</v>
      </c>
      <c r="C67" s="152">
        <v>0</v>
      </c>
      <c r="D67" s="96">
        <f t="shared" si="0"/>
        <v>0</v>
      </c>
      <c r="E67" s="152">
        <v>0</v>
      </c>
      <c r="F67" s="96">
        <f t="shared" si="1"/>
        <v>0</v>
      </c>
      <c r="G67" s="152">
        <v>0</v>
      </c>
      <c r="H67" s="96">
        <f t="shared" si="2"/>
        <v>0</v>
      </c>
      <c r="I67" s="152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54">
        <v>112695950.91</v>
      </c>
      <c r="D71" s="98">
        <f t="shared" si="0"/>
        <v>3.3782828316632929</v>
      </c>
      <c r="E71" s="154">
        <v>30008345.27</v>
      </c>
      <c r="F71" s="98">
        <f t="shared" si="1"/>
        <v>0.8534415900360286</v>
      </c>
      <c r="G71" s="154">
        <v>30008345.27</v>
      </c>
      <c r="H71" s="98">
        <f t="shared" si="2"/>
        <v>0.8534415900360286</v>
      </c>
      <c r="I71" s="154">
        <f t="shared" si="5"/>
        <v>0</v>
      </c>
      <c r="J71" s="98">
        <f t="shared" si="4"/>
        <v>0</v>
      </c>
    </row>
    <row r="72" spans="2:10">
      <c r="B72" s="97" t="s">
        <v>136</v>
      </c>
      <c r="C72" s="154">
        <v>68802905.489999995</v>
      </c>
      <c r="D72" s="98">
        <f t="shared" si="0"/>
        <v>2.0625024458158605</v>
      </c>
      <c r="E72" s="154">
        <v>108080400.25</v>
      </c>
      <c r="F72" s="98">
        <f t="shared" si="1"/>
        <v>3.073821892248922</v>
      </c>
      <c r="G72" s="154">
        <v>108080400.25</v>
      </c>
      <c r="H72" s="98">
        <f t="shared" si="2"/>
        <v>3.073821892248922</v>
      </c>
      <c r="I72" s="154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54">
        <v>60278571.609999992</v>
      </c>
      <c r="D73" s="98">
        <f t="shared" ref="D73:D79" si="6">C73/C$3*100</f>
        <v>1.8069687681137414</v>
      </c>
      <c r="E73" s="154">
        <v>33338159.969999999</v>
      </c>
      <c r="F73" s="98">
        <f t="shared" si="1"/>
        <v>0.94814199175842395</v>
      </c>
      <c r="G73" s="154">
        <v>33338159.969999999</v>
      </c>
      <c r="H73" s="98">
        <f t="shared" ref="H73:H79" si="7">G73/E$3*100</f>
        <v>0.94814199175842395</v>
      </c>
      <c r="I73" s="154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54">
        <v>102834751.84999999</v>
      </c>
      <c r="D76" s="98">
        <f t="shared" si="6"/>
        <v>3.0826739902186082</v>
      </c>
      <c r="E76" s="154">
        <v>0</v>
      </c>
      <c r="F76" s="98">
        <f t="shared" si="8"/>
        <v>0</v>
      </c>
      <c r="G76" s="183">
        <v>0</v>
      </c>
      <c r="H76" s="184">
        <f t="shared" si="7"/>
        <v>0</v>
      </c>
      <c r="I76" s="154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54">
        <v>230537476.81999999</v>
      </c>
      <c r="D77" s="98">
        <f t="shared" si="6"/>
        <v>6.910814396676539</v>
      </c>
      <c r="E77" s="154">
        <v>227975575.86282945</v>
      </c>
      <c r="F77" s="98">
        <f t="shared" si="8"/>
        <v>6.4836576693304764</v>
      </c>
      <c r="G77" s="183">
        <v>227975575.86282945</v>
      </c>
      <c r="H77" s="184">
        <f t="shared" si="7"/>
        <v>6.4836576693304764</v>
      </c>
      <c r="I77" s="154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54">
        <v>11948846.35</v>
      </c>
      <c r="D78" s="104">
        <f t="shared" si="6"/>
        <v>0.35819017592410862</v>
      </c>
      <c r="E78" s="154">
        <v>5000000</v>
      </c>
      <c r="F78" s="104">
        <f t="shared" si="8"/>
        <v>0.14220070822919265</v>
      </c>
      <c r="G78" s="183">
        <v>5000000</v>
      </c>
      <c r="H78" s="184">
        <f t="shared" si="7"/>
        <v>0.14220070822919265</v>
      </c>
      <c r="I78" s="154">
        <f t="shared" si="9"/>
        <v>0</v>
      </c>
      <c r="J78" s="104">
        <f t="shared" si="10"/>
        <v>0</v>
      </c>
    </row>
    <row r="79" spans="2:10" ht="14.25" thickTop="1" thickBot="1">
      <c r="B79" s="146" t="s">
        <v>124</v>
      </c>
      <c r="C79" s="147">
        <f>-C74-SUM(C76:C78)</f>
        <v>24776977.5729177</v>
      </c>
      <c r="D79" s="148">
        <f t="shared" si="6"/>
        <v>0.74273864570290371</v>
      </c>
      <c r="E79" s="147">
        <f>-E74-SUM(E76:E78)</f>
        <v>-10502963.319999933</v>
      </c>
      <c r="F79" s="148">
        <f t="shared" si="8"/>
        <v>-0.29870576452184461</v>
      </c>
      <c r="G79" s="185">
        <f>-G74-SUM(G76:G78)</f>
        <v>-27124068.379600048</v>
      </c>
      <c r="H79" s="186">
        <f t="shared" si="7"/>
        <v>-0.77141234672723535</v>
      </c>
      <c r="I79" s="147">
        <f t="shared" si="9"/>
        <v>-16621105.059600115</v>
      </c>
      <c r="J79" s="148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444</v>
      </c>
      <c r="E4">
        <v>2015</v>
      </c>
      <c r="F4">
        <v>2016</v>
      </c>
      <c r="G4">
        <v>2017</v>
      </c>
    </row>
    <row r="5" spans="3:7">
      <c r="C5" t="s">
        <v>442</v>
      </c>
      <c r="D5" s="180">
        <v>-26424601.993229389</v>
      </c>
      <c r="E5" s="180">
        <v>-24569497.372829676</v>
      </c>
      <c r="F5" s="180">
        <v>33498994.005818129</v>
      </c>
      <c r="G5" s="180">
        <v>103834080.12588143</v>
      </c>
    </row>
    <row r="6" spans="3:7">
      <c r="C6" t="s">
        <v>443</v>
      </c>
      <c r="D6" s="180">
        <v>-51424601.993229389</v>
      </c>
      <c r="E6" s="180">
        <v>-149569497.37282968</v>
      </c>
      <c r="F6" s="180">
        <v>-191501005.99418187</v>
      </c>
      <c r="G6" s="180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2016-06-30T08:34:04Z</cp:lastPrinted>
  <dcterms:created xsi:type="dcterms:W3CDTF">2008-03-17T08:49:23Z</dcterms:created>
  <dcterms:modified xsi:type="dcterms:W3CDTF">2017-09-04T07:56:58Z</dcterms:modified>
</cp:coreProperties>
</file>