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ld\Dropbox\MINISTARSTVO FINANSIJA\SEP\99_Arhiva\01_Analize\Bilten - 2015 - II kvartal - Analiza\"/>
    </mc:Choice>
  </mc:AlternateContent>
  <bookViews>
    <workbookView xWindow="0" yWindow="0" windowWidth="16590" windowHeight="5985" tabRatio="816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Budget'!$B$13:$C$72</definedName>
    <definedName name="Z_05AB59A7_9F04_4F70_A17E_8EF60EF35C7C_.wvu.PrintArea" localSheetId="1" hidden="1">'Local Government'!$B$13:$M$74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5251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J52" i="32" l="1"/>
  <c r="J56" i="33"/>
  <c r="L56" i="33" s="1"/>
  <c r="F56" i="33"/>
  <c r="D56" i="33"/>
  <c r="D25" i="10"/>
  <c r="J55" i="32"/>
  <c r="J42" i="32"/>
  <c r="J33" i="32"/>
  <c r="J27" i="32"/>
  <c r="J21" i="32"/>
  <c r="J17" i="32"/>
  <c r="J40" i="32"/>
  <c r="J41" i="32" s="1"/>
  <c r="F65" i="32"/>
  <c r="F52" i="32"/>
  <c r="F55" i="32"/>
  <c r="F42" i="32"/>
  <c r="F33" i="32"/>
  <c r="F27" i="32"/>
  <c r="F21" i="32"/>
  <c r="F16" i="32" s="1"/>
  <c r="F17" i="32"/>
  <c r="F40" i="32"/>
  <c r="F41" i="32" s="1"/>
  <c r="G41" i="32" s="1"/>
  <c r="D33" i="32"/>
  <c r="J37" i="10"/>
  <c r="J63" i="10"/>
  <c r="H71" i="10"/>
  <c r="M71" i="10"/>
  <c r="H70" i="10"/>
  <c r="M70" i="10" s="1"/>
  <c r="H69" i="10"/>
  <c r="M69" i="10"/>
  <c r="M66" i="10"/>
  <c r="M57" i="10"/>
  <c r="M56" i="10"/>
  <c r="M55" i="10"/>
  <c r="M54" i="10"/>
  <c r="M53" i="10"/>
  <c r="M52" i="10"/>
  <c r="M51" i="10"/>
  <c r="M50" i="10"/>
  <c r="M49" i="10"/>
  <c r="M47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5" i="10"/>
  <c r="M58" i="10"/>
  <c r="F25" i="10"/>
  <c r="R21" i="10"/>
  <c r="F17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F70" i="36" s="1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 s="1"/>
  <c r="F54" i="36"/>
  <c r="E54" i="36"/>
  <c r="C54" i="36"/>
  <c r="D54" i="36" s="1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 s="1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 s="1"/>
  <c r="F34" i="36"/>
  <c r="E34" i="36"/>
  <c r="C34" i="36"/>
  <c r="D34" i="36" s="1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E27" i="36"/>
  <c r="F27" i="36"/>
  <c r="C27" i="36"/>
  <c r="D27" i="36" s="1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 s="1"/>
  <c r="F22" i="36"/>
  <c r="E22" i="36"/>
  <c r="C22" i="36"/>
  <c r="D22" i="36" s="1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E17" i="36"/>
  <c r="F17" i="36"/>
  <c r="C17" i="36"/>
  <c r="D17" i="36" s="1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E9" i="36"/>
  <c r="F9" i="36" s="1"/>
  <c r="C9" i="36"/>
  <c r="C8" i="36" s="1"/>
  <c r="D9" i="36"/>
  <c r="G8" i="36"/>
  <c r="D7" i="36"/>
  <c r="C7" i="36"/>
  <c r="P7" i="31"/>
  <c r="P6" i="31"/>
  <c r="P5" i="31"/>
  <c r="E22" i="30"/>
  <c r="E21" i="30"/>
  <c r="E20" i="30"/>
  <c r="E19" i="30"/>
  <c r="G18" i="30"/>
  <c r="E18" i="30"/>
  <c r="E15" i="30"/>
  <c r="E14" i="30"/>
  <c r="E13" i="30"/>
  <c r="E12" i="30" s="1"/>
  <c r="G12" i="30" s="1"/>
  <c r="E11" i="30"/>
  <c r="E9" i="30"/>
  <c r="E7" i="30"/>
  <c r="G7" i="30" s="1"/>
  <c r="E8" i="30"/>
  <c r="D58" i="29"/>
  <c r="D57" i="29"/>
  <c r="D56" i="29" s="1"/>
  <c r="D55" i="29" s="1"/>
  <c r="D53" i="29"/>
  <c r="D52" i="29"/>
  <c r="D45" i="29"/>
  <c r="D44" i="29"/>
  <c r="D37" i="29"/>
  <c r="D36" i="29"/>
  <c r="D35" i="29"/>
  <c r="D34" i="29"/>
  <c r="D33" i="29"/>
  <c r="D32" i="29"/>
  <c r="D31" i="29" s="1"/>
  <c r="D30" i="29"/>
  <c r="D29" i="29"/>
  <c r="D28" i="29"/>
  <c r="D27" i="29"/>
  <c r="D26" i="29"/>
  <c r="D25" i="29"/>
  <c r="D24" i="29" s="1"/>
  <c r="E6" i="30" s="1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 s="1"/>
  <c r="F4" i="29"/>
  <c r="C76" i="33"/>
  <c r="J74" i="33"/>
  <c r="F74" i="33"/>
  <c r="D74" i="33"/>
  <c r="J73" i="33"/>
  <c r="F73" i="33"/>
  <c r="D73" i="33"/>
  <c r="J72" i="33"/>
  <c r="F72" i="33"/>
  <c r="D72" i="33"/>
  <c r="J69" i="33"/>
  <c r="F69" i="33"/>
  <c r="D69" i="33"/>
  <c r="J68" i="33"/>
  <c r="F68" i="33"/>
  <c r="I68" i="33" s="1"/>
  <c r="D68" i="33"/>
  <c r="J67" i="33"/>
  <c r="F67" i="33"/>
  <c r="D67" i="33"/>
  <c r="J63" i="33"/>
  <c r="L63" i="33" s="1"/>
  <c r="F63" i="33"/>
  <c r="D63" i="33"/>
  <c r="J62" i="33"/>
  <c r="F62" i="33"/>
  <c r="D62" i="33"/>
  <c r="J61" i="33"/>
  <c r="F61" i="33"/>
  <c r="D61" i="33"/>
  <c r="J60" i="33"/>
  <c r="F60" i="33"/>
  <c r="D60" i="33"/>
  <c r="J59" i="33"/>
  <c r="F59" i="33"/>
  <c r="D59" i="33"/>
  <c r="J58" i="33"/>
  <c r="F58" i="33"/>
  <c r="D58" i="33"/>
  <c r="J57" i="33"/>
  <c r="F57" i="33"/>
  <c r="F55" i="33" s="1"/>
  <c r="D57" i="33"/>
  <c r="J54" i="33"/>
  <c r="F54" i="33"/>
  <c r="D54" i="33"/>
  <c r="J53" i="33"/>
  <c r="F53" i="33"/>
  <c r="D53" i="33"/>
  <c r="J52" i="33"/>
  <c r="F52" i="33"/>
  <c r="D52" i="33"/>
  <c r="J51" i="33"/>
  <c r="F51" i="33"/>
  <c r="H51" i="33" s="1"/>
  <c r="D51" i="33"/>
  <c r="J50" i="33"/>
  <c r="F50" i="33"/>
  <c r="D50" i="33"/>
  <c r="J48" i="10"/>
  <c r="J49" i="33"/>
  <c r="F48" i="10"/>
  <c r="F49" i="33"/>
  <c r="J48" i="33"/>
  <c r="F48" i="33"/>
  <c r="D48" i="33"/>
  <c r="J47" i="33"/>
  <c r="F47" i="33"/>
  <c r="D47" i="33"/>
  <c r="J46" i="33"/>
  <c r="F46" i="33"/>
  <c r="H46" i="33" s="1"/>
  <c r="D46" i="33"/>
  <c r="J45" i="33"/>
  <c r="F45" i="33"/>
  <c r="D45" i="33"/>
  <c r="J44" i="33"/>
  <c r="F44" i="33"/>
  <c r="D44" i="33"/>
  <c r="J43" i="33"/>
  <c r="F43" i="33"/>
  <c r="D43" i="33"/>
  <c r="J42" i="33"/>
  <c r="F42" i="33"/>
  <c r="D42" i="33"/>
  <c r="J41" i="33"/>
  <c r="F41" i="33"/>
  <c r="D41" i="33"/>
  <c r="J40" i="33"/>
  <c r="F40" i="33"/>
  <c r="D40" i="33"/>
  <c r="J39" i="33"/>
  <c r="L39" i="33" s="1"/>
  <c r="F39" i="33"/>
  <c r="D39" i="33"/>
  <c r="J35" i="33"/>
  <c r="F35" i="33"/>
  <c r="D35" i="33"/>
  <c r="J34" i="33"/>
  <c r="F34" i="33"/>
  <c r="D34" i="33"/>
  <c r="C34" i="33"/>
  <c r="J33" i="33"/>
  <c r="F33" i="33"/>
  <c r="C33" i="33"/>
  <c r="J32" i="33"/>
  <c r="F32" i="33"/>
  <c r="C32" i="33"/>
  <c r="J31" i="33"/>
  <c r="F31" i="33"/>
  <c r="C31" i="33"/>
  <c r="J30" i="33"/>
  <c r="F30" i="33"/>
  <c r="H30" i="33" s="1"/>
  <c r="D30" i="33"/>
  <c r="C30" i="33"/>
  <c r="J29" i="33"/>
  <c r="F29" i="33"/>
  <c r="D29" i="33"/>
  <c r="C29" i="33"/>
  <c r="J28" i="33"/>
  <c r="F28" i="33"/>
  <c r="D28" i="33"/>
  <c r="C28" i="33"/>
  <c r="J27" i="33"/>
  <c r="J26" i="33" s="1"/>
  <c r="F27" i="33"/>
  <c r="D27" i="33"/>
  <c r="C27" i="33"/>
  <c r="C26" i="33"/>
  <c r="J25" i="33"/>
  <c r="F25" i="33"/>
  <c r="D25" i="33"/>
  <c r="C25" i="33"/>
  <c r="J24" i="33"/>
  <c r="F24" i="33"/>
  <c r="D24" i="33"/>
  <c r="J23" i="33"/>
  <c r="F23" i="33"/>
  <c r="D23" i="33"/>
  <c r="C23" i="33"/>
  <c r="J22" i="33"/>
  <c r="F22" i="33"/>
  <c r="D22" i="33"/>
  <c r="C22" i="33"/>
  <c r="J21" i="33"/>
  <c r="F21" i="33"/>
  <c r="D21" i="33"/>
  <c r="C21" i="33"/>
  <c r="J20" i="33"/>
  <c r="F20" i="33"/>
  <c r="D20" i="33"/>
  <c r="C20" i="33"/>
  <c r="J19" i="33"/>
  <c r="F19" i="33"/>
  <c r="D19" i="33"/>
  <c r="C19" i="33"/>
  <c r="J18" i="33"/>
  <c r="F18" i="33"/>
  <c r="D18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 s="1"/>
  <c r="J11" i="33"/>
  <c r="D11" i="33"/>
  <c r="E56" i="33" s="1"/>
  <c r="C11" i="33"/>
  <c r="C76" i="32"/>
  <c r="M75" i="32"/>
  <c r="L75" i="32"/>
  <c r="H75" i="32"/>
  <c r="C74" i="32"/>
  <c r="M73" i="32"/>
  <c r="L73" i="32"/>
  <c r="I73" i="32"/>
  <c r="H73" i="32"/>
  <c r="C73" i="32"/>
  <c r="M72" i="32"/>
  <c r="L72" i="32"/>
  <c r="H72" i="32"/>
  <c r="C72" i="32"/>
  <c r="M71" i="32"/>
  <c r="L71" i="32"/>
  <c r="I71" i="32"/>
  <c r="H71" i="32"/>
  <c r="C71" i="32"/>
  <c r="C70" i="32"/>
  <c r="C69" i="32"/>
  <c r="M68" i="32"/>
  <c r="L68" i="32"/>
  <c r="I68" i="32"/>
  <c r="H68" i="32"/>
  <c r="C68" i="32"/>
  <c r="M67" i="32"/>
  <c r="L67" i="32"/>
  <c r="I67" i="32"/>
  <c r="H67" i="32"/>
  <c r="C67" i="32"/>
  <c r="M66" i="32"/>
  <c r="L66" i="32"/>
  <c r="I66" i="32"/>
  <c r="H66" i="32"/>
  <c r="C66" i="32"/>
  <c r="J65" i="32"/>
  <c r="D65" i="32"/>
  <c r="C65" i="32"/>
  <c r="C64" i="32"/>
  <c r="C63" i="32"/>
  <c r="L62" i="32"/>
  <c r="H62" i="32"/>
  <c r="M61" i="32"/>
  <c r="L61" i="32"/>
  <c r="H61" i="32"/>
  <c r="M60" i="32"/>
  <c r="L60" i="32"/>
  <c r="I60" i="32"/>
  <c r="H60" i="32"/>
  <c r="C60" i="32"/>
  <c r="M59" i="32"/>
  <c r="L59" i="32"/>
  <c r="I59" i="32"/>
  <c r="H59" i="32"/>
  <c r="C59" i="32"/>
  <c r="M58" i="32"/>
  <c r="L58" i="32"/>
  <c r="I58" i="32"/>
  <c r="H58" i="32"/>
  <c r="C58" i="32"/>
  <c r="M57" i="32"/>
  <c r="L57" i="32"/>
  <c r="I57" i="32"/>
  <c r="H57" i="32"/>
  <c r="M56" i="32"/>
  <c r="L56" i="32"/>
  <c r="I56" i="32"/>
  <c r="H56" i="32"/>
  <c r="D55" i="32"/>
  <c r="H55" i="32"/>
  <c r="C55" i="32"/>
  <c r="M54" i="32"/>
  <c r="L54" i="32"/>
  <c r="I54" i="32"/>
  <c r="H54" i="32"/>
  <c r="M53" i="32"/>
  <c r="L53" i="32"/>
  <c r="I53" i="32"/>
  <c r="H53" i="32"/>
  <c r="D52" i="32"/>
  <c r="H52" i="32"/>
  <c r="C52" i="32"/>
  <c r="M51" i="32"/>
  <c r="L51" i="32"/>
  <c r="I51" i="32"/>
  <c r="H51" i="32"/>
  <c r="C51" i="32"/>
  <c r="M50" i="32"/>
  <c r="L50" i="32"/>
  <c r="I50" i="32"/>
  <c r="H50" i="32"/>
  <c r="C50" i="32"/>
  <c r="M49" i="32"/>
  <c r="L49" i="32"/>
  <c r="I49" i="32"/>
  <c r="H49" i="32"/>
  <c r="C49" i="32"/>
  <c r="M48" i="32"/>
  <c r="L48" i="32"/>
  <c r="I48" i="32"/>
  <c r="H48" i="32"/>
  <c r="C48" i="32"/>
  <c r="M47" i="32"/>
  <c r="L47" i="32"/>
  <c r="I47" i="32"/>
  <c r="H47" i="32"/>
  <c r="C47" i="32"/>
  <c r="M46" i="32"/>
  <c r="L46" i="32"/>
  <c r="H46" i="32"/>
  <c r="C46" i="32"/>
  <c r="M45" i="32"/>
  <c r="L45" i="32"/>
  <c r="I45" i="32"/>
  <c r="H45" i="32"/>
  <c r="C45" i="32"/>
  <c r="M44" i="32"/>
  <c r="L44" i="32"/>
  <c r="I44" i="32"/>
  <c r="H44" i="32"/>
  <c r="C44" i="32"/>
  <c r="M43" i="32"/>
  <c r="L43" i="32"/>
  <c r="I43" i="32"/>
  <c r="H43" i="32"/>
  <c r="C43" i="32"/>
  <c r="D42" i="32"/>
  <c r="C42" i="32"/>
  <c r="C41" i="32"/>
  <c r="C40" i="32"/>
  <c r="M39" i="32"/>
  <c r="L39" i="32"/>
  <c r="I39" i="32"/>
  <c r="H39" i="32"/>
  <c r="M38" i="32"/>
  <c r="L38" i="32"/>
  <c r="H38" i="32"/>
  <c r="C38" i="32"/>
  <c r="M37" i="32"/>
  <c r="L37" i="32"/>
  <c r="I37" i="32"/>
  <c r="H37" i="32"/>
  <c r="C37" i="32"/>
  <c r="M36" i="32"/>
  <c r="L36" i="32"/>
  <c r="I36" i="32"/>
  <c r="H36" i="32"/>
  <c r="C36" i="32"/>
  <c r="M35" i="32"/>
  <c r="L35" i="32"/>
  <c r="I35" i="32"/>
  <c r="H35" i="32"/>
  <c r="C35" i="32"/>
  <c r="M34" i="32"/>
  <c r="L34" i="32"/>
  <c r="I34" i="32"/>
  <c r="H34" i="32"/>
  <c r="C34" i="32"/>
  <c r="C33" i="32"/>
  <c r="M32" i="32"/>
  <c r="L32" i="32"/>
  <c r="I32" i="32"/>
  <c r="H32" i="32"/>
  <c r="C32" i="32"/>
  <c r="M31" i="32"/>
  <c r="L31" i="32"/>
  <c r="H31" i="32"/>
  <c r="M30" i="32"/>
  <c r="L30" i="32"/>
  <c r="I30" i="32"/>
  <c r="H30" i="32"/>
  <c r="M29" i="32"/>
  <c r="L29" i="32"/>
  <c r="I29" i="32"/>
  <c r="H29" i="32"/>
  <c r="C29" i="32"/>
  <c r="M28" i="32"/>
  <c r="L28" i="32"/>
  <c r="I28" i="32"/>
  <c r="H28" i="32"/>
  <c r="C28" i="32"/>
  <c r="D27" i="32"/>
  <c r="C27" i="32"/>
  <c r="M26" i="32"/>
  <c r="L26" i="32"/>
  <c r="I26" i="32"/>
  <c r="H26" i="32"/>
  <c r="M25" i="32"/>
  <c r="L25" i="32"/>
  <c r="I25" i="32"/>
  <c r="H25" i="32"/>
  <c r="M24" i="32"/>
  <c r="L24" i="32"/>
  <c r="I24" i="32"/>
  <c r="H24" i="32"/>
  <c r="M23" i="32"/>
  <c r="L23" i="32"/>
  <c r="I23" i="32"/>
  <c r="H23" i="32"/>
  <c r="C23" i="32"/>
  <c r="M22" i="32"/>
  <c r="L22" i="32"/>
  <c r="I22" i="32"/>
  <c r="H22" i="32"/>
  <c r="C22" i="32"/>
  <c r="D21" i="32"/>
  <c r="M21" i="32"/>
  <c r="C21" i="32"/>
  <c r="M20" i="32"/>
  <c r="L20" i="32"/>
  <c r="I20" i="32"/>
  <c r="H20" i="32"/>
  <c r="M19" i="32"/>
  <c r="L19" i="32"/>
  <c r="I19" i="32"/>
  <c r="H19" i="32"/>
  <c r="C19" i="32"/>
  <c r="M18" i="32"/>
  <c r="L18" i="32"/>
  <c r="I18" i="32"/>
  <c r="H18" i="32"/>
  <c r="C18" i="32"/>
  <c r="D17" i="32"/>
  <c r="M17" i="32" s="1"/>
  <c r="C17" i="32"/>
  <c r="J16" i="32"/>
  <c r="J63" i="32"/>
  <c r="J64" i="32" s="1"/>
  <c r="C16" i="32"/>
  <c r="L15" i="32"/>
  <c r="K15" i="32"/>
  <c r="J15" i="32"/>
  <c r="H15" i="32"/>
  <c r="G15" i="32"/>
  <c r="F15" i="32"/>
  <c r="E15" i="32"/>
  <c r="D15" i="32"/>
  <c r="C15" i="32"/>
  <c r="H14" i="32"/>
  <c r="L14" i="32"/>
  <c r="K11" i="32"/>
  <c r="J11" i="32"/>
  <c r="D11" i="32"/>
  <c r="C73" i="10"/>
  <c r="D17" i="10"/>
  <c r="L17" i="10" s="1"/>
  <c r="D16" i="10"/>
  <c r="J17" i="10"/>
  <c r="K17" i="10"/>
  <c r="J25" i="10"/>
  <c r="K25" i="10"/>
  <c r="F37" i="10"/>
  <c r="F63" i="10"/>
  <c r="G63" i="10" s="1"/>
  <c r="L71" i="10"/>
  <c r="K71" i="10"/>
  <c r="I71" i="10"/>
  <c r="G71" i="10"/>
  <c r="E71" i="10"/>
  <c r="L70" i="10"/>
  <c r="K70" i="10"/>
  <c r="I70" i="10"/>
  <c r="G70" i="10"/>
  <c r="E70" i="10"/>
  <c r="L69" i="10"/>
  <c r="K69" i="10"/>
  <c r="I69" i="10"/>
  <c r="G69" i="10"/>
  <c r="E69" i="10"/>
  <c r="G66" i="10"/>
  <c r="E66" i="10"/>
  <c r="L65" i="10"/>
  <c r="K65" i="10"/>
  <c r="I65" i="10"/>
  <c r="H65" i="10"/>
  <c r="M65" i="10" s="1"/>
  <c r="G65" i="10"/>
  <c r="E65" i="10"/>
  <c r="L64" i="10"/>
  <c r="K64" i="10"/>
  <c r="I64" i="10"/>
  <c r="H64" i="10"/>
  <c r="M64" i="10" s="1"/>
  <c r="G64" i="10"/>
  <c r="E64" i="10"/>
  <c r="K63" i="10"/>
  <c r="D63" i="10"/>
  <c r="L63" i="10" s="1"/>
  <c r="L60" i="10"/>
  <c r="K60" i="10"/>
  <c r="I60" i="10"/>
  <c r="H60" i="10"/>
  <c r="M60" i="10" s="1"/>
  <c r="G60" i="10"/>
  <c r="E60" i="10"/>
  <c r="L59" i="10"/>
  <c r="K59" i="10"/>
  <c r="I59" i="10"/>
  <c r="H59" i="10"/>
  <c r="M59" i="10" s="1"/>
  <c r="G59" i="10"/>
  <c r="E59" i="10"/>
  <c r="L58" i="10"/>
  <c r="K58" i="10"/>
  <c r="I58" i="10"/>
  <c r="H58" i="10"/>
  <c r="G58" i="10"/>
  <c r="E58" i="10"/>
  <c r="L57" i="10"/>
  <c r="K57" i="10"/>
  <c r="I57" i="10"/>
  <c r="H57" i="10"/>
  <c r="G57" i="10"/>
  <c r="E57" i="10"/>
  <c r="L56" i="10"/>
  <c r="K56" i="10"/>
  <c r="I56" i="10"/>
  <c r="H56" i="10"/>
  <c r="G56" i="10"/>
  <c r="E56" i="10"/>
  <c r="K55" i="10"/>
  <c r="I55" i="10"/>
  <c r="H55" i="10"/>
  <c r="G55" i="10"/>
  <c r="E55" i="10"/>
  <c r="L54" i="10"/>
  <c r="K54" i="10"/>
  <c r="I54" i="10"/>
  <c r="H54" i="10"/>
  <c r="G54" i="10"/>
  <c r="E54" i="10"/>
  <c r="L53" i="10"/>
  <c r="K53" i="10"/>
  <c r="I53" i="10"/>
  <c r="H53" i="10"/>
  <c r="G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K48" i="10"/>
  <c r="G48" i="10"/>
  <c r="D48" i="10"/>
  <c r="H48" i="10" s="1"/>
  <c r="L47" i="10"/>
  <c r="K47" i="10"/>
  <c r="I47" i="10"/>
  <c r="H47" i="10"/>
  <c r="G47" i="10"/>
  <c r="E47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H38" i="10"/>
  <c r="G38" i="10"/>
  <c r="E38" i="10"/>
  <c r="K37" i="10"/>
  <c r="D37" i="10"/>
  <c r="D35" i="10" s="1"/>
  <c r="M37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C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G25" i="10"/>
  <c r="C25" i="10"/>
  <c r="L24" i="10"/>
  <c r="K24" i="10"/>
  <c r="I24" i="10"/>
  <c r="H24" i="10"/>
  <c r="G24" i="10"/>
  <c r="E24" i="10"/>
  <c r="C24" i="10"/>
  <c r="L23" i="10"/>
  <c r="K23" i="10"/>
  <c r="I23" i="10"/>
  <c r="H23" i="10"/>
  <c r="G23" i="10"/>
  <c r="E23" i="10"/>
  <c r="C23" i="10"/>
  <c r="Q22" i="10"/>
  <c r="P22" i="10"/>
  <c r="L22" i="10"/>
  <c r="K22" i="10"/>
  <c r="I22" i="10"/>
  <c r="H22" i="10"/>
  <c r="G22" i="10"/>
  <c r="E22" i="10"/>
  <c r="C22" i="10"/>
  <c r="Q21" i="10"/>
  <c r="P21" i="10"/>
  <c r="L21" i="10"/>
  <c r="K21" i="10"/>
  <c r="I21" i="10"/>
  <c r="H21" i="10"/>
  <c r="G21" i="10"/>
  <c r="E21" i="10"/>
  <c r="C21" i="10"/>
  <c r="R20" i="10"/>
  <c r="Q20" i="10"/>
  <c r="P20" i="10"/>
  <c r="L20" i="10"/>
  <c r="K20" i="10"/>
  <c r="I20" i="10"/>
  <c r="H20" i="10"/>
  <c r="G20" i="10"/>
  <c r="E20" i="10"/>
  <c r="C20" i="10"/>
  <c r="L19" i="10"/>
  <c r="K19" i="10"/>
  <c r="I19" i="10"/>
  <c r="H19" i="10"/>
  <c r="G19" i="10"/>
  <c r="E19" i="10"/>
  <c r="C19" i="10"/>
  <c r="L18" i="10"/>
  <c r="K18" i="10"/>
  <c r="I18" i="10"/>
  <c r="H18" i="10"/>
  <c r="G18" i="10"/>
  <c r="E18" i="10"/>
  <c r="C18" i="10"/>
  <c r="I17" i="10"/>
  <c r="C17" i="10"/>
  <c r="C16" i="10"/>
  <c r="E15" i="10"/>
  <c r="D15" i="10"/>
  <c r="C15" i="10"/>
  <c r="L14" i="10"/>
  <c r="C14" i="10"/>
  <c r="C11" i="10"/>
  <c r="C11" i="32" s="1"/>
  <c r="J9" i="10"/>
  <c r="J8" i="10"/>
  <c r="I63" i="10"/>
  <c r="I25" i="10"/>
  <c r="F16" i="10"/>
  <c r="G16" i="10"/>
  <c r="G17" i="10"/>
  <c r="K49" i="33"/>
  <c r="E16" i="10"/>
  <c r="D4" i="29"/>
  <c r="G4" i="29" s="1"/>
  <c r="H21" i="32"/>
  <c r="E25" i="10"/>
  <c r="H25" i="10"/>
  <c r="K40" i="33"/>
  <c r="K48" i="33"/>
  <c r="K63" i="33"/>
  <c r="I27" i="36"/>
  <c r="J27" i="36"/>
  <c r="I43" i="36"/>
  <c r="J43" i="36"/>
  <c r="I22" i="36"/>
  <c r="J22" i="36"/>
  <c r="H27" i="36"/>
  <c r="I34" i="36"/>
  <c r="J34" i="36"/>
  <c r="H43" i="36"/>
  <c r="I54" i="36"/>
  <c r="J54" i="36"/>
  <c r="I70" i="36"/>
  <c r="J70" i="36"/>
  <c r="L65" i="32"/>
  <c r="G63" i="33"/>
  <c r="E35" i="33"/>
  <c r="G39" i="33"/>
  <c r="D16" i="32"/>
  <c r="H16" i="32" s="1"/>
  <c r="G44" i="33"/>
  <c r="G40" i="32"/>
  <c r="G65" i="32"/>
  <c r="L52" i="32"/>
  <c r="D40" i="32"/>
  <c r="L40" i="32" s="1"/>
  <c r="H42" i="32"/>
  <c r="L42" i="32"/>
  <c r="H27" i="32"/>
  <c r="H17" i="32"/>
  <c r="I18" i="33"/>
  <c r="E30" i="33"/>
  <c r="I52" i="33"/>
  <c r="E57" i="33"/>
  <c r="E37" i="10"/>
  <c r="F35" i="10"/>
  <c r="G35" i="10" s="1"/>
  <c r="G37" i="10"/>
  <c r="E33" i="32"/>
  <c r="D33" i="33"/>
  <c r="L33" i="33" s="1"/>
  <c r="L33" i="32"/>
  <c r="H33" i="32"/>
  <c r="M33" i="32"/>
  <c r="E28" i="33"/>
  <c r="M48" i="10"/>
  <c r="D49" i="33"/>
  <c r="L49" i="33" s="1"/>
  <c r="E48" i="10"/>
  <c r="L48" i="10"/>
  <c r="M17" i="10"/>
  <c r="H17" i="10"/>
  <c r="E17" i="10"/>
  <c r="G75" i="32"/>
  <c r="G73" i="32"/>
  <c r="G71" i="32"/>
  <c r="G67" i="32"/>
  <c r="G61" i="32"/>
  <c r="G59" i="32"/>
  <c r="G57" i="32"/>
  <c r="G55" i="32"/>
  <c r="G53" i="32"/>
  <c r="G51" i="32"/>
  <c r="G49" i="32"/>
  <c r="G47" i="32"/>
  <c r="G45" i="32"/>
  <c r="G43" i="32"/>
  <c r="G39" i="32"/>
  <c r="G37" i="32"/>
  <c r="G35" i="32"/>
  <c r="G33" i="32"/>
  <c r="G31" i="32"/>
  <c r="G29" i="32"/>
  <c r="G27" i="32"/>
  <c r="G25" i="32"/>
  <c r="G23" i="32"/>
  <c r="G21" i="32"/>
  <c r="G19" i="32"/>
  <c r="G17" i="32"/>
  <c r="E75" i="32"/>
  <c r="E72" i="32"/>
  <c r="E68" i="32"/>
  <c r="E66" i="32"/>
  <c r="E62" i="32"/>
  <c r="E60" i="32"/>
  <c r="E58" i="32"/>
  <c r="G72" i="32"/>
  <c r="G68" i="32"/>
  <c r="G66" i="32"/>
  <c r="G62" i="32"/>
  <c r="G60" i="32"/>
  <c r="G58" i="32"/>
  <c r="G56" i="32"/>
  <c r="G54" i="32"/>
  <c r="G52" i="32"/>
  <c r="G50" i="32"/>
  <c r="G48" i="32"/>
  <c r="G46" i="32"/>
  <c r="G44" i="32"/>
  <c r="G42" i="32"/>
  <c r="G38" i="32"/>
  <c r="G36" i="32"/>
  <c r="G34" i="32"/>
  <c r="G32" i="32"/>
  <c r="G30" i="32"/>
  <c r="G28" i="32"/>
  <c r="G26" i="32"/>
  <c r="G24" i="32"/>
  <c r="G22" i="32"/>
  <c r="G20" i="32"/>
  <c r="G18" i="32"/>
  <c r="E73" i="32"/>
  <c r="E71" i="32"/>
  <c r="E67" i="32"/>
  <c r="E61" i="32"/>
  <c r="E59" i="32"/>
  <c r="E57" i="32"/>
  <c r="E53" i="32"/>
  <c r="E51" i="32"/>
  <c r="E49" i="32"/>
  <c r="E47" i="32"/>
  <c r="E45" i="32"/>
  <c r="E43" i="32"/>
  <c r="E39" i="32"/>
  <c r="E37" i="32"/>
  <c r="E35" i="32"/>
  <c r="E31" i="32"/>
  <c r="E29" i="32"/>
  <c r="E25" i="32"/>
  <c r="E23" i="32"/>
  <c r="E20" i="32"/>
  <c r="E18" i="32"/>
  <c r="E56" i="32"/>
  <c r="E48" i="32"/>
  <c r="E44" i="32"/>
  <c r="E36" i="32"/>
  <c r="E32" i="32"/>
  <c r="E28" i="32"/>
  <c r="E24" i="32"/>
  <c r="E19" i="32"/>
  <c r="E54" i="32"/>
  <c r="E50" i="32"/>
  <c r="E46" i="32"/>
  <c r="E38" i="32"/>
  <c r="E34" i="32"/>
  <c r="E30" i="32"/>
  <c r="E26" i="32"/>
  <c r="E22" i="32"/>
  <c r="D31" i="33"/>
  <c r="H31" i="33" s="1"/>
  <c r="L21" i="32"/>
  <c r="E21" i="32"/>
  <c r="I21" i="32"/>
  <c r="I33" i="32"/>
  <c r="E52" i="32"/>
  <c r="K63" i="32"/>
  <c r="J69" i="32"/>
  <c r="K69" i="32" s="1"/>
  <c r="I65" i="32"/>
  <c r="K73" i="33"/>
  <c r="K41" i="33"/>
  <c r="H63" i="10"/>
  <c r="M63" i="10" s="1"/>
  <c r="E63" i="10"/>
  <c r="J16" i="10"/>
  <c r="G9" i="10" s="1"/>
  <c r="L25" i="10"/>
  <c r="D8" i="36"/>
  <c r="L16" i="36"/>
  <c r="H8" i="36"/>
  <c r="J9" i="36"/>
  <c r="H9" i="36"/>
  <c r="I17" i="36"/>
  <c r="D60" i="36"/>
  <c r="C41" i="36"/>
  <c r="C68" i="36" s="1"/>
  <c r="J60" i="36"/>
  <c r="H60" i="36"/>
  <c r="G41" i="36"/>
  <c r="H79" i="36"/>
  <c r="G75" i="36"/>
  <c r="E42" i="32"/>
  <c r="I37" i="10"/>
  <c r="L37" i="10"/>
  <c r="K75" i="32"/>
  <c r="K73" i="32"/>
  <c r="K71" i="32"/>
  <c r="K61" i="32"/>
  <c r="K59" i="32"/>
  <c r="K57" i="32"/>
  <c r="K53" i="32"/>
  <c r="K51" i="32"/>
  <c r="K49" i="32"/>
  <c r="K45" i="32"/>
  <c r="K43" i="32"/>
  <c r="K39" i="32"/>
  <c r="K35" i="32"/>
  <c r="K33" i="32"/>
  <c r="K31" i="32"/>
  <c r="K27" i="32"/>
  <c r="K25" i="32"/>
  <c r="K23" i="32"/>
  <c r="K19" i="32"/>
  <c r="K17" i="32"/>
  <c r="K72" i="32"/>
  <c r="K66" i="32"/>
  <c r="K62" i="32"/>
  <c r="K60" i="32"/>
  <c r="K56" i="32"/>
  <c r="K54" i="32"/>
  <c r="K52" i="32"/>
  <c r="K48" i="32"/>
  <c r="K46" i="32"/>
  <c r="K44" i="32"/>
  <c r="K38" i="32"/>
  <c r="K36" i="32"/>
  <c r="K34" i="32"/>
  <c r="K30" i="32"/>
  <c r="K28" i="32"/>
  <c r="K26" i="32"/>
  <c r="K22" i="32"/>
  <c r="K20" i="32"/>
  <c r="K18" i="32"/>
  <c r="K16" i="32"/>
  <c r="I17" i="32"/>
  <c r="E27" i="32"/>
  <c r="M27" i="32"/>
  <c r="K40" i="32"/>
  <c r="K41" i="32"/>
  <c r="I52" i="32"/>
  <c r="M52" i="32"/>
  <c r="E55" i="32"/>
  <c r="M55" i="32"/>
  <c r="E65" i="32"/>
  <c r="H65" i="32"/>
  <c r="M65" i="32"/>
  <c r="D32" i="33"/>
  <c r="I32" i="33" s="1"/>
  <c r="E5" i="30"/>
  <c r="E4" i="30" s="1"/>
  <c r="E10" i="30" s="1"/>
  <c r="E8" i="36"/>
  <c r="I9" i="36"/>
  <c r="J17" i="36"/>
  <c r="H17" i="36"/>
  <c r="F60" i="36"/>
  <c r="E41" i="36"/>
  <c r="E42" i="36" s="1"/>
  <c r="F42" i="36" s="1"/>
  <c r="I60" i="36"/>
  <c r="J35" i="10"/>
  <c r="H16" i="10"/>
  <c r="M40" i="32"/>
  <c r="H40" i="32"/>
  <c r="I40" i="32"/>
  <c r="D41" i="32"/>
  <c r="I41" i="32" s="1"/>
  <c r="E40" i="32"/>
  <c r="F41" i="36"/>
  <c r="F8" i="36"/>
  <c r="E41" i="32"/>
  <c r="H41" i="36"/>
  <c r="J61" i="10"/>
  <c r="J62" i="10" s="1"/>
  <c r="K62" i="10" s="1"/>
  <c r="K16" i="10"/>
  <c r="K64" i="32"/>
  <c r="J36" i="10"/>
  <c r="K35" i="10"/>
  <c r="I8" i="36"/>
  <c r="G4" i="30"/>
  <c r="H75" i="36"/>
  <c r="C42" i="36"/>
  <c r="D42" i="36" s="1"/>
  <c r="J8" i="36"/>
  <c r="G68" i="36"/>
  <c r="H68" i="36" s="1"/>
  <c r="J74" i="32"/>
  <c r="K74" i="32" s="1"/>
  <c r="L16" i="10"/>
  <c r="J70" i="32"/>
  <c r="K70" i="32"/>
  <c r="K36" i="10"/>
  <c r="D68" i="36" l="1"/>
  <c r="C69" i="36"/>
  <c r="D69" i="36" s="1"/>
  <c r="C74" i="36"/>
  <c r="D36" i="10"/>
  <c r="E35" i="10"/>
  <c r="D61" i="10"/>
  <c r="H35" i="10"/>
  <c r="M35" i="10"/>
  <c r="L35" i="10"/>
  <c r="I35" i="10"/>
  <c r="E17" i="30"/>
  <c r="G10" i="30"/>
  <c r="J67" i="10"/>
  <c r="D41" i="36"/>
  <c r="G8" i="10"/>
  <c r="I16" i="10"/>
  <c r="K67" i="32"/>
  <c r="K55" i="32"/>
  <c r="K47" i="32"/>
  <c r="K37" i="32"/>
  <c r="K29" i="32"/>
  <c r="K21" i="32"/>
  <c r="K68" i="32"/>
  <c r="K58" i="32"/>
  <c r="K50" i="32"/>
  <c r="K42" i="32"/>
  <c r="K32" i="32"/>
  <c r="K24" i="32"/>
  <c r="K65" i="32"/>
  <c r="L55" i="32"/>
  <c r="I55" i="32"/>
  <c r="K18" i="33"/>
  <c r="K72" i="33"/>
  <c r="G69" i="36"/>
  <c r="J41" i="36"/>
  <c r="I41" i="36"/>
  <c r="K61" i="10"/>
  <c r="L41" i="32"/>
  <c r="M16" i="10"/>
  <c r="G42" i="36"/>
  <c r="H41" i="32"/>
  <c r="E68" i="36"/>
  <c r="M41" i="32"/>
  <c r="F36" i="10"/>
  <c r="G36" i="10" s="1"/>
  <c r="I48" i="10"/>
  <c r="H37" i="10"/>
  <c r="R22" i="10"/>
  <c r="M25" i="10"/>
  <c r="E24" i="33"/>
  <c r="G32" i="33"/>
  <c r="K33" i="33"/>
  <c r="K34" i="33"/>
  <c r="K45" i="33"/>
  <c r="K50" i="33"/>
  <c r="K54" i="33"/>
  <c r="K60" i="33"/>
  <c r="K67" i="33"/>
  <c r="G16" i="32"/>
  <c r="F63" i="32"/>
  <c r="F61" i="10"/>
  <c r="L17" i="32"/>
  <c r="E17" i="32"/>
  <c r="M42" i="32"/>
  <c r="I42" i="32"/>
  <c r="E18" i="33"/>
  <c r="E21" i="33"/>
  <c r="G24" i="33"/>
  <c r="G31" i="33"/>
  <c r="K32" i="33"/>
  <c r="E42" i="33"/>
  <c r="G43" i="33"/>
  <c r="K44" i="33"/>
  <c r="E46" i="33"/>
  <c r="G47" i="33"/>
  <c r="G52" i="33"/>
  <c r="G58" i="33"/>
  <c r="K59" i="33"/>
  <c r="E61" i="33"/>
  <c r="G62" i="33"/>
  <c r="G69" i="33"/>
  <c r="L16" i="32"/>
  <c r="I16" i="32"/>
  <c r="L27" i="32"/>
  <c r="I27" i="32"/>
  <c r="G18" i="33"/>
  <c r="G19" i="33"/>
  <c r="G20" i="33"/>
  <c r="G21" i="33"/>
  <c r="G22" i="33"/>
  <c r="I23" i="33"/>
  <c r="G23" i="33"/>
  <c r="K24" i="33"/>
  <c r="K25" i="33"/>
  <c r="G27" i="33"/>
  <c r="G28" i="33"/>
  <c r="G29" i="33"/>
  <c r="K31" i="33"/>
  <c r="E34" i="33"/>
  <c r="G35" i="33"/>
  <c r="E41" i="33"/>
  <c r="G42" i="33"/>
  <c r="K43" i="33"/>
  <c r="K47" i="33"/>
  <c r="G49" i="33"/>
  <c r="E50" i="33"/>
  <c r="K52" i="33"/>
  <c r="G55" i="33"/>
  <c r="K58" i="33"/>
  <c r="G61" i="33"/>
  <c r="K62" i="33"/>
  <c r="E67" i="33"/>
  <c r="K69" i="33"/>
  <c r="E74" i="33"/>
  <c r="G56" i="33"/>
  <c r="E73" i="33"/>
  <c r="H74" i="33"/>
  <c r="K19" i="33"/>
  <c r="K20" i="33"/>
  <c r="K21" i="33"/>
  <c r="K22" i="33"/>
  <c r="K23" i="33"/>
  <c r="K26" i="33"/>
  <c r="K28" i="33"/>
  <c r="K30" i="33"/>
  <c r="K35" i="33"/>
  <c r="E40" i="33"/>
  <c r="G41" i="33"/>
  <c r="K42" i="33"/>
  <c r="G45" i="33"/>
  <c r="K46" i="33"/>
  <c r="E48" i="33"/>
  <c r="G50" i="33"/>
  <c r="K51" i="33"/>
  <c r="G54" i="33"/>
  <c r="K57" i="33"/>
  <c r="E59" i="33"/>
  <c r="G60" i="33"/>
  <c r="K61" i="33"/>
  <c r="E63" i="33"/>
  <c r="G73" i="33"/>
  <c r="L42" i="33"/>
  <c r="I41" i="33"/>
  <c r="K56" i="33"/>
  <c r="I46" i="33"/>
  <c r="G68" i="33"/>
  <c r="L25" i="33"/>
  <c r="M29" i="33"/>
  <c r="I33" i="33"/>
  <c r="I34" i="33"/>
  <c r="M44" i="33"/>
  <c r="L53" i="33"/>
  <c r="L59" i="33"/>
  <c r="H67" i="33"/>
  <c r="L68" i="33"/>
  <c r="M72" i="33"/>
  <c r="L74" i="33"/>
  <c r="H42" i="33"/>
  <c r="G46" i="33"/>
  <c r="H73" i="33"/>
  <c r="I39" i="33"/>
  <c r="I43" i="33"/>
  <c r="I58" i="33"/>
  <c r="I56" i="33"/>
  <c r="K29" i="33"/>
  <c r="I21" i="33"/>
  <c r="L61" i="33"/>
  <c r="I73" i="33"/>
  <c r="H28" i="33"/>
  <c r="G51" i="33"/>
  <c r="H50" i="33"/>
  <c r="J55" i="33"/>
  <c r="K55" i="33" s="1"/>
  <c r="L44" i="33"/>
  <c r="I45" i="33"/>
  <c r="I60" i="33"/>
  <c r="H33" i="33"/>
  <c r="M31" i="33"/>
  <c r="E33" i="33"/>
  <c r="G74" i="33"/>
  <c r="K68" i="33"/>
  <c r="F17" i="33"/>
  <c r="G17" i="33" s="1"/>
  <c r="H45" i="33"/>
  <c r="E44" i="33"/>
  <c r="I42" i="33"/>
  <c r="H21" i="33"/>
  <c r="M68" i="33"/>
  <c r="G57" i="33"/>
  <c r="L51" i="33"/>
  <c r="M25" i="33"/>
  <c r="H53" i="33"/>
  <c r="I67" i="33"/>
  <c r="G67" i="33"/>
  <c r="G33" i="33"/>
  <c r="J17" i="33"/>
  <c r="J16" i="33" s="1"/>
  <c r="I31" i="33"/>
  <c r="E49" i="33"/>
  <c r="H29" i="33"/>
  <c r="E72" i="33"/>
  <c r="L48" i="33"/>
  <c r="I30" i="33"/>
  <c r="L21" i="33"/>
  <c r="H63" i="33"/>
  <c r="M43" i="33"/>
  <c r="F66" i="33"/>
  <c r="G66" i="33" s="1"/>
  <c r="I29" i="33"/>
  <c r="M35" i="33"/>
  <c r="L72" i="33"/>
  <c r="E53" i="33"/>
  <c r="G30" i="33"/>
  <c r="G34" i="33"/>
  <c r="M24" i="33"/>
  <c r="M28" i="33"/>
  <c r="M30" i="33"/>
  <c r="F38" i="33"/>
  <c r="G38" i="33" s="1"/>
  <c r="L40" i="33"/>
  <c r="M42" i="33"/>
  <c r="M46" i="33"/>
  <c r="M57" i="33"/>
  <c r="M59" i="33"/>
  <c r="M63" i="33"/>
  <c r="K74" i="33"/>
  <c r="M61" i="33"/>
  <c r="M48" i="33"/>
  <c r="K27" i="33"/>
  <c r="M74" i="33"/>
  <c r="E31" i="33"/>
  <c r="H49" i="33"/>
  <c r="M40" i="33"/>
  <c r="I35" i="33"/>
  <c r="H57" i="33"/>
  <c r="H34" i="33"/>
  <c r="H25" i="33"/>
  <c r="M18" i="33"/>
  <c r="D66" i="33"/>
  <c r="I74" i="33"/>
  <c r="E25" i="33"/>
  <c r="I19" i="33"/>
  <c r="L20" i="33"/>
  <c r="L22" i="33"/>
  <c r="M23" i="33"/>
  <c r="H24" i="33"/>
  <c r="I25" i="33"/>
  <c r="H27" i="33"/>
  <c r="H40" i="33"/>
  <c r="M41" i="33"/>
  <c r="H44" i="33"/>
  <c r="M52" i="33"/>
  <c r="I53" i="33"/>
  <c r="I59" i="33"/>
  <c r="L62" i="33"/>
  <c r="M69" i="33"/>
  <c r="I72" i="33"/>
  <c r="M73" i="33"/>
  <c r="F36" i="33"/>
  <c r="E66" i="33"/>
  <c r="G48" i="33"/>
  <c r="I48" i="33"/>
  <c r="M33" i="33"/>
  <c r="L31" i="33"/>
  <c r="M32" i="33"/>
  <c r="M16" i="32"/>
  <c r="D26" i="33"/>
  <c r="D17" i="33"/>
  <c r="H52" i="33"/>
  <c r="M50" i="33"/>
  <c r="E39" i="33"/>
  <c r="M34" i="33"/>
  <c r="G25" i="33"/>
  <c r="M21" i="33"/>
  <c r="I40" i="33"/>
  <c r="M58" i="33"/>
  <c r="M62" i="33"/>
  <c r="L19" i="33"/>
  <c r="E23" i="33"/>
  <c r="M22" i="33"/>
  <c r="M45" i="33"/>
  <c r="J66" i="33"/>
  <c r="H62" i="33"/>
  <c r="G40" i="33"/>
  <c r="E22" i="33"/>
  <c r="E62" i="33"/>
  <c r="L43" i="33"/>
  <c r="F26" i="33"/>
  <c r="L29" i="33"/>
  <c r="E29" i="33"/>
  <c r="H35" i="33"/>
  <c r="M51" i="33"/>
  <c r="E51" i="33"/>
  <c r="I51" i="33"/>
  <c r="M53" i="33"/>
  <c r="K53" i="33"/>
  <c r="H61" i="33"/>
  <c r="D77" i="33"/>
  <c r="H68" i="33"/>
  <c r="E68" i="33"/>
  <c r="I69" i="33"/>
  <c r="L69" i="33"/>
  <c r="M49" i="33"/>
  <c r="I49" i="33"/>
  <c r="L18" i="33"/>
  <c r="H19" i="33"/>
  <c r="H59" i="33"/>
  <c r="L52" i="33"/>
  <c r="H43" i="33"/>
  <c r="M39" i="33"/>
  <c r="I22" i="33"/>
  <c r="D38" i="33"/>
  <c r="I24" i="33"/>
  <c r="L67" i="33"/>
  <c r="D55" i="33"/>
  <c r="M19" i="33"/>
  <c r="H69" i="33"/>
  <c r="E19" i="33"/>
  <c r="G59" i="33"/>
  <c r="L34" i="33"/>
  <c r="J38" i="33"/>
  <c r="K39" i="33"/>
  <c r="L41" i="33"/>
  <c r="E45" i="33"/>
  <c r="L45" i="33"/>
  <c r="E54" i="33"/>
  <c r="I54" i="33"/>
  <c r="H54" i="33"/>
  <c r="E60" i="33"/>
  <c r="M60" i="33"/>
  <c r="H60" i="33"/>
  <c r="M67" i="33"/>
  <c r="L32" i="33"/>
  <c r="M20" i="33"/>
  <c r="H20" i="33"/>
  <c r="E20" i="33"/>
  <c r="I27" i="33"/>
  <c r="L27" i="33"/>
  <c r="M27" i="33"/>
  <c r="M47" i="33"/>
  <c r="E47" i="33"/>
  <c r="L47" i="33"/>
  <c r="I47" i="33"/>
  <c r="H58" i="33"/>
  <c r="E58" i="33"/>
  <c r="E32" i="33"/>
  <c r="D63" i="32"/>
  <c r="L50" i="33"/>
  <c r="H32" i="33"/>
  <c r="I20" i="33"/>
  <c r="L23" i="33"/>
  <c r="L30" i="33"/>
  <c r="L28" i="33"/>
  <c r="H72" i="33"/>
  <c r="G53" i="33"/>
  <c r="E52" i="33"/>
  <c r="I50" i="33"/>
  <c r="H47" i="33"/>
  <c r="I44" i="33"/>
  <c r="H56" i="33"/>
  <c r="E27" i="33"/>
  <c r="H22" i="33"/>
  <c r="H18" i="33"/>
  <c r="H48" i="33"/>
  <c r="H41" i="33"/>
  <c r="E43" i="33"/>
  <c r="L73" i="33"/>
  <c r="H39" i="33"/>
  <c r="M56" i="33"/>
  <c r="I28" i="33"/>
  <c r="E69" i="33"/>
  <c r="H23" i="33"/>
  <c r="L24" i="33"/>
  <c r="L54" i="33"/>
  <c r="L60" i="33"/>
  <c r="M54" i="33"/>
  <c r="L35" i="33"/>
  <c r="E16" i="32"/>
  <c r="L46" i="33"/>
  <c r="G72" i="33"/>
  <c r="L58" i="33"/>
  <c r="L57" i="33"/>
  <c r="F64" i="32" l="1"/>
  <c r="G64" i="32" s="1"/>
  <c r="F69" i="32"/>
  <c r="G63" i="32"/>
  <c r="M36" i="10"/>
  <c r="I36" i="10"/>
  <c r="E36" i="10"/>
  <c r="L36" i="10"/>
  <c r="H36" i="10"/>
  <c r="I68" i="36"/>
  <c r="E74" i="36"/>
  <c r="F68" i="36"/>
  <c r="E69" i="36"/>
  <c r="F69" i="36" s="1"/>
  <c r="H69" i="36"/>
  <c r="E23" i="30"/>
  <c r="G23" i="30" s="1"/>
  <c r="G17" i="30"/>
  <c r="D74" i="36"/>
  <c r="C79" i="36"/>
  <c r="J68" i="36"/>
  <c r="H61" i="10"/>
  <c r="M61" i="10" s="1"/>
  <c r="D62" i="10"/>
  <c r="D67" i="10"/>
  <c r="L61" i="10"/>
  <c r="I61" i="10"/>
  <c r="E61" i="10"/>
  <c r="F67" i="10"/>
  <c r="F62" i="10"/>
  <c r="G62" i="10" s="1"/>
  <c r="G61" i="10"/>
  <c r="I42" i="36"/>
  <c r="H42" i="36"/>
  <c r="J42" i="36"/>
  <c r="K67" i="10"/>
  <c r="J72" i="10"/>
  <c r="I66" i="33"/>
  <c r="H66" i="33"/>
  <c r="K17" i="33"/>
  <c r="K66" i="33"/>
  <c r="M66" i="33"/>
  <c r="K16" i="33"/>
  <c r="R19" i="33"/>
  <c r="J36" i="33"/>
  <c r="J64" i="33" s="1"/>
  <c r="K38" i="33"/>
  <c r="L66" i="33"/>
  <c r="G26" i="33"/>
  <c r="F16" i="33"/>
  <c r="L17" i="33"/>
  <c r="I17" i="33"/>
  <c r="E17" i="33"/>
  <c r="M17" i="33"/>
  <c r="D16" i="33"/>
  <c r="H17" i="33"/>
  <c r="M63" i="32"/>
  <c r="H63" i="32"/>
  <c r="D69" i="32"/>
  <c r="E63" i="32"/>
  <c r="D64" i="32"/>
  <c r="I63" i="32"/>
  <c r="L63" i="32"/>
  <c r="H55" i="33"/>
  <c r="I55" i="33"/>
  <c r="M55" i="33"/>
  <c r="L55" i="33"/>
  <c r="E55" i="33"/>
  <c r="D36" i="33"/>
  <c r="I38" i="33"/>
  <c r="H38" i="33"/>
  <c r="M38" i="33"/>
  <c r="E38" i="33"/>
  <c r="L38" i="33"/>
  <c r="M26" i="33"/>
  <c r="E26" i="33"/>
  <c r="H26" i="33"/>
  <c r="L26" i="33"/>
  <c r="I26" i="33"/>
  <c r="G36" i="33"/>
  <c r="F37" i="33"/>
  <c r="G37" i="33" s="1"/>
  <c r="S18" i="33"/>
  <c r="F72" i="10" l="1"/>
  <c r="G67" i="10"/>
  <c r="E67" i="10"/>
  <c r="L67" i="10"/>
  <c r="I67" i="10"/>
  <c r="D72" i="10"/>
  <c r="H67" i="10"/>
  <c r="M67" i="10" s="1"/>
  <c r="D79" i="36"/>
  <c r="C75" i="36"/>
  <c r="D75" i="36" s="1"/>
  <c r="I69" i="36"/>
  <c r="K72" i="10"/>
  <c r="J68" i="10"/>
  <c r="K68" i="10" s="1"/>
  <c r="I62" i="10"/>
  <c r="E62" i="10"/>
  <c r="L62" i="10"/>
  <c r="H62" i="10"/>
  <c r="M62" i="10" s="1"/>
  <c r="I74" i="36"/>
  <c r="F74" i="36"/>
  <c r="E79" i="36"/>
  <c r="J74" i="36"/>
  <c r="F74" i="32"/>
  <c r="G69" i="32"/>
  <c r="J69" i="36"/>
  <c r="T19" i="33"/>
  <c r="J70" i="33"/>
  <c r="K64" i="33"/>
  <c r="J65" i="33"/>
  <c r="K65" i="33" s="1"/>
  <c r="L69" i="32"/>
  <c r="M69" i="32"/>
  <c r="H69" i="32"/>
  <c r="I69" i="32"/>
  <c r="E69" i="32"/>
  <c r="D74" i="32"/>
  <c r="D64" i="33"/>
  <c r="L16" i="33"/>
  <c r="H16" i="33"/>
  <c r="M16" i="33"/>
  <c r="R17" i="33"/>
  <c r="E16" i="33"/>
  <c r="I16" i="33"/>
  <c r="R18" i="33"/>
  <c r="G16" i="33"/>
  <c r="F64" i="33"/>
  <c r="J37" i="33"/>
  <c r="K37" i="33" s="1"/>
  <c r="K36" i="33"/>
  <c r="S19" i="33"/>
  <c r="S17" i="33"/>
  <c r="E36" i="33"/>
  <c r="M36" i="33"/>
  <c r="L36" i="33"/>
  <c r="H36" i="33"/>
  <c r="I36" i="33"/>
  <c r="D37" i="33"/>
  <c r="H64" i="32"/>
  <c r="M64" i="32"/>
  <c r="E64" i="32"/>
  <c r="I64" i="32"/>
  <c r="L64" i="32"/>
  <c r="J79" i="36" l="1"/>
  <c r="F79" i="36"/>
  <c r="I79" i="36"/>
  <c r="E75" i="36"/>
  <c r="I72" i="10"/>
  <c r="H72" i="10"/>
  <c r="M72" i="10" s="1"/>
  <c r="D68" i="10"/>
  <c r="L72" i="10"/>
  <c r="E72" i="10"/>
  <c r="F70" i="32"/>
  <c r="G70" i="32" s="1"/>
  <c r="G74" i="32"/>
  <c r="F68" i="10"/>
  <c r="G68" i="10" s="1"/>
  <c r="G72" i="10"/>
  <c r="T17" i="33"/>
  <c r="I64" i="33"/>
  <c r="D70" i="33"/>
  <c r="H64" i="33"/>
  <c r="D65" i="33"/>
  <c r="M64" i="33"/>
  <c r="E64" i="33"/>
  <c r="L64" i="33"/>
  <c r="T18" i="33"/>
  <c r="F70" i="33"/>
  <c r="G64" i="33"/>
  <c r="F65" i="33"/>
  <c r="G65" i="33" s="1"/>
  <c r="I74" i="32"/>
  <c r="D70" i="32"/>
  <c r="L74" i="32"/>
  <c r="H74" i="32"/>
  <c r="M74" i="32"/>
  <c r="E74" i="32"/>
  <c r="K70" i="33"/>
  <c r="J75" i="33"/>
  <c r="M37" i="33"/>
  <c r="L37" i="33"/>
  <c r="E37" i="33"/>
  <c r="I37" i="33"/>
  <c r="H37" i="33"/>
  <c r="H68" i="10" l="1"/>
  <c r="M68" i="10" s="1"/>
  <c r="L68" i="10"/>
  <c r="I68" i="10"/>
  <c r="E68" i="10"/>
  <c r="F75" i="36"/>
  <c r="I75" i="36"/>
  <c r="J75" i="36"/>
  <c r="E70" i="33"/>
  <c r="L70" i="33"/>
  <c r="D75" i="33"/>
  <c r="I70" i="33"/>
  <c r="H70" i="33"/>
  <c r="M70" i="33"/>
  <c r="K75" i="33"/>
  <c r="J71" i="33"/>
  <c r="K71" i="33" s="1"/>
  <c r="L70" i="32"/>
  <c r="H70" i="32"/>
  <c r="E70" i="32"/>
  <c r="M70" i="32"/>
  <c r="I70" i="32"/>
  <c r="G70" i="33"/>
  <c r="F75" i="33"/>
  <c r="H65" i="33"/>
  <c r="I65" i="33"/>
  <c r="M65" i="33"/>
  <c r="L65" i="33"/>
  <c r="E65" i="33"/>
  <c r="G75" i="33" l="1"/>
  <c r="F71" i="33"/>
  <c r="G71" i="33" s="1"/>
  <c r="D71" i="33"/>
  <c r="E75" i="33"/>
  <c r="I75" i="33"/>
  <c r="M75" i="33"/>
  <c r="L75" i="33"/>
  <c r="H75" i="33"/>
  <c r="L71" i="33" l="1"/>
  <c r="I71" i="33"/>
  <c r="M71" i="33"/>
  <c r="H71" i="33"/>
  <c r="E71" i="33"/>
</calcChain>
</file>

<file path=xl/sharedStrings.xml><?xml version="1.0" encoding="utf-8"?>
<sst xmlns="http://schemas.openxmlformats.org/spreadsheetml/2006/main" count="1260" uniqueCount="473">
  <si>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</si>
  <si>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</si>
  <si>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</si>
  <si>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</si>
  <si>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</si>
  <si>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</si>
  <si>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</si>
  <si>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</si>
  <si>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</si>
  <si>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</si>
  <si>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</si>
  <si>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</si>
  <si>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</si>
  <si>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</si>
  <si>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</si>
  <si>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</si>
  <si>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</si>
  <si>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</si>
  <si>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</si>
  <si>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</si>
  <si>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</si>
  <si>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</si>
  <si>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</si>
  <si>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</si>
  <si>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</si>
  <si>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</si>
  <si>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</si>
  <si>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</si>
  <si>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</si>
  <si>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</si>
  <si>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</si>
  <si>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</si>
  <si>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</si>
  <si>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</si>
  <si>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</si>
  <si>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</si>
  <si>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</si>
  <si>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</si>
  <si>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</si>
  <si>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</si>
  <si>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</si>
  <si>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</si>
  <si>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</si>
  <si>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</si>
  <si>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</si>
  <si>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</si>
  <si>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</si>
  <si>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</si>
  <si>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</si>
  <si>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</si>
  <si>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</si>
  <si>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</si>
  <si>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</si>
  <si>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</si>
  <si>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</si>
  <si>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</si>
  <si>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</si>
  <si>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</si>
  <si>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</si>
  <si>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</si>
  <si>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</si>
  <si>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</si>
  <si>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</si>
  <si>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</si>
  <si>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</si>
  <si>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</si>
  <si>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</si>
  <si>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</si>
  <si>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</si>
  <si>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</si>
  <si>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</si>
  <si>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</si>
  <si>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</si>
  <si>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</si>
  <si>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</si>
  <si>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</si>
  <si>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</si>
  <si>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</si>
  <si>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</si>
  <si>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</si>
  <si>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</si>
  <si>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</si>
  <si>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</si>
  <si>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</si>
  <si>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</si>
  <si>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</si>
  <si>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</si>
  <si>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</si>
  <si>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</si>
  <si>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</si>
  <si>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</si>
  <si>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</si>
  <si>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</si>
  <si>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</si>
  <si>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</si>
  <si>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</si>
  <si>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</si>
  <si>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</si>
  <si>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</si>
  <si>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</si>
  <si>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</si>
  <si>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</si>
  <si>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</si>
  <si>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</si>
  <si>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</si>
  <si>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</si>
  <si>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</si>
  <si>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</si>
  <si>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</si>
  <si>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</si>
  <si>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</si>
  <si>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</si>
  <si>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</si>
  <si>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</si>
  <si>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</si>
  <si>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</si>
  <si>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</si>
  <si>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</si>
  <si>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</si>
  <si>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</si>
  <si>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</si>
  <si>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</si>
  <si>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</si>
  <si>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</si>
  <si>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</si>
  <si>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</si>
  <si>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</si>
  <si>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</si>
  <si>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</si>
  <si>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</si>
  <si>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</si>
  <si>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</si>
  <si>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</si>
  <si>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</si>
  <si>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</si>
  <si>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</si>
  <si>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</si>
  <si>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</si>
  <si>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</si>
  <si>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</si>
  <si>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</si>
  <si>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</si>
  <si>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</si>
  <si>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</si>
  <si>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</si>
  <si>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</si>
  <si>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</si>
  <si>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</si>
  <si>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</si>
  <si>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</si>
  <si>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</si>
  <si>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</si>
  <si>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</si>
  <si>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</si>
  <si>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</si>
  <si>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</si>
  <si>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</si>
  <si>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</si>
  <si>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</si>
  <si>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</si>
  <si>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</si>
  <si>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</si>
  <si>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</si>
  <si>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</si>
  <si>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</si>
  <si>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</si>
  <si>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</si>
  <si>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</si>
  <si>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</si>
  <si>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</si>
  <si>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</si>
  <si>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</si>
  <si>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</si>
  <si>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</si>
  <si>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</si>
  <si>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</si>
  <si>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</si>
  <si>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</si>
  <si>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</si>
  <si>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</si>
  <si>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</si>
  <si>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</si>
  <si>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</si>
  <si>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</si>
  <si>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</si>
  <si>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</si>
  <si>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</si>
  <si>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</si>
  <si>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</si>
  <si>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</si>
  <si>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</si>
  <si>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</si>
  <si>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</si>
  <si>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</si>
  <si>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</si>
  <si>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</si>
  <si>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</si>
  <si>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</si>
  <si>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</si>
  <si>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</si>
  <si>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</si>
  <si>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</si>
  <si>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</si>
  <si>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</si>
  <si>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</si>
  <si>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</si>
  <si>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</si>
  <si>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</si>
  <si>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</si>
  <si>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</si>
  <si>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</si>
  <si>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</si>
  <si>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</si>
  <si>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</si>
  <si>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</si>
  <si>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</si>
  <si>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</si>
  <si>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</si>
  <si>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</si>
  <si>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</si>
  <si>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</si>
  <si>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</si>
  <si>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</si>
  <si>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</si>
  <si>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</si>
  <si>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</si>
  <si>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</si>
  <si>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</si>
  <si>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</si>
  <si>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</si>
  <si>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</si>
  <si>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</si>
  <si>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</si>
  <si>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</si>
  <si>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</si>
  <si>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</si>
  <si>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</si>
  <si>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</si>
  <si>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</si>
  <si>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</si>
  <si>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</si>
  <si>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</si>
  <si>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</si>
  <si>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</si>
  <si>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</si>
  <si>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</si>
  <si>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</si>
  <si>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</si>
  <si>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</si>
  <si>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</si>
  <si>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</si>
  <si>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</si>
  <si>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</si>
  <si>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</si>
  <si>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</si>
  <si>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</si>
  <si>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</si>
  <si>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</si>
  <si>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</si>
  <si>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</si>
  <si>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</si>
  <si>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</si>
  <si>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</si>
  <si>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</si>
  <si>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</si>
  <si>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</si>
  <si>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</si>
  <si>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</si>
  <si>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</si>
  <si>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</si>
  <si>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</si>
  <si>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</si>
  <si>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</si>
  <si>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</si>
  <si>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</si>
  <si>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</si>
  <si>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</si>
  <si>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</si>
  <si>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</si>
  <si>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</si>
  <si>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</si>
  <si>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</si>
  <si>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</si>
  <si>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</si>
  <si>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</si>
  <si>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</si>
  <si>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</si>
  <si>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</si>
  <si>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</si>
  <si>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</si>
  <si>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</si>
  <si>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</si>
  <si>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</si>
  <si>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</si>
  <si>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</si>
  <si>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</si>
  <si>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</si>
  <si>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</si>
  <si>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</si>
  <si>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</si>
  <si>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</si>
  <si>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</si>
  <si>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</si>
  <si>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</si>
  <si>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</si>
  <si>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</si>
  <si>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</si>
  <si>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</si>
  <si>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</si>
  <si>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</si>
  <si>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</si>
  <si>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</si>
  <si>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</si>
  <si>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</si>
  <si>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</si>
  <si>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</si>
  <si>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</si>
  <si>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</si>
  <si>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</si>
  <si>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</si>
  <si>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</si>
  <si>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</si>
  <si>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</si>
  <si>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</si>
  <si>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</si>
  <si>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</si>
  <si>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</si>
  <si>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</si>
  <si>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</si>
  <si>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</si>
  <si>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</si>
  <si>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</si>
  <si>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</si>
  <si>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</si>
  <si>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</si>
  <si>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</si>
  <si>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</si>
  <si>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</si>
  <si>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</si>
  <si>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</si>
  <si>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</si>
  <si>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</si>
  <si>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</si>
  <si>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</si>
  <si>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</si>
  <si>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</si>
  <si>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</si>
  <si>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</si>
  <si>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</si>
  <si>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</si>
  <si>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</si>
  <si>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</si>
  <si>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</si>
  <si>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</si>
  <si>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</si>
  <si>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</si>
  <si>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</si>
  <si>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</si>
  <si>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</si>
  <si>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</si>
  <si>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</si>
  <si>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</si>
  <si>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</si>
  <si>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</si>
  <si>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</si>
  <si>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</si>
  <si>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</si>
  <si>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</si>
  <si>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</si>
  <si>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</si>
  <si>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</si>
  <si>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</si>
  <si>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</si>
  <si>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</si>
  <si>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</si>
  <si>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</si>
  <si>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</si>
  <si>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</si>
  <si>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</si>
  <si>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</si>
  <si>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</si>
  <si>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</si>
  <si>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</si>
  <si>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</si>
  <si>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</si>
  <si>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</si>
  <si>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</si>
  <si>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</si>
  <si>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</si>
  <si>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</si>
  <si>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</si>
  <si>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</si>
  <si>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</si>
  <si>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</si>
  <si>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</si>
  <si>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</si>
  <si>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</si>
  <si>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</si>
  <si>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</si>
  <si>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</si>
  <si>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</si>
  <si>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</si>
  <si>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</si>
  <si>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</si>
  <si>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</si>
  <si>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</si>
  <si>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</si>
  <si>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</si>
  <si>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</si>
  <si>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</si>
  <si>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</si>
  <si>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</si>
  <si>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</si>
  <si>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</si>
  <si>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</si>
  <si>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</si>
  <si>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</si>
  <si>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</si>
  <si>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</si>
  <si>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</si>
  <si>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</si>
  <si>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</si>
  <si>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</si>
  <si>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</si>
  <si>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</si>
  <si>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</si>
  <si>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</si>
  <si>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</si>
  <si>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</si>
  <si>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</si>
  <si>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</si>
  <si>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</si>
  <si>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</si>
  <si>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</si>
  <si>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</si>
  <si>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</si>
  <si>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</si>
  <si>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</si>
  <si>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</si>
  <si>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</si>
  <si>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</si>
  <si>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</si>
  <si>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</si>
  <si>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</si>
  <si>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</si>
  <si>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</si>
  <si>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2014 - ostvarenje</t>
  </si>
  <si>
    <t>2014 - plan</t>
  </si>
  <si>
    <t>Naknada za komunalno opremanje građevinskog zemljišta</t>
  </si>
  <si>
    <t>Prihodi</t>
  </si>
  <si>
    <t>Rashodi</t>
  </si>
  <si>
    <t>Suficit / deficit</t>
  </si>
  <si>
    <t>PDV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</si>
  <si>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</si>
  <si>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</si>
  <si>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</si>
  <si>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</si>
  <si>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</si>
  <si>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</si>
  <si>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</si>
  <si>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</si>
  <si>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</si>
  <si>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</si>
  <si>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</si>
  <si>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</si>
  <si>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</si>
  <si>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konačni rezultat</t>
  </si>
  <si>
    <t>Budžetski izdaci</t>
  </si>
  <si>
    <t>preliminarni</t>
  </si>
  <si>
    <t>2015 - ostvarenje</t>
  </si>
  <si>
    <t>Plan 2015</t>
  </si>
  <si>
    <t>2014 - Ostvarenje</t>
  </si>
  <si>
    <t>2015 -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</si>
</sst>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0.00,,"/>
    <numFmt numFmtId="165" formatCode="0.0,,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  <numFmt numFmtId="174" formatCode="#,##0.0,,"/>
    <numFmt numFmtId="175" formatCode="0.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indexed="1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3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</cellStyleXfs>
  <cellXfs count="353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4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4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4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5" fontId="27" fillId="2" borderId="0" xfId="0" applyNumberFormat="1" applyFont="1" applyFill="1" applyBorder="1" applyAlignment="1" applyProtection="1">
      <protection hidden="1"/>
    </xf>
    <xf numFmtId="165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4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4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4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5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5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5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5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44" fontId="27" fillId="2" borderId="0" xfId="22" applyNumberFormat="1" applyFont="1" applyFill="1" applyBorder="1" applyAlignment="1">
      <alignment vertical="center"/>
    </xf>
    <xf numFmtId="0" fontId="27" fillId="2" borderId="0" xfId="22" applyFont="1" applyFill="1" applyBorder="1" applyAlignment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4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4" fontId="29" fillId="2" borderId="30" xfId="36" applyNumberFormat="1" applyFont="1" applyFill="1" applyBorder="1" applyAlignment="1">
      <alignment vertical="center"/>
    </xf>
    <xf numFmtId="164" fontId="27" fillId="0" borderId="30" xfId="36" applyNumberFormat="1" applyFont="1" applyFill="1" applyBorder="1" applyAlignment="1">
      <alignment vertical="center"/>
    </xf>
    <xf numFmtId="164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4" fontId="29" fillId="5" borderId="5" xfId="36" applyNumberFormat="1" applyFont="1" applyFill="1" applyBorder="1" applyAlignment="1">
      <alignment vertical="center"/>
    </xf>
    <xf numFmtId="164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4" fontId="29" fillId="5" borderId="11" xfId="36" applyNumberFormat="1" applyFont="1" applyFill="1" applyBorder="1" applyAlignment="1">
      <alignment vertical="center"/>
    </xf>
    <xf numFmtId="164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4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4" fontId="29" fillId="6" borderId="11" xfId="36" applyNumberFormat="1" applyFont="1" applyFill="1" applyBorder="1" applyAlignment="1">
      <alignment vertical="center"/>
    </xf>
    <xf numFmtId="164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4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4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4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4" fontId="27" fillId="2" borderId="21" xfId="39" applyNumberFormat="1" applyFont="1" applyFill="1" applyBorder="1"/>
    <xf numFmtId="0" fontId="27" fillId="2" borderId="21" xfId="39" applyFont="1" applyFill="1" applyBorder="1"/>
    <xf numFmtId="164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164" fontId="27" fillId="2" borderId="0" xfId="39" applyNumberFormat="1" applyFont="1" applyFill="1" applyBorder="1"/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5" fontId="30" fillId="2" borderId="0" xfId="0" applyNumberFormat="1" applyFont="1" applyFill="1" applyBorder="1" applyAlignment="1" applyProtection="1">
      <alignment vertical="center"/>
      <protection hidden="1"/>
    </xf>
    <xf numFmtId="165" fontId="27" fillId="2" borderId="0" xfId="0" applyNumberFormat="1" applyFont="1" applyFill="1" applyBorder="1" applyAlignment="1" applyProtection="1">
      <alignment vertical="center"/>
      <protection hidden="1"/>
    </xf>
    <xf numFmtId="164" fontId="29" fillId="14" borderId="30" xfId="22" applyNumberFormat="1" applyFont="1" applyFill="1" applyBorder="1" applyAlignment="1">
      <alignment vertical="center"/>
    </xf>
    <xf numFmtId="164" fontId="29" fillId="14" borderId="5" xfId="22" applyNumberFormat="1" applyFont="1" applyFill="1" applyBorder="1" applyAlignment="1">
      <alignment vertical="center"/>
    </xf>
    <xf numFmtId="164" fontId="29" fillId="14" borderId="30" xfId="36" applyNumberFormat="1" applyFont="1" applyFill="1" applyBorder="1" applyAlignment="1">
      <alignment vertical="center"/>
    </xf>
    <xf numFmtId="164" fontId="27" fillId="14" borderId="30" xfId="36" applyNumberFormat="1" applyFont="1" applyFill="1" applyBorder="1" applyAlignment="1">
      <alignment vertical="center"/>
    </xf>
    <xf numFmtId="164" fontId="29" fillId="14" borderId="5" xfId="36" applyNumberFormat="1" applyFont="1" applyFill="1" applyBorder="1" applyAlignment="1">
      <alignment vertical="center"/>
    </xf>
    <xf numFmtId="164" fontId="27" fillId="2" borderId="0" xfId="22" applyNumberFormat="1" applyFont="1" applyFill="1" applyBorder="1"/>
    <xf numFmtId="164" fontId="27" fillId="2" borderId="0" xfId="22" applyNumberFormat="1" applyFont="1" applyFill="1" applyBorder="1" applyAlignment="1"/>
    <xf numFmtId="164" fontId="27" fillId="2" borderId="0" xfId="22" applyNumberFormat="1" applyFont="1" applyFill="1" applyBorder="1" applyAlignment="1">
      <alignment wrapText="1"/>
    </xf>
    <xf numFmtId="2" fontId="27" fillId="2" borderId="0" xfId="22" applyNumberFormat="1" applyFont="1" applyFill="1" applyBorder="1"/>
    <xf numFmtId="175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4" fontId="27" fillId="2" borderId="5" xfId="36" applyNumberFormat="1" applyFont="1" applyFill="1" applyBorder="1" applyAlignment="1">
      <alignment vertical="center"/>
    </xf>
    <xf numFmtId="164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0" fontId="39" fillId="2" borderId="22" xfId="36" applyFont="1" applyFill="1" applyBorder="1" applyAlignment="1"/>
    <xf numFmtId="164" fontId="27" fillId="2" borderId="21" xfId="36" applyNumberFormat="1" applyFont="1" applyFill="1" applyBorder="1" applyAlignment="1">
      <alignment horizontal="center" wrapText="1"/>
    </xf>
    <xf numFmtId="0" fontId="16" fillId="2" borderId="0" xfId="22" applyFont="1" applyFill="1"/>
    <xf numFmtId="2" fontId="16" fillId="2" borderId="16" xfId="22" applyNumberFormat="1" applyFont="1" applyFill="1" applyBorder="1" applyAlignment="1">
      <alignment vertical="center"/>
    </xf>
    <xf numFmtId="0" fontId="16" fillId="2" borderId="0" xfId="22" applyFont="1" applyFill="1" applyBorder="1"/>
    <xf numFmtId="0" fontId="42" fillId="2" borderId="0" xfId="22" applyFont="1" applyFill="1" applyBorder="1"/>
    <xf numFmtId="2" fontId="16" fillId="2" borderId="0" xfId="22" applyNumberFormat="1" applyFont="1" applyFill="1" applyBorder="1" applyAlignment="1">
      <alignment horizontal="right"/>
    </xf>
    <xf numFmtId="0" fontId="16" fillId="2" borderId="0" xfId="22" applyFont="1" applyFill="1" applyAlignment="1">
      <alignment wrapText="1"/>
    </xf>
    <xf numFmtId="164" fontId="29" fillId="2" borderId="16" xfId="22" applyNumberFormat="1" applyFont="1" applyFill="1" applyBorder="1" applyAlignment="1">
      <alignment vertical="center"/>
    </xf>
    <xf numFmtId="166" fontId="29" fillId="5" borderId="36" xfId="22" applyNumberFormat="1" applyFont="1" applyFill="1" applyBorder="1" applyAlignment="1">
      <alignment vertical="center"/>
    </xf>
    <xf numFmtId="166" fontId="29" fillId="2" borderId="12" xfId="22" applyNumberFormat="1" applyFont="1" applyFill="1" applyBorder="1" applyAlignment="1">
      <alignment vertical="center"/>
    </xf>
    <xf numFmtId="166" fontId="27" fillId="2" borderId="12" xfId="22" applyNumberFormat="1" applyFont="1" applyFill="1" applyBorder="1" applyAlignment="1">
      <alignment vertical="center"/>
    </xf>
    <xf numFmtId="166" fontId="29" fillId="5" borderId="13" xfId="22" applyNumberFormat="1" applyFont="1" applyFill="1" applyBorder="1" applyAlignment="1">
      <alignment vertical="center"/>
    </xf>
    <xf numFmtId="166" fontId="29" fillId="2" borderId="12" xfId="36" applyNumberFormat="1" applyFont="1" applyFill="1" applyBorder="1" applyAlignment="1">
      <alignment vertical="center"/>
    </xf>
    <xf numFmtId="166" fontId="29" fillId="2" borderId="13" xfId="22" applyNumberFormat="1" applyFont="1" applyFill="1" applyBorder="1" applyAlignment="1">
      <alignment vertical="center"/>
    </xf>
    <xf numFmtId="166" fontId="27" fillId="2" borderId="13" xfId="22" applyNumberFormat="1" applyFont="1" applyFill="1" applyBorder="1" applyAlignment="1">
      <alignment vertical="center"/>
    </xf>
    <xf numFmtId="166" fontId="27" fillId="0" borderId="12" xfId="22" applyNumberFormat="1" applyFont="1" applyFill="1" applyBorder="1" applyAlignment="1">
      <alignment vertical="center"/>
    </xf>
    <xf numFmtId="166" fontId="29" fillId="5" borderId="24" xfId="36" applyNumberFormat="1" applyFont="1" applyFill="1" applyBorder="1" applyAlignment="1">
      <alignment vertical="center"/>
    </xf>
    <xf numFmtId="166" fontId="29" fillId="2" borderId="14" xfId="36" applyNumberFormat="1" applyFont="1" applyFill="1" applyBorder="1" applyAlignment="1">
      <alignment vertical="center"/>
    </xf>
    <xf numFmtId="166" fontId="27" fillId="2" borderId="14" xfId="36" applyNumberFormat="1" applyFont="1" applyFill="1" applyBorder="1" applyAlignment="1">
      <alignment vertical="center"/>
    </xf>
    <xf numFmtId="166" fontId="29" fillId="2" borderId="24" xfId="36" applyNumberFormat="1" applyFont="1" applyFill="1" applyBorder="1" applyAlignment="1">
      <alignment vertical="center"/>
    </xf>
    <xf numFmtId="166" fontId="27" fillId="2" borderId="24" xfId="36" applyNumberFormat="1" applyFont="1" applyFill="1" applyBorder="1" applyAlignment="1">
      <alignment vertical="center"/>
    </xf>
    <xf numFmtId="166" fontId="27" fillId="0" borderId="14" xfId="36" applyNumberFormat="1" applyFont="1" applyFill="1" applyBorder="1" applyAlignment="1">
      <alignment vertical="center"/>
    </xf>
    <xf numFmtId="166" fontId="29" fillId="14" borderId="12" xfId="22" applyNumberFormat="1" applyFont="1" applyFill="1" applyBorder="1" applyAlignment="1">
      <alignment vertical="center"/>
    </xf>
    <xf numFmtId="166" fontId="27" fillId="14" borderId="12" xfId="22" applyNumberFormat="1" applyFont="1" applyFill="1" applyBorder="1" applyAlignment="1">
      <alignment vertical="center"/>
    </xf>
    <xf numFmtId="166" fontId="29" fillId="14" borderId="12" xfId="36" applyNumberFormat="1" applyFont="1" applyFill="1" applyBorder="1" applyAlignment="1">
      <alignment vertical="center"/>
    </xf>
    <xf numFmtId="166" fontId="29" fillId="14" borderId="13" xfId="22" applyNumberFormat="1" applyFont="1" applyFill="1" applyBorder="1" applyAlignment="1">
      <alignment horizontal="center" vertical="center"/>
    </xf>
    <xf numFmtId="166" fontId="27" fillId="14" borderId="13" xfId="22" applyNumberFormat="1" applyFont="1" applyFill="1" applyBorder="1" applyAlignment="1">
      <alignment horizontal="center" vertical="center"/>
    </xf>
    <xf numFmtId="166" fontId="29" fillId="14" borderId="12" xfId="22" applyNumberFormat="1" applyFont="1" applyFill="1" applyBorder="1" applyAlignment="1">
      <alignment horizontal="center" vertical="center"/>
    </xf>
    <xf numFmtId="166" fontId="29" fillId="14" borderId="13" xfId="22" applyNumberFormat="1" applyFont="1" applyFill="1" applyBorder="1" applyAlignment="1">
      <alignment vertical="center"/>
    </xf>
    <xf numFmtId="166" fontId="29" fillId="6" borderId="24" xfId="22" applyNumberFormat="1" applyFont="1" applyFill="1" applyBorder="1" applyAlignment="1">
      <alignment vertical="center"/>
    </xf>
    <xf numFmtId="166" fontId="29" fillId="2" borderId="0" xfId="22" applyNumberFormat="1" applyFont="1" applyFill="1" applyBorder="1" applyAlignment="1">
      <alignment vertical="center"/>
    </xf>
    <xf numFmtId="166" fontId="27" fillId="2" borderId="14" xfId="22" applyNumberFormat="1" applyFont="1" applyFill="1" applyBorder="1" applyAlignment="1">
      <alignment vertical="center"/>
    </xf>
    <xf numFmtId="166" fontId="29" fillId="2" borderId="14" xfId="22" applyNumberFormat="1" applyFont="1" applyFill="1" applyBorder="1" applyAlignment="1">
      <alignment vertical="center"/>
    </xf>
    <xf numFmtId="166" fontId="29" fillId="2" borderId="24" xfId="22" applyNumberFormat="1" applyFont="1" applyFill="1" applyBorder="1" applyAlignment="1">
      <alignment vertical="center"/>
    </xf>
    <xf numFmtId="166" fontId="27" fillId="2" borderId="24" xfId="22" applyNumberFormat="1" applyFont="1" applyFill="1" applyBorder="1" applyAlignment="1">
      <alignment vertical="center"/>
    </xf>
    <xf numFmtId="166" fontId="27" fillId="0" borderId="14" xfId="22" applyNumberFormat="1" applyFont="1" applyFill="1" applyBorder="1" applyAlignment="1">
      <alignment vertical="center"/>
    </xf>
    <xf numFmtId="166" fontId="29" fillId="14" borderId="0" xfId="22" applyNumberFormat="1" applyFont="1" applyFill="1" applyBorder="1" applyAlignment="1">
      <alignment vertical="center"/>
    </xf>
    <xf numFmtId="166" fontId="27" fillId="14" borderId="14" xfId="22" applyNumberFormat="1" applyFont="1" applyFill="1" applyBorder="1" applyAlignment="1">
      <alignment vertical="center"/>
    </xf>
    <xf numFmtId="166" fontId="29" fillId="14" borderId="14" xfId="22" applyNumberFormat="1" applyFont="1" applyFill="1" applyBorder="1" applyAlignment="1">
      <alignment vertical="center"/>
    </xf>
    <xf numFmtId="166" fontId="29" fillId="14" borderId="24" xfId="22" applyNumberFormat="1" applyFont="1" applyFill="1" applyBorder="1" applyAlignment="1">
      <alignment vertical="center"/>
    </xf>
    <xf numFmtId="166" fontId="27" fillId="14" borderId="24" xfId="22" applyNumberFormat="1" applyFont="1" applyFill="1" applyBorder="1" applyAlignment="1">
      <alignment vertical="center"/>
    </xf>
    <xf numFmtId="164" fontId="27" fillId="2" borderId="30" xfId="0" applyNumberFormat="1" applyFont="1" applyFill="1" applyBorder="1"/>
    <xf numFmtId="164" fontId="29" fillId="8" borderId="5" xfId="0" applyNumberFormat="1" applyFont="1" applyFill="1" applyBorder="1"/>
    <xf numFmtId="166" fontId="29" fillId="8" borderId="13" xfId="0" applyNumberFormat="1" applyFont="1" applyFill="1" applyBorder="1"/>
    <xf numFmtId="164" fontId="29" fillId="2" borderId="29" xfId="0" applyNumberFormat="1" applyFont="1" applyFill="1" applyBorder="1"/>
    <xf numFmtId="166" fontId="29" fillId="2" borderId="34" xfId="0" applyNumberFormat="1" applyFont="1" applyFill="1" applyBorder="1"/>
    <xf numFmtId="164" fontId="29" fillId="14" borderId="29" xfId="0" applyNumberFormat="1" applyFont="1" applyFill="1" applyBorder="1"/>
    <xf numFmtId="166" fontId="29" fillId="14" borderId="34" xfId="0" applyNumberFormat="1" applyFont="1" applyFill="1" applyBorder="1"/>
    <xf numFmtId="166" fontId="27" fillId="2" borderId="12" xfId="0" applyNumberFormat="1" applyFont="1" applyFill="1" applyBorder="1"/>
    <xf numFmtId="164" fontId="27" fillId="14" borderId="30" xfId="0" applyNumberFormat="1" applyFont="1" applyFill="1" applyBorder="1"/>
    <xf numFmtId="166" fontId="27" fillId="14" borderId="12" xfId="0" applyNumberFormat="1" applyFont="1" applyFill="1" applyBorder="1"/>
    <xf numFmtId="164" fontId="27" fillId="2" borderId="30" xfId="0" applyNumberFormat="1" applyFont="1" applyFill="1" applyBorder="1" applyAlignment="1">
      <alignment vertical="center"/>
    </xf>
    <xf numFmtId="164" fontId="27" fillId="2" borderId="30" xfId="22" applyNumberFormat="1" applyFont="1" applyFill="1" applyBorder="1" applyAlignment="1">
      <alignment vertical="center"/>
    </xf>
    <xf numFmtId="164" fontId="29" fillId="2" borderId="30" xfId="0" applyNumberFormat="1" applyFont="1" applyFill="1" applyBorder="1"/>
    <xf numFmtId="166" fontId="27" fillId="2" borderId="12" xfId="0" applyNumberFormat="1" applyFont="1" applyFill="1" applyBorder="1" applyAlignment="1">
      <alignment vertical="center"/>
    </xf>
    <xf numFmtId="164" fontId="27" fillId="14" borderId="30" xfId="0" applyNumberFormat="1" applyFont="1" applyFill="1" applyBorder="1" applyAlignment="1">
      <alignment vertical="center"/>
    </xf>
    <xf numFmtId="166" fontId="27" fillId="14" borderId="12" xfId="0" applyNumberFormat="1" applyFont="1" applyFill="1" applyBorder="1" applyAlignment="1">
      <alignment vertical="center"/>
    </xf>
    <xf numFmtId="164" fontId="27" fillId="14" borderId="30" xfId="22" applyNumberFormat="1" applyFont="1" applyFill="1" applyBorder="1" applyAlignment="1">
      <alignment vertical="center"/>
    </xf>
    <xf numFmtId="166" fontId="27" fillId="2" borderId="12" xfId="36" applyNumberFormat="1" applyFont="1" applyFill="1" applyBorder="1" applyAlignment="1">
      <alignment vertical="center"/>
    </xf>
    <xf numFmtId="166" fontId="29" fillId="2" borderId="12" xfId="0" applyNumberFormat="1" applyFont="1" applyFill="1" applyBorder="1"/>
    <xf numFmtId="164" fontId="29" fillId="14" borderId="30" xfId="0" applyNumberFormat="1" applyFont="1" applyFill="1" applyBorder="1"/>
    <xf numFmtId="166" fontId="29" fillId="14" borderId="12" xfId="0" applyNumberFormat="1" applyFont="1" applyFill="1" applyBorder="1"/>
    <xf numFmtId="164" fontId="29" fillId="8" borderId="5" xfId="22" applyNumberFormat="1" applyFont="1" applyFill="1" applyBorder="1" applyAlignment="1">
      <alignment vertical="center"/>
    </xf>
    <xf numFmtId="166" fontId="29" fillId="8" borderId="13" xfId="22" applyNumberFormat="1" applyFont="1" applyFill="1" applyBorder="1" applyAlignment="1">
      <alignment vertical="center"/>
    </xf>
    <xf numFmtId="166" fontId="29" fillId="8" borderId="13" xfId="36" applyNumberFormat="1" applyFont="1" applyFill="1" applyBorder="1" applyAlignment="1">
      <alignment vertical="center"/>
    </xf>
    <xf numFmtId="164" fontId="29" fillId="2" borderId="11" xfId="0" applyNumberFormat="1" applyFont="1" applyFill="1" applyBorder="1"/>
    <xf numFmtId="164" fontId="29" fillId="2" borderId="15" xfId="0" applyNumberFormat="1" applyFont="1" applyFill="1" applyBorder="1"/>
    <xf numFmtId="164" fontId="29" fillId="2" borderId="5" xfId="0" applyNumberFormat="1" applyFont="1" applyFill="1" applyBorder="1"/>
    <xf numFmtId="164" fontId="29" fillId="8" borderId="5" xfId="36" applyNumberFormat="1" applyFont="1" applyFill="1" applyBorder="1" applyAlignment="1">
      <alignment vertical="center"/>
    </xf>
    <xf numFmtId="166" fontId="29" fillId="2" borderId="36" xfId="0" applyNumberFormat="1" applyFont="1" applyFill="1" applyBorder="1"/>
    <xf numFmtId="164" fontId="29" fillId="14" borderId="11" xfId="0" applyNumberFormat="1" applyFont="1" applyFill="1" applyBorder="1"/>
    <xf numFmtId="166" fontId="29" fillId="14" borderId="36" xfId="0" applyNumberFormat="1" applyFont="1" applyFill="1" applyBorder="1"/>
    <xf numFmtId="166" fontId="29" fillId="2" borderId="53" xfId="0" applyNumberFormat="1" applyFont="1" applyFill="1" applyBorder="1"/>
    <xf numFmtId="164" fontId="29" fillId="14" borderId="15" xfId="0" applyNumberFormat="1" applyFont="1" applyFill="1" applyBorder="1"/>
    <xf numFmtId="166" fontId="29" fillId="14" borderId="53" xfId="0" applyNumberFormat="1" applyFont="1" applyFill="1" applyBorder="1"/>
    <xf numFmtId="166" fontId="29" fillId="2" borderId="13" xfId="0" applyNumberFormat="1" applyFont="1" applyFill="1" applyBorder="1"/>
    <xf numFmtId="164" fontId="29" fillId="14" borderId="5" xfId="0" applyNumberFormat="1" applyFont="1" applyFill="1" applyBorder="1"/>
    <xf numFmtId="166" fontId="29" fillId="14" borderId="13" xfId="0" applyNumberFormat="1" applyFont="1" applyFill="1" applyBorder="1"/>
    <xf numFmtId="164" fontId="27" fillId="2" borderId="29" xfId="36" applyNumberFormat="1" applyFont="1" applyFill="1" applyBorder="1"/>
    <xf numFmtId="164" fontId="27" fillId="2" borderId="30" xfId="36" applyNumberFormat="1" applyFont="1" applyFill="1" applyBorder="1"/>
    <xf numFmtId="166" fontId="27" fillId="2" borderId="34" xfId="0" applyNumberFormat="1" applyFont="1" applyFill="1" applyBorder="1"/>
    <xf numFmtId="164" fontId="27" fillId="14" borderId="29" xfId="0" applyNumberFormat="1" applyFont="1" applyFill="1" applyBorder="1"/>
    <xf numFmtId="166" fontId="27" fillId="14" borderId="34" xfId="0" applyNumberFormat="1" applyFont="1" applyFill="1" applyBorder="1"/>
    <xf numFmtId="166" fontId="27" fillId="14" borderId="12" xfId="0" applyNumberFormat="1" applyFont="1" applyFill="1" applyBorder="1" applyAlignment="1">
      <alignment horizontal="center"/>
    </xf>
    <xf numFmtId="166" fontId="29" fillId="2" borderId="13" xfId="36" applyNumberFormat="1" applyFont="1" applyFill="1" applyBorder="1" applyAlignment="1">
      <alignment vertical="center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5" fontId="27" fillId="5" borderId="6" xfId="0" applyNumberFormat="1" applyFont="1" applyFill="1" applyBorder="1" applyAlignment="1" applyProtection="1">
      <alignment horizontal="center" vertical="center"/>
      <protection hidden="1"/>
    </xf>
    <xf numFmtId="165" fontId="27" fillId="5" borderId="23" xfId="0" applyNumberFormat="1" applyFont="1" applyFill="1" applyBorder="1" applyAlignment="1" applyProtection="1">
      <alignment horizontal="center" vertical="center"/>
      <protection hidden="1"/>
    </xf>
    <xf numFmtId="165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 applyProtection="1">
      <alignment horizontal="center" vertical="center"/>
      <protection hidden="1"/>
    </xf>
    <xf numFmtId="165" fontId="27" fillId="0" borderId="0" xfId="0" applyNumberFormat="1" applyFont="1" applyFill="1" applyBorder="1" applyAlignment="1" applyProtection="1">
      <alignment horizontal="center" vertical="center"/>
      <protection hidden="1"/>
    </xf>
    <xf numFmtId="165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8" fillId="2" borderId="22" xfId="36" applyFont="1" applyFill="1" applyBorder="1" applyAlignment="1">
      <alignment horizontal="center" wrapText="1"/>
    </xf>
    <xf numFmtId="164" fontId="38" fillId="2" borderId="22" xfId="36" applyNumberFormat="1" applyFont="1" applyFill="1" applyBorder="1" applyAlignment="1">
      <alignment horizontal="center" wrapText="1"/>
    </xf>
    <xf numFmtId="0" fontId="29" fillId="8" borderId="51" xfId="22" applyFont="1" applyFill="1" applyBorder="1" applyAlignment="1">
      <alignment horizontal="center" vertical="center"/>
    </xf>
    <xf numFmtId="0" fontId="29" fillId="8" borderId="52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>
      <alignment horizontal="center" vertical="center"/>
    </xf>
    <xf numFmtId="165" fontId="27" fillId="8" borderId="24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 applyProtection="1">
      <alignment horizontal="center" vertical="center"/>
      <protection hidden="1"/>
    </xf>
    <xf numFmtId="165" fontId="27" fillId="8" borderId="23" xfId="0" applyNumberFormat="1" applyFont="1" applyFill="1" applyBorder="1" applyAlignment="1" applyProtection="1">
      <alignment horizontal="center" vertical="center"/>
      <protection hidden="1"/>
    </xf>
    <xf numFmtId="165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center"/>
    </xf>
    <xf numFmtId="0" fontId="36" fillId="12" borderId="20" xfId="22" applyFont="1" applyFill="1" applyBorder="1" applyAlignment="1">
      <alignment horizontal="center" vertical="center"/>
    </xf>
    <xf numFmtId="0" fontId="36" fillId="12" borderId="18" xfId="22" applyFont="1" applyFill="1" applyBorder="1" applyAlignment="1">
      <alignment horizontal="center" vertical="center"/>
    </xf>
    <xf numFmtId="165" fontId="27" fillId="6" borderId="6" xfId="0" applyNumberFormat="1" applyFont="1" applyFill="1" applyBorder="1" applyAlignment="1">
      <alignment horizontal="center" vertical="center"/>
    </xf>
    <xf numFmtId="165" fontId="27" fillId="6" borderId="24" xfId="0" applyNumberFormat="1" applyFont="1" applyFill="1" applyBorder="1" applyAlignment="1">
      <alignment horizontal="center" vertical="center"/>
    </xf>
    <xf numFmtId="165" fontId="27" fillId="6" borderId="6" xfId="0" applyNumberFormat="1" applyFont="1" applyFill="1" applyBorder="1" applyAlignment="1" applyProtection="1">
      <alignment horizontal="center" vertical="center"/>
      <protection hidden="1"/>
    </xf>
    <xf numFmtId="165" fontId="27" fillId="6" borderId="23" xfId="0" applyNumberFormat="1" applyFont="1" applyFill="1" applyBorder="1" applyAlignment="1" applyProtection="1">
      <alignment horizontal="center" vertical="center"/>
      <protection hidden="1"/>
    </xf>
    <xf numFmtId="165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</cellXfs>
  <cellStyles count="40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 sz="1100"/>
              <a:t>Izvorni prihodi budžeta - I kvartal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3"/>
          <c:y val="0.17171296296296387"/>
          <c:w val="0.85862729658792991"/>
          <c:h val="0.74403579760863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'Cental Budget'!$O$20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Budget'!$P$20:$R$20</c:f>
              <c:numCache>
                <c:formatCode>0.00,,</c:formatCode>
                <c:ptCount val="3"/>
                <c:pt idx="0">
                  <c:v>209731060.23999998</c:v>
                </c:pt>
                <c:pt idx="1">
                  <c:v>69927537.579999998</c:v>
                </c:pt>
                <c:pt idx="2">
                  <c:v>187900056.19</c:v>
                </c:pt>
              </c:numCache>
            </c:numRef>
          </c:val>
        </c:ser>
        <c:ser>
          <c:idx val="1"/>
          <c:order val="1"/>
          <c:tx>
            <c:strRef>
              <c:f>'Cental Budget'!$O$21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Budget'!$P$21:$R$21</c:f>
              <c:numCache>
                <c:formatCode>0.00,,</c:formatCode>
                <c:ptCount val="3"/>
                <c:pt idx="0">
                  <c:v>210442499.23138723</c:v>
                </c:pt>
                <c:pt idx="1">
                  <c:v>69387361.854880959</c:v>
                </c:pt>
                <c:pt idx="2">
                  <c:v>173253797.1280458</c:v>
                </c:pt>
              </c:numCache>
            </c:numRef>
          </c:val>
        </c:ser>
        <c:ser>
          <c:idx val="2"/>
          <c:order val="2"/>
          <c:tx>
            <c:strRef>
              <c:f>'Cental Budget'!$O$22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Budget'!$P$22:$R$22</c:f>
              <c:numCache>
                <c:formatCode>0.00,,</c:formatCode>
                <c:ptCount val="3"/>
                <c:pt idx="0">
                  <c:v>207411174.41</c:v>
                </c:pt>
                <c:pt idx="1">
                  <c:v>65267567.059999995</c:v>
                </c:pt>
                <c:pt idx="2">
                  <c:v>180856406.81999999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14771296"/>
        <c:axId val="-2014770208"/>
      </c:barChart>
      <c:catAx>
        <c:axId val="-201477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2014770208"/>
        <c:crosses val="autoZero"/>
        <c:auto val="1"/>
        <c:lblAlgn val="ctr"/>
        <c:lblOffset val="100"/>
        <c:noMultiLvlLbl val="0"/>
      </c:catAx>
      <c:valAx>
        <c:axId val="-201477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201477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04724409448826"/>
          <c:y val="0.19965223097112891"/>
          <c:w val="0.5083499562554686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/>
              <a:t>Pregled javne potrošnje - III kvartal 2014.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'Public Expenditure'!$Q$17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Expenditure'!$R$17:$T$17</c:f>
              <c:numCache>
                <c:formatCode>0.00,,</c:formatCode>
                <c:ptCount val="3"/>
                <c:pt idx="0">
                  <c:v>684478402.14999974</c:v>
                </c:pt>
                <c:pt idx="1">
                  <c:v>899381429.53999996</c:v>
                </c:pt>
                <c:pt idx="2">
                  <c:v>-214903027.39000022</c:v>
                </c:pt>
              </c:numCache>
            </c:numRef>
          </c:val>
        </c:ser>
        <c:ser>
          <c:idx val="1"/>
          <c:order val="1"/>
          <c:tx>
            <c:strRef>
              <c:f>'Public Expenditure'!$Q$18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Expenditure'!$R$18:$T$18</c:f>
              <c:numCache>
                <c:formatCode>0.00,,</c:formatCode>
                <c:ptCount val="3"/>
                <c:pt idx="0">
                  <c:v>671004332.88203323</c:v>
                </c:pt>
                <c:pt idx="1">
                  <c:v>840197678.26044452</c:v>
                </c:pt>
                <c:pt idx="2">
                  <c:v>-169193345.37841129</c:v>
                </c:pt>
              </c:numCache>
            </c:numRef>
          </c:val>
        </c:ser>
        <c:ser>
          <c:idx val="2"/>
          <c:order val="2"/>
          <c:tx>
            <c:strRef>
              <c:f>'Public Expenditure'!$Q$19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Expenditure'!$R$19:$T$19</c:f>
              <c:numCache>
                <c:formatCode>0.00,,</c:formatCode>
                <c:ptCount val="3"/>
                <c:pt idx="0">
                  <c:v>665138226.2299999</c:v>
                </c:pt>
                <c:pt idx="1">
                  <c:v>710077387.68000007</c:v>
                </c:pt>
                <c:pt idx="2">
                  <c:v>-44939161.450000167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70048160"/>
        <c:axId val="-2070047616"/>
      </c:barChart>
      <c:catAx>
        <c:axId val="-20700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2070047616"/>
        <c:crosses val="autoZero"/>
        <c:auto val="1"/>
        <c:lblAlgn val="ctr"/>
        <c:lblOffset val="100"/>
        <c:noMultiLvlLbl val="0"/>
      </c:catAx>
      <c:valAx>
        <c:axId val="-207004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-20700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2951888"/>
        <c:axId val="-2012954608"/>
      </c:lineChart>
      <c:catAx>
        <c:axId val="-201295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sr-Latn-RS"/>
          </a:p>
        </c:txPr>
        <c:crossAx val="-2012954608"/>
        <c:crosses val="autoZero"/>
        <c:auto val="1"/>
        <c:lblAlgn val="ctr"/>
        <c:lblOffset val="100"/>
        <c:noMultiLvlLbl val="0"/>
      </c:catAx>
      <c:valAx>
        <c:axId val="-2012954608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sr-Latn-RS"/>
          </a:p>
        </c:txPr>
        <c:crossAx val="-2012951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12945360"/>
        <c:axId val="-2012955152"/>
      </c:lineChart>
      <c:catAx>
        <c:axId val="-201294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sr-Latn-RS"/>
          </a:p>
        </c:txPr>
        <c:crossAx val="-2012955152"/>
        <c:crosses val="autoZero"/>
        <c:auto val="1"/>
        <c:lblAlgn val="ctr"/>
        <c:lblOffset val="100"/>
        <c:noMultiLvlLbl val="0"/>
      </c:catAx>
      <c:valAx>
        <c:axId val="-2012955152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lang="en-US" sz="700"/>
            </a:pPr>
            <a:endParaRPr lang="sr-Latn-RS"/>
          </a:p>
        </c:txPr>
        <c:crossAx val="-2012945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347381</xdr:colOff>
      <xdr:row>23</xdr:row>
      <xdr:rowOff>100853</xdr:rowOff>
    </xdr:from>
    <xdr:to>
      <xdr:col>23</xdr:col>
      <xdr:colOff>493058</xdr:colOff>
      <xdr:row>35</xdr:row>
      <xdr:rowOff>156882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458109</xdr:colOff>
      <xdr:row>21</xdr:row>
      <xdr:rowOff>95702</xdr:rowOff>
    </xdr:from>
    <xdr:to>
      <xdr:col>24</xdr:col>
      <xdr:colOff>529166</xdr:colOff>
      <xdr:row>42</xdr:row>
      <xdr:rowOff>120953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1</xdr:row>
          <xdr:rowOff>123825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C77"/>
  <sheetViews>
    <sheetView tabSelected="1" zoomScale="85" zoomScaleNormal="85" workbookViewId="0">
      <pane ySplit="15" topLeftCell="A28" activePane="bottomLeft" state="frozen"/>
      <selection pane="bottomLeft" activeCell="L41" sqref="L41"/>
    </sheetView>
  </sheetViews>
  <sheetFormatPr defaultColWidth="9.140625" defaultRowHeight="12.75"/>
  <cols>
    <col min="1" max="2" width="9.140625" style="80" customWidth="1"/>
    <col min="3" max="3" width="57.28515625" style="80" customWidth="1"/>
    <col min="4" max="13" width="7.85546875" style="80" customWidth="1"/>
    <col min="14" max="73" width="9.140625" style="80" customWidth="1"/>
    <col min="74" max="74" width="9.140625" style="80"/>
    <col min="75" max="75" width="15.42578125" style="80" customWidth="1"/>
    <col min="76" max="76" width="12.7109375" style="80" customWidth="1"/>
    <col min="77" max="77" width="11.85546875" style="80" customWidth="1"/>
    <col min="78" max="16384" width="9.140625" style="80"/>
  </cols>
  <sheetData>
    <row r="1" spans="2:73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</row>
    <row r="2" spans="2:73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pans="2:73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</row>
    <row r="4" spans="2:73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</row>
    <row r="5" spans="2:73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</row>
    <row r="6" spans="2:73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</row>
    <row r="7" spans="2:73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</row>
    <row r="8" spans="2:73" ht="15" hidden="1" customHeight="1">
      <c r="C8" s="81"/>
      <c r="D8" s="109"/>
      <c r="E8" s="109"/>
      <c r="F8" s="109"/>
      <c r="G8" s="125">
        <f>+J16/F16*100-100</f>
        <v>-0.79463046368887547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</row>
    <row r="9" spans="2:73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</row>
    <row r="10" spans="2:73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</row>
    <row r="11" spans="2:73" ht="18.75" customHeight="1" thickTop="1" thickBot="1">
      <c r="C11" s="180" t="str">
        <f>IF(MasterSheet!$A$1=1,MasterSheet!B67,MasterSheet!B66)</f>
        <v>BDP (u mil. €)</v>
      </c>
      <c r="D11" s="309">
        <v>3625739466.9921198</v>
      </c>
      <c r="E11" s="310"/>
      <c r="F11" s="310"/>
      <c r="G11" s="311"/>
      <c r="H11" s="314"/>
      <c r="I11" s="319"/>
      <c r="J11" s="316">
        <v>3424886970.6012101</v>
      </c>
      <c r="K11" s="316">
        <v>0</v>
      </c>
      <c r="L11" s="314"/>
      <c r="M11" s="315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</row>
    <row r="12" spans="2:73" ht="19.5" customHeight="1" thickTop="1">
      <c r="C12" s="81"/>
      <c r="D12" s="222"/>
      <c r="E12" s="222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</row>
    <row r="13" spans="2:73" ht="17.25" customHeight="1" thickBot="1">
      <c r="B13" s="85"/>
      <c r="C13" s="86"/>
      <c r="D13" s="321"/>
      <c r="E13" s="321"/>
      <c r="F13" s="221"/>
      <c r="G13" s="221"/>
      <c r="H13" s="221"/>
      <c r="I13" s="221"/>
      <c r="J13" s="320"/>
      <c r="K13" s="320"/>
      <c r="L13" s="164"/>
      <c r="M13" s="164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</row>
    <row r="14" spans="2:73" ht="15.75" customHeight="1" thickTop="1">
      <c r="B14" s="87"/>
      <c r="C14" s="312" t="str">
        <f>IF(MasterSheet!$A$1=1,MasterSheet!B71,MasterSheet!B70)</f>
        <v>Budžet Crne Gore</v>
      </c>
      <c r="D14" s="307" t="s">
        <v>469</v>
      </c>
      <c r="E14" s="308"/>
      <c r="F14" s="307" t="s">
        <v>470</v>
      </c>
      <c r="G14" s="308"/>
      <c r="H14" s="307" t="s">
        <v>453</v>
      </c>
      <c r="I14" s="308"/>
      <c r="J14" s="307" t="s">
        <v>471</v>
      </c>
      <c r="K14" s="308"/>
      <c r="L14" s="317" t="str">
        <f>+H14</f>
        <v>Odstupanje</v>
      </c>
      <c r="M14" s="318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</row>
    <row r="15" spans="2:73" ht="15" customHeight="1" thickBot="1">
      <c r="C15" s="313" t="str">
        <f>IF(MasterSheet!$A$1=1,MasterSheet!B71,MasterSheet!B70)</f>
        <v>Budžet Crne Gore</v>
      </c>
      <c r="D15" s="88" t="str">
        <f>+F15</f>
        <v>mil. €</v>
      </c>
      <c r="E15" s="203" t="str">
        <f>+G15</f>
        <v>% BDP</v>
      </c>
      <c r="F15" s="88" t="s">
        <v>263</v>
      </c>
      <c r="G15" s="89" t="s">
        <v>150</v>
      </c>
      <c r="H15" s="202" t="s">
        <v>263</v>
      </c>
      <c r="I15" s="202" t="s">
        <v>442</v>
      </c>
      <c r="J15" s="88" t="s">
        <v>263</v>
      </c>
      <c r="K15" s="89" t="s">
        <v>150</v>
      </c>
      <c r="L15" s="204" t="s">
        <v>263</v>
      </c>
      <c r="M15" s="129" t="s">
        <v>442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</row>
    <row r="16" spans="2:73" ht="15" customHeight="1" thickTop="1" thickBot="1">
      <c r="B16" s="80">
        <v>7</v>
      </c>
      <c r="C16" s="90" t="str">
        <f>IF(MasterSheet!$A$1=1,MasterSheet!C72,MasterSheet!B72)</f>
        <v>Izvorni prihodi</v>
      </c>
      <c r="D16" s="165">
        <f>+D17+D25+SUM(D30:D34)</f>
        <v>587918268.80000007</v>
      </c>
      <c r="E16" s="230">
        <f>+D16/$D$11*100</f>
        <v>16.215127263066467</v>
      </c>
      <c r="F16" s="165">
        <f>+F17+F25+SUM(F30:F34)</f>
        <v>579322018.52203333</v>
      </c>
      <c r="G16" s="230">
        <f>+F16/$D$11*100</f>
        <v>15.978037688478306</v>
      </c>
      <c r="H16" s="165">
        <f>+D16-F16</f>
        <v>8596250.2779667377</v>
      </c>
      <c r="I16" s="233">
        <f>+IF(ISNUMBER(D16/F16*100-100),D16/F16*100-100,"...")</f>
        <v>1.4838466350541211</v>
      </c>
      <c r="J16" s="165">
        <f>+J17+J25+SUM(J30:J34)</f>
        <v>574718549.27999997</v>
      </c>
      <c r="K16" s="230">
        <f>+J16/$J$11*100</f>
        <v>16.780657411859433</v>
      </c>
      <c r="L16" s="165">
        <f>+D16-J16</f>
        <v>13199719.5200001</v>
      </c>
      <c r="M16" s="230">
        <f t="shared" ref="M16:M57" si="0">+IF(ISNUMBER(D16/J16*100-100),D16/J16*100-100,"...")</f>
        <v>2.2967275958878588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</row>
    <row r="17" spans="2:80" ht="15" customHeight="1" thickTop="1">
      <c r="B17" s="80">
        <v>711</v>
      </c>
      <c r="C17" s="93" t="str">
        <f>IF(MasterSheet!$A$1=1,MasterSheet!C73,MasterSheet!B73)</f>
        <v>Porezi</v>
      </c>
      <c r="D17" s="154">
        <f>+SUM(D18:D24)</f>
        <v>366128394.27999997</v>
      </c>
      <c r="E17" s="231">
        <f t="shared" ref="E17:E72" si="1">+D17/$D$11*100</f>
        <v>10.098033728378635</v>
      </c>
      <c r="F17" s="154">
        <f>+SUM(F18:F24)</f>
        <v>371237330.65333474</v>
      </c>
      <c r="G17" s="231">
        <f t="shared" ref="G17:G72" si="2">+F17/$D$11*100</f>
        <v>10.238941160361691</v>
      </c>
      <c r="H17" s="209">
        <f t="shared" ref="H17:H65" si="3">+D17-F17</f>
        <v>-5108936.3733347654</v>
      </c>
      <c r="I17" s="244">
        <f t="shared" ref="I17:I65" si="4">+IF(ISNUMBER(D17/F17*100-100),D17/F17*100-100,"...")</f>
        <v>-1.376191441831466</v>
      </c>
      <c r="J17" s="154">
        <f>+SUM(J18:J24)</f>
        <v>360862720.14999998</v>
      </c>
      <c r="K17" s="231">
        <f t="shared" ref="K17:K65" si="5">+J17/$J$11*100</f>
        <v>10.5364855321533</v>
      </c>
      <c r="L17" s="209">
        <f t="shared" ref="L17:L35" si="6">+D17-J17</f>
        <v>5265674.1299999952</v>
      </c>
      <c r="M17" s="244">
        <f t="shared" si="0"/>
        <v>1.4591903890241724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</row>
    <row r="18" spans="2:80" ht="15" customHeight="1">
      <c r="B18" s="80">
        <v>7111</v>
      </c>
      <c r="C18" s="97" t="str">
        <f>IF(MasterSheet!$A$1=1,MasterSheet!C74,MasterSheet!B74)</f>
        <v>Porez na dohodak fizičkih lica</v>
      </c>
      <c r="D18" s="155">
        <v>40114698.029999994</v>
      </c>
      <c r="E18" s="232">
        <f t="shared" si="1"/>
        <v>1.1063866666426196</v>
      </c>
      <c r="F18" s="155">
        <v>45987089.025305055</v>
      </c>
      <c r="G18" s="232">
        <f t="shared" si="2"/>
        <v>1.2683506204447592</v>
      </c>
      <c r="H18" s="210">
        <f t="shared" si="3"/>
        <v>-5872390.9953050613</v>
      </c>
      <c r="I18" s="245">
        <f t="shared" si="4"/>
        <v>-12.769651482122939</v>
      </c>
      <c r="J18" s="156">
        <v>44296559.049999997</v>
      </c>
      <c r="K18" s="232">
        <f t="shared" si="5"/>
        <v>1.2933728742068269</v>
      </c>
      <c r="L18" s="210">
        <f t="shared" si="6"/>
        <v>-4181861.0200000033</v>
      </c>
      <c r="M18" s="245">
        <f t="shared" si="0"/>
        <v>-9.4406001497310541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</row>
    <row r="19" spans="2:80" ht="15" customHeight="1">
      <c r="B19" s="80">
        <v>7112</v>
      </c>
      <c r="C19" s="97" t="str">
        <f>IF(MasterSheet!$A$1=1,MasterSheet!C75,MasterSheet!B75)</f>
        <v>Porez na dobit pravnih lica</v>
      </c>
      <c r="D19" s="156">
        <v>32642888.829999998</v>
      </c>
      <c r="E19" s="232">
        <f t="shared" si="1"/>
        <v>0.90030982995808684</v>
      </c>
      <c r="F19" s="156">
        <v>31987830.262809042</v>
      </c>
      <c r="G19" s="232">
        <f t="shared" si="2"/>
        <v>0.88224293427640721</v>
      </c>
      <c r="H19" s="210">
        <f t="shared" si="3"/>
        <v>655058.56719095632</v>
      </c>
      <c r="I19" s="245">
        <f t="shared" si="4"/>
        <v>2.04783682359529</v>
      </c>
      <c r="J19" s="156">
        <v>30787131.91</v>
      </c>
      <c r="K19" s="232">
        <f t="shared" si="5"/>
        <v>0.89892402798319426</v>
      </c>
      <c r="L19" s="210">
        <f t="shared" si="6"/>
        <v>1855756.9199999981</v>
      </c>
      <c r="M19" s="245">
        <f t="shared" si="0"/>
        <v>6.0277031502152596</v>
      </c>
      <c r="N19" s="138"/>
      <c r="O19" s="81"/>
      <c r="P19" s="81" t="s">
        <v>452</v>
      </c>
      <c r="Q19" s="81" t="s">
        <v>12</v>
      </c>
      <c r="R19" s="81" t="s">
        <v>19</v>
      </c>
      <c r="S19" s="138"/>
      <c r="T19" s="138"/>
      <c r="U19" s="138"/>
      <c r="V19" s="138"/>
      <c r="W19" s="138"/>
      <c r="X19" s="138"/>
      <c r="Y19" s="139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W19" s="81"/>
    </row>
    <row r="20" spans="2:80" ht="15" customHeight="1">
      <c r="B20" s="80">
        <v>7113</v>
      </c>
      <c r="C20" s="97" t="str">
        <f>IF(MasterSheet!$A$1=1,MasterSheet!C76,MasterSheet!B76)</f>
        <v>Porez na promet nepokretnosti</v>
      </c>
      <c r="D20" s="156">
        <v>635103.03</v>
      </c>
      <c r="E20" s="232">
        <f t="shared" si="1"/>
        <v>1.7516510377588595E-2</v>
      </c>
      <c r="F20" s="156">
        <v>730470.82603917061</v>
      </c>
      <c r="G20" s="232">
        <f t="shared" si="2"/>
        <v>2.0146809573307882E-2</v>
      </c>
      <c r="H20" s="210">
        <f t="shared" si="3"/>
        <v>-95367.796039170586</v>
      </c>
      <c r="I20" s="245">
        <f t="shared" si="4"/>
        <v>-13.055661176269425</v>
      </c>
      <c r="J20" s="156">
        <v>720615.74</v>
      </c>
      <c r="K20" s="232">
        <f t="shared" si="5"/>
        <v>2.104056998627029E-2</v>
      </c>
      <c r="L20" s="210">
        <f t="shared" si="6"/>
        <v>-85512.709999999963</v>
      </c>
      <c r="M20" s="245">
        <f t="shared" si="0"/>
        <v>-11.866617012834041</v>
      </c>
      <c r="N20" s="138"/>
      <c r="O20" s="81" t="s">
        <v>446</v>
      </c>
      <c r="P20" s="212">
        <f>+D21</f>
        <v>209731060.23999998</v>
      </c>
      <c r="Q20" s="212">
        <f>+D22</f>
        <v>69927537.579999998</v>
      </c>
      <c r="R20" s="212">
        <f>+D25</f>
        <v>187900056.19</v>
      </c>
      <c r="S20" s="138"/>
      <c r="T20" s="138"/>
      <c r="U20" s="138"/>
      <c r="V20" s="138"/>
      <c r="W20" s="138"/>
      <c r="X20" s="138"/>
      <c r="Y20" s="139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</row>
    <row r="21" spans="2:80" ht="15" customHeight="1">
      <c r="B21" s="80">
        <v>7114</v>
      </c>
      <c r="C21" s="97" t="str">
        <f>IF(MasterSheet!$A$1=1,MasterSheet!C77,MasterSheet!B77)</f>
        <v>Porez na dodatu vrijednost</v>
      </c>
      <c r="D21" s="155">
        <v>209731060.23999998</v>
      </c>
      <c r="E21" s="232">
        <f t="shared" si="1"/>
        <v>5.7845044341807306</v>
      </c>
      <c r="F21" s="155">
        <v>210442499.23138723</v>
      </c>
      <c r="G21" s="232">
        <f t="shared" si="2"/>
        <v>5.804126334702377</v>
      </c>
      <c r="H21" s="210">
        <f t="shared" si="3"/>
        <v>-711438.99138724804</v>
      </c>
      <c r="I21" s="245">
        <f t="shared" si="4"/>
        <v>-0.33806811551168892</v>
      </c>
      <c r="J21" s="156">
        <v>207411174.41</v>
      </c>
      <c r="K21" s="232">
        <f t="shared" si="5"/>
        <v>6.0560005684973222</v>
      </c>
      <c r="L21" s="210">
        <f t="shared" si="6"/>
        <v>2319885.8299999833</v>
      </c>
      <c r="M21" s="245">
        <f t="shared" si="0"/>
        <v>1.118496067822349</v>
      </c>
      <c r="O21" s="81" t="s">
        <v>447</v>
      </c>
      <c r="P21" s="212">
        <f>+F21</f>
        <v>210442499.23138723</v>
      </c>
      <c r="Q21" s="212">
        <f>+F22</f>
        <v>69387361.854880959</v>
      </c>
      <c r="R21" s="212">
        <f>+F25</f>
        <v>173253797.1280458</v>
      </c>
    </row>
    <row r="22" spans="2:80" ht="15" customHeight="1">
      <c r="B22" s="80">
        <v>7115</v>
      </c>
      <c r="C22" s="97" t="str">
        <f>IF(MasterSheet!$A$1=1,MasterSheet!C78,MasterSheet!B78)</f>
        <v>Akcize</v>
      </c>
      <c r="D22" s="156">
        <v>69927537.579999998</v>
      </c>
      <c r="E22" s="232">
        <f t="shared" si="1"/>
        <v>1.9286420940225812</v>
      </c>
      <c r="F22" s="156">
        <v>69387361.854880959</v>
      </c>
      <c r="G22" s="232">
        <f t="shared" si="2"/>
        <v>1.9137437338387713</v>
      </c>
      <c r="H22" s="210">
        <f t="shared" si="3"/>
        <v>540175.72511903942</v>
      </c>
      <c r="I22" s="245">
        <f t="shared" si="4"/>
        <v>0.77849295704422161</v>
      </c>
      <c r="J22" s="156">
        <v>65267567.059999995</v>
      </c>
      <c r="K22" s="232">
        <f t="shared" si="5"/>
        <v>1.9056852859743523</v>
      </c>
      <c r="L22" s="210">
        <f t="shared" si="6"/>
        <v>4659970.5200000033</v>
      </c>
      <c r="M22" s="245">
        <f t="shared" si="0"/>
        <v>7.1397950466211171</v>
      </c>
      <c r="O22" s="137">
        <v>2013</v>
      </c>
      <c r="P22" s="213">
        <f>+J21</f>
        <v>207411174.41</v>
      </c>
      <c r="Q22" s="214">
        <f>+J22</f>
        <v>65267567.059999995</v>
      </c>
      <c r="R22" s="214">
        <f>+J25</f>
        <v>180856406.81999999</v>
      </c>
    </row>
    <row r="23" spans="2:80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v>10179104.699999999</v>
      </c>
      <c r="E23" s="232">
        <f t="shared" si="1"/>
        <v>0.28074561872600545</v>
      </c>
      <c r="F23" s="156">
        <v>10155757.977742888</v>
      </c>
      <c r="G23" s="232">
        <f t="shared" si="2"/>
        <v>0.28010170256849737</v>
      </c>
      <c r="H23" s="210">
        <f t="shared" si="3"/>
        <v>23346.722257111222</v>
      </c>
      <c r="I23" s="245">
        <f t="shared" si="4"/>
        <v>0.22988655606283714</v>
      </c>
      <c r="J23" s="156">
        <v>9739794.0199999996</v>
      </c>
      <c r="K23" s="232">
        <f t="shared" si="5"/>
        <v>0.2843829330312253</v>
      </c>
      <c r="L23" s="210">
        <f t="shared" si="6"/>
        <v>439310.6799999997</v>
      </c>
      <c r="M23" s="245">
        <f t="shared" si="0"/>
        <v>4.5104719781332534</v>
      </c>
      <c r="BX23" s="140"/>
      <c r="BY23" s="140"/>
      <c r="BZ23" s="81"/>
    </row>
    <row r="24" spans="2:80" ht="15" customHeight="1">
      <c r="B24" s="80">
        <v>7118</v>
      </c>
      <c r="C24" s="97" t="str">
        <f>IF(MasterSheet!$A$1=1,MasterSheet!C80,MasterSheet!B80)</f>
        <v>Ostali republički prihodi</v>
      </c>
      <c r="D24" s="156">
        <v>2898001.8699999996</v>
      </c>
      <c r="E24" s="232">
        <f t="shared" si="1"/>
        <v>7.9928574471021085E-2</v>
      </c>
      <c r="F24" s="156">
        <v>2546321.4751703832</v>
      </c>
      <c r="G24" s="232">
        <f t="shared" si="2"/>
        <v>7.0229024957570607E-2</v>
      </c>
      <c r="H24" s="210">
        <f t="shared" si="3"/>
        <v>351680.39482961642</v>
      </c>
      <c r="I24" s="245">
        <f t="shared" si="4"/>
        <v>13.811311661112398</v>
      </c>
      <c r="J24" s="156">
        <v>2639877.96</v>
      </c>
      <c r="K24" s="232">
        <f t="shared" si="5"/>
        <v>7.7079272474110047E-2</v>
      </c>
      <c r="L24" s="210">
        <f t="shared" si="6"/>
        <v>258123.90999999968</v>
      </c>
      <c r="M24" s="245">
        <f t="shared" si="0"/>
        <v>9.7778728377276849</v>
      </c>
      <c r="BX24" s="140"/>
      <c r="BY24" s="140"/>
      <c r="BZ24" s="81"/>
    </row>
    <row r="25" spans="2:80" ht="15" customHeight="1">
      <c r="B25" s="80">
        <v>712</v>
      </c>
      <c r="C25" s="93" t="str">
        <f>IF(MasterSheet!$A$1=1,MasterSheet!C81,MasterSheet!B81)</f>
        <v>Doprinosi</v>
      </c>
      <c r="D25" s="154">
        <f>+SUM(D26:D29)</f>
        <v>187900056.19</v>
      </c>
      <c r="E25" s="231">
        <f t="shared" si="1"/>
        <v>5.1823926650162804</v>
      </c>
      <c r="F25" s="154">
        <f>+SUM(F26:F29)</f>
        <v>173253797.1280458</v>
      </c>
      <c r="G25" s="231">
        <f t="shared" si="2"/>
        <v>4.7784403348698286</v>
      </c>
      <c r="H25" s="209">
        <f t="shared" si="3"/>
        <v>14646259.0619542</v>
      </c>
      <c r="I25" s="244">
        <f t="shared" si="4"/>
        <v>8.4536439054952837</v>
      </c>
      <c r="J25" s="154">
        <f>+SUM(J26:J29)</f>
        <v>180856406.81999999</v>
      </c>
      <c r="K25" s="231">
        <f t="shared" si="5"/>
        <v>5.2806532995818012</v>
      </c>
      <c r="L25" s="209">
        <f t="shared" si="6"/>
        <v>7043649.3700000048</v>
      </c>
      <c r="M25" s="244">
        <f t="shared" si="0"/>
        <v>3.8946087085597725</v>
      </c>
      <c r="BX25" s="140"/>
      <c r="BY25" s="140"/>
      <c r="BZ25" s="81"/>
    </row>
    <row r="26" spans="2:80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6">
        <v>113312125.21000004</v>
      </c>
      <c r="E26" s="232">
        <f t="shared" si="1"/>
        <v>3.1252142146882584</v>
      </c>
      <c r="F26" s="156">
        <v>103004249.97207299</v>
      </c>
      <c r="G26" s="232">
        <f t="shared" si="2"/>
        <v>2.840917029747986</v>
      </c>
      <c r="H26" s="210">
        <f t="shared" si="3"/>
        <v>10307875.237927049</v>
      </c>
      <c r="I26" s="245">
        <f t="shared" si="4"/>
        <v>10.007232944972429</v>
      </c>
      <c r="J26" s="156">
        <v>110583253.45</v>
      </c>
      <c r="K26" s="232">
        <f t="shared" si="5"/>
        <v>3.2288146849584365</v>
      </c>
      <c r="L26" s="210">
        <f t="shared" si="6"/>
        <v>2728871.7600000352</v>
      </c>
      <c r="M26" s="245">
        <f t="shared" si="0"/>
        <v>2.4677079710210279</v>
      </c>
      <c r="BX26" s="140"/>
      <c r="BY26" s="140"/>
      <c r="BZ26" s="81"/>
    </row>
    <row r="27" spans="2:80" ht="15" customHeight="1">
      <c r="B27" s="80">
        <v>7122</v>
      </c>
      <c r="C27" s="97" t="str">
        <f>IF(MasterSheet!$A$1=1,MasterSheet!C83,MasterSheet!B83)</f>
        <v>Doprinosi za zdravstveno osiguranje</v>
      </c>
      <c r="D27" s="156">
        <v>64473199.10999997</v>
      </c>
      <c r="E27" s="232">
        <f t="shared" si="1"/>
        <v>1.7782082716353127</v>
      </c>
      <c r="F27" s="156">
        <v>60034400.126972899</v>
      </c>
      <c r="G27" s="232">
        <f t="shared" si="2"/>
        <v>1.6557836180319068</v>
      </c>
      <c r="H27" s="210">
        <f t="shared" si="3"/>
        <v>4438798.9830270708</v>
      </c>
      <c r="I27" s="245">
        <f t="shared" si="4"/>
        <v>7.3937592007898871</v>
      </c>
      <c r="J27" s="156">
        <v>61197863.909999996</v>
      </c>
      <c r="K27" s="232">
        <f t="shared" si="5"/>
        <v>1.7868579148834576</v>
      </c>
      <c r="L27" s="210">
        <f t="shared" si="6"/>
        <v>3275335.1999999732</v>
      </c>
      <c r="M27" s="245">
        <f t="shared" si="0"/>
        <v>5.3520417065811472</v>
      </c>
      <c r="BX27" s="140"/>
      <c r="BY27" s="140"/>
      <c r="BZ27" s="81"/>
    </row>
    <row r="28" spans="2:80" ht="15" customHeight="1">
      <c r="B28" s="80">
        <v>7123</v>
      </c>
      <c r="C28" s="97" t="str">
        <f>IF(MasterSheet!$A$1=1,MasterSheet!C84,MasterSheet!B84)</f>
        <v>Doprinosi za osiguranje od nezaposlenosti</v>
      </c>
      <c r="D28" s="156">
        <v>5207048.1899999995</v>
      </c>
      <c r="E28" s="232">
        <f t="shared" si="1"/>
        <v>0.14361341286112095</v>
      </c>
      <c r="F28" s="156">
        <v>5178652.6677981131</v>
      </c>
      <c r="G28" s="232">
        <f t="shared" si="2"/>
        <v>0.14283024786925122</v>
      </c>
      <c r="H28" s="210">
        <f t="shared" si="3"/>
        <v>28395.522201886401</v>
      </c>
      <c r="I28" s="245">
        <f t="shared" si="4"/>
        <v>0.54831872348681543</v>
      </c>
      <c r="J28" s="156">
        <v>4906925.2</v>
      </c>
      <c r="K28" s="232">
        <f t="shared" si="5"/>
        <v>0.14327261723147117</v>
      </c>
      <c r="L28" s="210">
        <f t="shared" si="6"/>
        <v>300122.98999999929</v>
      </c>
      <c r="M28" s="245">
        <f t="shared" si="0"/>
        <v>6.1163147545024543</v>
      </c>
      <c r="BX28" s="140"/>
      <c r="BY28" s="140"/>
      <c r="BZ28" s="81"/>
    </row>
    <row r="29" spans="2:80" ht="15" customHeight="1">
      <c r="B29" s="80">
        <v>7124</v>
      </c>
      <c r="C29" s="97" t="str">
        <f>IF(MasterSheet!$A$1=1,MasterSheet!C85,MasterSheet!B85)</f>
        <v>Ostali doprinosi</v>
      </c>
      <c r="D29" s="155">
        <v>4907683.6800000006</v>
      </c>
      <c r="E29" s="232">
        <f t="shared" si="1"/>
        <v>0.13535676583158829</v>
      </c>
      <c r="F29" s="155">
        <v>5036494.3612018144</v>
      </c>
      <c r="G29" s="232">
        <f t="shared" si="2"/>
        <v>0.13890943922068522</v>
      </c>
      <c r="H29" s="210">
        <f t="shared" si="3"/>
        <v>-128810.68120181374</v>
      </c>
      <c r="I29" s="245">
        <f t="shared" si="4"/>
        <v>-2.5575464194717625</v>
      </c>
      <c r="J29" s="156">
        <v>4168364.26</v>
      </c>
      <c r="K29" s="232">
        <f t="shared" si="5"/>
        <v>0.12170808250843615</v>
      </c>
      <c r="L29" s="210">
        <f t="shared" si="6"/>
        <v>739319.42000000086</v>
      </c>
      <c r="M29" s="245">
        <f t="shared" si="0"/>
        <v>17.736439857105978</v>
      </c>
      <c r="BX29" s="81"/>
      <c r="BY29" s="81"/>
      <c r="BZ29" s="81"/>
    </row>
    <row r="30" spans="2:80" ht="15" customHeight="1">
      <c r="B30" s="80">
        <v>713</v>
      </c>
      <c r="C30" s="93" t="str">
        <f>IF(MasterSheet!$A$1=1,MasterSheet!C86,MasterSheet!B86)</f>
        <v>Takse</v>
      </c>
      <c r="D30" s="154">
        <v>5815314.2400000002</v>
      </c>
      <c r="E30" s="231">
        <f t="shared" si="1"/>
        <v>0.16038974374582771</v>
      </c>
      <c r="F30" s="154">
        <v>8693989.0000791997</v>
      </c>
      <c r="G30" s="231">
        <f t="shared" si="2"/>
        <v>0.23978526530180211</v>
      </c>
      <c r="H30" s="209">
        <f t="shared" si="3"/>
        <v>-2878674.7600791994</v>
      </c>
      <c r="I30" s="244">
        <f t="shared" si="4"/>
        <v>-33.111092733760941</v>
      </c>
      <c r="J30" s="154">
        <v>7975660.1100000003</v>
      </c>
      <c r="K30" s="231">
        <f t="shared" si="5"/>
        <v>0.23287367374345613</v>
      </c>
      <c r="L30" s="209">
        <f t="shared" si="6"/>
        <v>-2160345.87</v>
      </c>
      <c r="M30" s="244">
        <f t="shared" si="0"/>
        <v>-27.086734391944901</v>
      </c>
      <c r="BX30" s="81"/>
      <c r="BY30" s="81"/>
      <c r="BZ30" s="81"/>
    </row>
    <row r="31" spans="2:80" ht="15" customHeight="1">
      <c r="B31" s="80">
        <v>714</v>
      </c>
      <c r="C31" s="93" t="str">
        <f>IF(MasterSheet!$A$1=1,MasterSheet!C91,MasterSheet!B91)</f>
        <v>Naknade</v>
      </c>
      <c r="D31" s="154">
        <v>9264076.1600000001</v>
      </c>
      <c r="E31" s="231">
        <f t="shared" si="1"/>
        <v>0.25550860022729083</v>
      </c>
      <c r="F31" s="154">
        <v>5796315.8839892969</v>
      </c>
      <c r="G31" s="231">
        <f t="shared" si="2"/>
        <v>0.1598657580545319</v>
      </c>
      <c r="H31" s="209">
        <f t="shared" si="3"/>
        <v>3467760.2760107033</v>
      </c>
      <c r="I31" s="244">
        <f t="shared" si="4"/>
        <v>59.826971914857552</v>
      </c>
      <c r="J31" s="154">
        <v>6928035.2100000009</v>
      </c>
      <c r="K31" s="231">
        <f t="shared" si="5"/>
        <v>0.20228507595927589</v>
      </c>
      <c r="L31" s="209">
        <f t="shared" si="6"/>
        <v>2336040.9499999993</v>
      </c>
      <c r="M31" s="244">
        <f t="shared" si="0"/>
        <v>33.718664515851941</v>
      </c>
      <c r="BX31" s="140"/>
      <c r="BY31" s="140"/>
      <c r="BZ31" s="140"/>
    </row>
    <row r="32" spans="2:80" ht="15" customHeight="1">
      <c r="B32" s="80">
        <v>715</v>
      </c>
      <c r="C32" s="93" t="str">
        <f>IF(MasterSheet!$A$1=1,MasterSheet!C98,MasterSheet!B98)</f>
        <v>Ostali prihodi</v>
      </c>
      <c r="D32" s="154">
        <v>12294229.469999999</v>
      </c>
      <c r="E32" s="231">
        <f t="shared" si="1"/>
        <v>0.33908198815507223</v>
      </c>
      <c r="F32" s="154">
        <v>16699402.086089149</v>
      </c>
      <c r="G32" s="231">
        <f t="shared" si="2"/>
        <v>0.4605792070311886</v>
      </c>
      <c r="H32" s="209">
        <f t="shared" si="3"/>
        <v>-4405172.6160891503</v>
      </c>
      <c r="I32" s="244">
        <f t="shared" si="4"/>
        <v>-26.379223599620516</v>
      </c>
      <c r="J32" s="154">
        <v>13947022.140000001</v>
      </c>
      <c r="K32" s="231">
        <f t="shared" si="5"/>
        <v>0.40722576422870144</v>
      </c>
      <c r="L32" s="209">
        <f t="shared" si="6"/>
        <v>-1652792.6700000018</v>
      </c>
      <c r="M32" s="244">
        <f t="shared" si="0"/>
        <v>-11.850505817007345</v>
      </c>
      <c r="BX32" s="81"/>
      <c r="BY32" s="81"/>
      <c r="BZ32" s="81"/>
      <c r="CA32" s="81"/>
      <c r="CB32" s="81"/>
    </row>
    <row r="33" spans="1:81">
      <c r="B33" s="80">
        <v>73</v>
      </c>
      <c r="C33" s="101" t="str">
        <f>IF(MasterSheet!$A$1=1,MasterSheet!C103,MasterSheet!B103)</f>
        <v>Primici od otplate kredita i sredstva prenijeta iz prethodne godine</v>
      </c>
      <c r="D33" s="154">
        <v>4513522.91</v>
      </c>
      <c r="E33" s="231">
        <f t="shared" si="1"/>
        <v>0.12448558290219283</v>
      </c>
      <c r="F33" s="154">
        <v>1192465.2133551193</v>
      </c>
      <c r="G33" s="231">
        <f t="shared" si="2"/>
        <v>3.2888883059884542E-2</v>
      </c>
      <c r="H33" s="209">
        <f t="shared" si="3"/>
        <v>3321057.6966448808</v>
      </c>
      <c r="I33" s="244">
        <f t="shared" si="4"/>
        <v>278.50352861034457</v>
      </c>
      <c r="J33" s="154">
        <v>2022752.08</v>
      </c>
      <c r="K33" s="231">
        <f t="shared" si="5"/>
        <v>5.9060403959693974E-2</v>
      </c>
      <c r="L33" s="209">
        <f t="shared" si="6"/>
        <v>2490770.83</v>
      </c>
      <c r="M33" s="244">
        <f t="shared" si="0"/>
        <v>123.13772185071738</v>
      </c>
      <c r="BW33" s="100"/>
      <c r="BX33" s="100"/>
      <c r="BY33" s="99"/>
      <c r="BZ33" s="145"/>
      <c r="CA33" s="145"/>
      <c r="CB33" s="145"/>
      <c r="CC33" s="142"/>
    </row>
    <row r="34" spans="1:81" ht="13.5" customHeight="1" thickBot="1">
      <c r="B34" s="80">
        <v>74</v>
      </c>
      <c r="C34" s="93" t="s">
        <v>123</v>
      </c>
      <c r="D34" s="154">
        <v>2002675.55</v>
      </c>
      <c r="E34" s="231">
        <f t="shared" si="1"/>
        <v>5.5234954641167344E-2</v>
      </c>
      <c r="F34" s="154">
        <v>2448718.5571400626</v>
      </c>
      <c r="G34" s="231">
        <f t="shared" si="2"/>
        <v>6.7537079799379438E-2</v>
      </c>
      <c r="H34" s="209">
        <f t="shared" si="3"/>
        <v>-446043.00714006252</v>
      </c>
      <c r="I34" s="244">
        <f t="shared" si="4"/>
        <v>-18.215364352080158</v>
      </c>
      <c r="J34" s="154">
        <v>2125952.77</v>
      </c>
      <c r="K34" s="231">
        <f t="shared" si="5"/>
        <v>6.2073662233203764E-2</v>
      </c>
      <c r="L34" s="209">
        <f t="shared" si="6"/>
        <v>-123277.21999999997</v>
      </c>
      <c r="M34" s="244">
        <f t="shared" si="0"/>
        <v>-5.7986810309054988</v>
      </c>
      <c r="BX34" s="161"/>
      <c r="BY34" s="161"/>
      <c r="BZ34" s="145"/>
      <c r="CA34" s="145"/>
      <c r="CB34" s="145"/>
      <c r="CC34" s="142"/>
    </row>
    <row r="35" spans="1:81" ht="15" customHeight="1" thickTop="1" thickBot="1">
      <c r="B35" s="102"/>
      <c r="C35" s="90" t="s">
        <v>467</v>
      </c>
      <c r="D35" s="91">
        <f>+D37+D48+SUM(D54:D60)</f>
        <v>843394776.63000011</v>
      </c>
      <c r="E35" s="233">
        <f t="shared" si="1"/>
        <v>23.261317706582837</v>
      </c>
      <c r="F35" s="91">
        <f>+F37+F48+SUM(F54:F60)</f>
        <v>782484408.06000006</v>
      </c>
      <c r="G35" s="238">
        <f t="shared" si="2"/>
        <v>21.581374370209286</v>
      </c>
      <c r="H35" s="91">
        <f t="shared" si="3"/>
        <v>60910368.570000052</v>
      </c>
      <c r="I35" s="233">
        <f t="shared" si="4"/>
        <v>7.7842277676834613</v>
      </c>
      <c r="J35" s="91">
        <f>+J37+J48+SUM(J54:J59)</f>
        <v>653074423.18000007</v>
      </c>
      <c r="K35" s="233">
        <f t="shared" si="5"/>
        <v>19.068495655065615</v>
      </c>
      <c r="L35" s="91">
        <f t="shared" si="6"/>
        <v>190320353.45000005</v>
      </c>
      <c r="M35" s="233">
        <f t="shared" si="0"/>
        <v>29.142215143456042</v>
      </c>
      <c r="BX35" s="81"/>
      <c r="BY35" s="81"/>
      <c r="BZ35" s="145"/>
      <c r="CA35" s="145"/>
      <c r="CB35" s="145"/>
      <c r="CC35" s="142"/>
    </row>
    <row r="36" spans="1:81" ht="13.5" customHeight="1" thickTop="1" thickBot="1">
      <c r="C36" s="90" t="s">
        <v>63</v>
      </c>
      <c r="D36" s="91">
        <f>+D35-D55</f>
        <v>658282093.21000016</v>
      </c>
      <c r="E36" s="233">
        <f t="shared" si="1"/>
        <v>18.155802401216238</v>
      </c>
      <c r="F36" s="91">
        <f>+F35-F55</f>
        <v>640135869.56000006</v>
      </c>
      <c r="G36" s="238">
        <f t="shared" si="2"/>
        <v>17.655319015269757</v>
      </c>
      <c r="H36" s="91">
        <f t="shared" si="3"/>
        <v>18146223.650000095</v>
      </c>
      <c r="I36" s="233">
        <f t="shared" si="4"/>
        <v>2.8347456396206923</v>
      </c>
      <c r="J36" s="162">
        <f>+J35-J55</f>
        <v>629338738.21000004</v>
      </c>
      <c r="K36" s="233">
        <f t="shared" si="5"/>
        <v>18.375460084147679</v>
      </c>
      <c r="L36" s="91">
        <f t="shared" ref="L36:L72" si="7">+D36-J36</f>
        <v>28943355.000000119</v>
      </c>
      <c r="M36" s="233">
        <f t="shared" si="0"/>
        <v>4.599010555479623</v>
      </c>
      <c r="N36" s="220"/>
      <c r="BX36" s="161"/>
      <c r="BY36" s="161"/>
      <c r="BZ36" s="145"/>
      <c r="CA36" s="145"/>
      <c r="CB36" s="145"/>
      <c r="CC36" s="142"/>
    </row>
    <row r="37" spans="1:81" ht="13.5" customHeight="1" thickTop="1">
      <c r="A37" s="80">
        <v>41</v>
      </c>
      <c r="C37" s="93" t="s">
        <v>454</v>
      </c>
      <c r="D37" s="94">
        <f>+SUM(D38:D47)</f>
        <v>308058140.47000003</v>
      </c>
      <c r="E37" s="231">
        <f t="shared" si="1"/>
        <v>8.4964224063667277</v>
      </c>
      <c r="F37" s="94">
        <f>+SUM(F38:F47)</f>
        <v>315913177.03500003</v>
      </c>
      <c r="G37" s="239">
        <f t="shared" si="2"/>
        <v>8.7130688763216266</v>
      </c>
      <c r="H37" s="207">
        <f t="shared" si="3"/>
        <v>-7855036.5649999976</v>
      </c>
      <c r="I37" s="244">
        <f t="shared" si="4"/>
        <v>-2.4864542336357545</v>
      </c>
      <c r="J37" s="94">
        <f>+SUM(J38:J47)</f>
        <v>304033400.73000008</v>
      </c>
      <c r="K37" s="231">
        <f t="shared" si="5"/>
        <v>8.8771805709147102</v>
      </c>
      <c r="L37" s="207">
        <f t="shared" si="7"/>
        <v>4024739.7399999499</v>
      </c>
      <c r="M37" s="244">
        <f t="shared" si="0"/>
        <v>1.3237821010245341</v>
      </c>
      <c r="BX37" s="161"/>
      <c r="BY37" s="161"/>
      <c r="BZ37" s="145"/>
      <c r="CA37" s="145"/>
      <c r="CB37" s="145"/>
      <c r="CC37" s="142"/>
    </row>
    <row r="38" spans="1:81" ht="13.5" customHeight="1">
      <c r="B38" s="80">
        <v>411</v>
      </c>
      <c r="C38" s="93" t="s">
        <v>64</v>
      </c>
      <c r="D38" s="154">
        <v>186530368.15000001</v>
      </c>
      <c r="E38" s="231">
        <f t="shared" si="1"/>
        <v>5.1446158734826</v>
      </c>
      <c r="F38" s="154">
        <v>189681798.36500001</v>
      </c>
      <c r="G38" s="239">
        <f t="shared" si="2"/>
        <v>5.2315341488768992</v>
      </c>
      <c r="H38" s="209">
        <f t="shared" si="3"/>
        <v>-3151430.2150000036</v>
      </c>
      <c r="I38" s="244">
        <f t="shared" si="4"/>
        <v>-1.6614299538302504</v>
      </c>
      <c r="J38" s="154">
        <v>189240676.88000008</v>
      </c>
      <c r="K38" s="231">
        <f t="shared" si="5"/>
        <v>5.5254575845690015</v>
      </c>
      <c r="L38" s="209">
        <f t="shared" si="7"/>
        <v>-2710308.7300000787</v>
      </c>
      <c r="M38" s="244">
        <f t="shared" si="0"/>
        <v>-1.4322019846286622</v>
      </c>
      <c r="BX38" s="161"/>
      <c r="BY38" s="161"/>
      <c r="BZ38" s="145"/>
      <c r="CA38" s="145"/>
      <c r="CB38" s="145"/>
      <c r="CC38" s="142"/>
    </row>
    <row r="39" spans="1:81" ht="13.5" customHeight="1">
      <c r="B39" s="80">
        <v>412</v>
      </c>
      <c r="C39" s="93" t="s">
        <v>75</v>
      </c>
      <c r="D39" s="154">
        <v>6661976.5000000019</v>
      </c>
      <c r="E39" s="231">
        <f t="shared" si="1"/>
        <v>0.18374118054121294</v>
      </c>
      <c r="F39" s="154">
        <v>5809802.5099999988</v>
      </c>
      <c r="G39" s="239">
        <f t="shared" si="2"/>
        <v>0.16023772703171521</v>
      </c>
      <c r="H39" s="209">
        <f t="shared" si="3"/>
        <v>852173.99000000302</v>
      </c>
      <c r="I39" s="244">
        <f t="shared" si="4"/>
        <v>14.667865018358484</v>
      </c>
      <c r="J39" s="154">
        <v>4560264.3399999961</v>
      </c>
      <c r="K39" s="231">
        <f t="shared" si="5"/>
        <v>0.13315079823494089</v>
      </c>
      <c r="L39" s="209">
        <f t="shared" si="7"/>
        <v>2101712.1600000057</v>
      </c>
      <c r="M39" s="244">
        <f t="shared" si="0"/>
        <v>46.087507286913251</v>
      </c>
      <c r="BX39" s="161"/>
      <c r="BY39" s="161"/>
      <c r="BZ39" s="145"/>
      <c r="CA39" s="145"/>
      <c r="CB39" s="145"/>
      <c r="CC39" s="142"/>
    </row>
    <row r="40" spans="1:81" ht="13.5" customHeight="1">
      <c r="B40" s="80">
        <v>413</v>
      </c>
      <c r="C40" s="93" t="s">
        <v>429</v>
      </c>
      <c r="D40" s="154">
        <v>10255856.579999998</v>
      </c>
      <c r="E40" s="231">
        <f t="shared" si="1"/>
        <v>0.28286248014693022</v>
      </c>
      <c r="F40" s="154">
        <v>14703041.039999999</v>
      </c>
      <c r="G40" s="239">
        <f t="shared" si="2"/>
        <v>0.40551841007477313</v>
      </c>
      <c r="H40" s="209">
        <f t="shared" si="3"/>
        <v>-4447184.4600000009</v>
      </c>
      <c r="I40" s="244">
        <f t="shared" si="4"/>
        <v>-30.246698270795278</v>
      </c>
      <c r="J40" s="154">
        <v>11850017.23</v>
      </c>
      <c r="K40" s="231">
        <f t="shared" si="5"/>
        <v>0.34599732288157325</v>
      </c>
      <c r="L40" s="209">
        <f t="shared" si="7"/>
        <v>-1594160.6500000022</v>
      </c>
      <c r="M40" s="244">
        <f t="shared" si="0"/>
        <v>-13.452812928947964</v>
      </c>
      <c r="BX40" s="161"/>
      <c r="BY40" s="161"/>
      <c r="BZ40" s="145"/>
      <c r="CA40" s="145"/>
      <c r="CB40" s="145"/>
      <c r="CC40" s="142"/>
    </row>
    <row r="41" spans="1:81" ht="13.5" customHeight="1">
      <c r="B41" s="80">
        <v>414</v>
      </c>
      <c r="C41" s="93" t="s">
        <v>430</v>
      </c>
      <c r="D41" s="154">
        <v>19917971.790000029</v>
      </c>
      <c r="E41" s="231">
        <f t="shared" si="1"/>
        <v>0.54934922851817025</v>
      </c>
      <c r="F41" s="154">
        <v>20765286.759999998</v>
      </c>
      <c r="G41" s="239">
        <f t="shared" si="2"/>
        <v>0.57271866743438926</v>
      </c>
      <c r="H41" s="209">
        <f t="shared" si="3"/>
        <v>-847314.96999996901</v>
      </c>
      <c r="I41" s="244">
        <f t="shared" si="4"/>
        <v>-4.0804395325382359</v>
      </c>
      <c r="J41" s="154">
        <v>20243075.700000018</v>
      </c>
      <c r="K41" s="231">
        <f t="shared" si="5"/>
        <v>0.59105821224945465</v>
      </c>
      <c r="L41" s="209">
        <f t="shared" si="7"/>
        <v>-325103.90999998897</v>
      </c>
      <c r="M41" s="244">
        <f t="shared" si="0"/>
        <v>-1.6060005644299906</v>
      </c>
      <c r="BX41" s="161"/>
      <c r="BY41" s="161"/>
      <c r="BZ41" s="145"/>
      <c r="CA41" s="145"/>
      <c r="CB41" s="145"/>
      <c r="CC41" s="142"/>
    </row>
    <row r="42" spans="1:81" ht="13.5" customHeight="1">
      <c r="B42" s="80">
        <v>415</v>
      </c>
      <c r="C42" s="93" t="s">
        <v>431</v>
      </c>
      <c r="D42" s="154">
        <v>8082984.9999999991</v>
      </c>
      <c r="E42" s="231">
        <f t="shared" si="1"/>
        <v>0.22293342016395817</v>
      </c>
      <c r="F42" s="154">
        <v>10405610.665000003</v>
      </c>
      <c r="G42" s="239">
        <f t="shared" si="2"/>
        <v>0.28699278477480905</v>
      </c>
      <c r="H42" s="209">
        <f t="shared" si="3"/>
        <v>-2322625.6650000038</v>
      </c>
      <c r="I42" s="244">
        <f t="shared" si="4"/>
        <v>-22.320897252213328</v>
      </c>
      <c r="J42" s="154">
        <v>8122816.4199999999</v>
      </c>
      <c r="K42" s="231">
        <f t="shared" si="5"/>
        <v>0.23717035013783558</v>
      </c>
      <c r="L42" s="209">
        <f t="shared" si="7"/>
        <v>-39831.420000000857</v>
      </c>
      <c r="M42" s="244">
        <f t="shared" si="0"/>
        <v>-0.49036464620729703</v>
      </c>
      <c r="BX42" s="161"/>
      <c r="BY42" s="161"/>
      <c r="BZ42" s="145"/>
      <c r="CA42" s="145"/>
      <c r="CB42" s="145"/>
      <c r="CC42" s="142"/>
    </row>
    <row r="43" spans="1:81" ht="13.5" customHeight="1">
      <c r="B43" s="80">
        <v>416</v>
      </c>
      <c r="C43" s="93" t="s">
        <v>80</v>
      </c>
      <c r="D43" s="154">
        <v>49582179.200000003</v>
      </c>
      <c r="E43" s="231">
        <f t="shared" si="1"/>
        <v>1.3675052951648763</v>
      </c>
      <c r="F43" s="154">
        <v>37882941.984999999</v>
      </c>
      <c r="G43" s="239">
        <f t="shared" si="2"/>
        <v>1.0448335389201955</v>
      </c>
      <c r="H43" s="209">
        <f t="shared" si="3"/>
        <v>11699237.215000004</v>
      </c>
      <c r="I43" s="244">
        <f t="shared" si="4"/>
        <v>30.882599402212207</v>
      </c>
      <c r="J43" s="154">
        <v>43044839.350000001</v>
      </c>
      <c r="K43" s="231">
        <f t="shared" si="5"/>
        <v>1.2568251074996453</v>
      </c>
      <c r="L43" s="209">
        <f t="shared" si="7"/>
        <v>6537339.8500000015</v>
      </c>
      <c r="M43" s="244">
        <f t="shared" si="0"/>
        <v>15.187279006536713</v>
      </c>
      <c r="BX43" s="161"/>
      <c r="BY43" s="161"/>
      <c r="BZ43" s="145"/>
      <c r="CA43" s="145"/>
      <c r="CB43" s="145"/>
      <c r="CC43" s="142"/>
    </row>
    <row r="44" spans="1:81" ht="13.5" customHeight="1">
      <c r="B44" s="80">
        <v>417</v>
      </c>
      <c r="C44" s="93" t="s">
        <v>82</v>
      </c>
      <c r="D44" s="154">
        <v>4401810.8499999996</v>
      </c>
      <c r="E44" s="231">
        <f t="shared" si="1"/>
        <v>0.12140449941516901</v>
      </c>
      <c r="F44" s="154">
        <v>4163980.2449999996</v>
      </c>
      <c r="G44" s="239">
        <f t="shared" si="2"/>
        <v>0.1148449932188426</v>
      </c>
      <c r="H44" s="209">
        <f t="shared" si="3"/>
        <v>237830.60499999998</v>
      </c>
      <c r="I44" s="244">
        <f t="shared" si="4"/>
        <v>5.7116170348209749</v>
      </c>
      <c r="J44" s="154">
        <v>4351962.71</v>
      </c>
      <c r="K44" s="231">
        <f t="shared" si="5"/>
        <v>0.12706879810506708</v>
      </c>
      <c r="L44" s="209">
        <f t="shared" si="7"/>
        <v>49848.139999999665</v>
      </c>
      <c r="M44" s="244">
        <f t="shared" si="0"/>
        <v>1.1454174431563473</v>
      </c>
      <c r="BX44" s="161"/>
      <c r="BY44" s="161"/>
      <c r="BZ44" s="145"/>
      <c r="CA44" s="145"/>
      <c r="CB44" s="145"/>
      <c r="CC44" s="142"/>
    </row>
    <row r="45" spans="1:81" ht="13.5" customHeight="1">
      <c r="B45" s="80">
        <v>418</v>
      </c>
      <c r="C45" s="93" t="s">
        <v>84</v>
      </c>
      <c r="D45" s="154">
        <v>6195820.5800000001</v>
      </c>
      <c r="E45" s="231">
        <f t="shared" si="1"/>
        <v>0.17088432956656965</v>
      </c>
      <c r="F45" s="154">
        <v>10625800</v>
      </c>
      <c r="G45" s="239">
        <f t="shared" si="2"/>
        <v>0.29306573450008711</v>
      </c>
      <c r="H45" s="209">
        <f t="shared" si="3"/>
        <v>-4429979.42</v>
      </c>
      <c r="I45" s="244">
        <f t="shared" si="4"/>
        <v>-41.69078488207947</v>
      </c>
      <c r="J45" s="154">
        <v>10060417.040000001</v>
      </c>
      <c r="K45" s="231">
        <f t="shared" si="5"/>
        <v>0.29374449803328778</v>
      </c>
      <c r="L45" s="209">
        <f t="shared" si="7"/>
        <v>-3864596.4600000009</v>
      </c>
      <c r="M45" s="244">
        <f t="shared" si="0"/>
        <v>-38.413879311706943</v>
      </c>
      <c r="BX45" s="161"/>
      <c r="BY45" s="161"/>
      <c r="BZ45" s="145"/>
      <c r="CA45" s="145"/>
      <c r="CB45" s="145"/>
      <c r="CC45" s="142"/>
    </row>
    <row r="46" spans="1:81" ht="13.5" customHeight="1">
      <c r="B46" s="80">
        <v>419</v>
      </c>
      <c r="C46" s="93" t="s">
        <v>86</v>
      </c>
      <c r="D46" s="154">
        <v>11704937.169999996</v>
      </c>
      <c r="E46" s="231">
        <f t="shared" si="1"/>
        <v>0.32282896431359714</v>
      </c>
      <c r="F46" s="154">
        <v>14949976.859999996</v>
      </c>
      <c r="G46" s="239">
        <f t="shared" si="2"/>
        <v>0.41232904338828186</v>
      </c>
      <c r="H46" s="209">
        <f t="shared" si="3"/>
        <v>-3245039.6899999995</v>
      </c>
      <c r="I46" s="244">
        <f t="shared" si="4"/>
        <v>-21.705984700768298</v>
      </c>
      <c r="J46" s="154">
        <v>9603526.7500000019</v>
      </c>
      <c r="K46" s="231">
        <f>+J45/$J$11*100</f>
        <v>0.29374449803328778</v>
      </c>
      <c r="L46" s="209">
        <f t="shared" si="7"/>
        <v>2101410.4199999943</v>
      </c>
      <c r="M46" s="244">
        <f t="shared" si="0"/>
        <v>21.881653216616442</v>
      </c>
      <c r="BX46" s="161"/>
      <c r="BY46" s="161"/>
      <c r="BZ46" s="145"/>
      <c r="CA46" s="145"/>
      <c r="CB46" s="145"/>
      <c r="CC46" s="142"/>
    </row>
    <row r="47" spans="1:81" ht="13.5" customHeight="1">
      <c r="B47" s="80">
        <v>441</v>
      </c>
      <c r="C47" s="93" t="s">
        <v>130</v>
      </c>
      <c r="D47" s="154">
        <v>4724234.6500000022</v>
      </c>
      <c r="E47" s="234">
        <f t="shared" si="1"/>
        <v>0.13029713505364421</v>
      </c>
      <c r="F47" s="154">
        <v>6924938.6049999986</v>
      </c>
      <c r="G47" s="239">
        <f t="shared" si="2"/>
        <v>0.19099382810163312</v>
      </c>
      <c r="H47" s="209">
        <f t="shared" si="3"/>
        <v>-2200703.9549999963</v>
      </c>
      <c r="I47" s="246">
        <f t="shared" si="4"/>
        <v>-31.779400230509296</v>
      </c>
      <c r="J47" s="154">
        <v>2955804.3099999996</v>
      </c>
      <c r="K47" s="234">
        <f>+J46/$J$11*100</f>
        <v>0.28040419530441274</v>
      </c>
      <c r="L47" s="209">
        <f t="shared" si="7"/>
        <v>1768430.3400000026</v>
      </c>
      <c r="M47" s="246">
        <f t="shared" si="0"/>
        <v>59.829073731880527</v>
      </c>
      <c r="BX47" s="161"/>
      <c r="BY47" s="161"/>
      <c r="BZ47" s="145"/>
      <c r="CA47" s="145"/>
      <c r="CB47" s="145"/>
      <c r="CC47" s="142"/>
    </row>
    <row r="48" spans="1:81" ht="13.5" customHeight="1">
      <c r="A48" s="80">
        <v>42</v>
      </c>
      <c r="B48" s="80" t="s">
        <v>428</v>
      </c>
      <c r="C48" s="93" t="s">
        <v>87</v>
      </c>
      <c r="D48" s="154">
        <f>+SUM(D49:D53)</f>
        <v>243182408.63000005</v>
      </c>
      <c r="E48" s="231">
        <f t="shared" si="1"/>
        <v>6.7071120482835447</v>
      </c>
      <c r="F48" s="154">
        <f>+SUM(F49:F53)</f>
        <v>252422762.5</v>
      </c>
      <c r="G48" s="239">
        <f t="shared" si="2"/>
        <v>6.9619663739768818</v>
      </c>
      <c r="H48" s="207">
        <f t="shared" si="3"/>
        <v>-9240353.8699999452</v>
      </c>
      <c r="I48" s="244">
        <f t="shared" si="4"/>
        <v>-3.6606658521930768</v>
      </c>
      <c r="J48" s="154">
        <f>+SUM(J49:J53)</f>
        <v>244207617.61999997</v>
      </c>
      <c r="K48" s="231">
        <f t="shared" si="5"/>
        <v>7.1303847314158633</v>
      </c>
      <c r="L48" s="207">
        <f t="shared" si="7"/>
        <v>-1025208.9899999201</v>
      </c>
      <c r="M48" s="244">
        <f t="shared" si="0"/>
        <v>-0.41981040558496829</v>
      </c>
      <c r="BX48" s="161"/>
      <c r="BY48" s="161"/>
      <c r="BZ48" s="145"/>
      <c r="CA48" s="145"/>
      <c r="CB48" s="145"/>
      <c r="CC48" s="142"/>
    </row>
    <row r="49" spans="1:81" ht="13.5" customHeight="1">
      <c r="B49" s="80">
        <v>421</v>
      </c>
      <c r="C49" s="97" t="s">
        <v>89</v>
      </c>
      <c r="D49" s="156">
        <v>30051051.169999994</v>
      </c>
      <c r="E49" s="232">
        <f t="shared" si="1"/>
        <v>0.82882544219124688</v>
      </c>
      <c r="F49" s="156">
        <v>30265312.5</v>
      </c>
      <c r="G49" s="240">
        <f t="shared" si="2"/>
        <v>0.83473489409617796</v>
      </c>
      <c r="H49" s="210">
        <f t="shared" si="3"/>
        <v>-214261.33000000566</v>
      </c>
      <c r="I49" s="245">
        <f t="shared" si="4"/>
        <v>-0.70794355749673343</v>
      </c>
      <c r="J49" s="156">
        <v>30529146.619999997</v>
      </c>
      <c r="K49" s="232">
        <f t="shared" si="5"/>
        <v>0.89139136216927062</v>
      </c>
      <c r="L49" s="210">
        <f t="shared" si="7"/>
        <v>-478095.45000000298</v>
      </c>
      <c r="M49" s="245">
        <f t="shared" si="0"/>
        <v>-1.5660295256559777</v>
      </c>
      <c r="BX49" s="161"/>
      <c r="BY49" s="161"/>
      <c r="BZ49" s="145"/>
      <c r="CA49" s="145"/>
      <c r="CB49" s="145"/>
      <c r="CC49" s="142"/>
    </row>
    <row r="50" spans="1:81" ht="13.5" customHeight="1">
      <c r="B50" s="80">
        <v>422</v>
      </c>
      <c r="C50" s="97" t="s">
        <v>91</v>
      </c>
      <c r="D50" s="156">
        <v>9141831.6400000006</v>
      </c>
      <c r="E50" s="232">
        <f t="shared" si="1"/>
        <v>0.25213702537717031</v>
      </c>
      <c r="F50" s="156">
        <v>9720000</v>
      </c>
      <c r="G50" s="240">
        <f t="shared" si="2"/>
        <v>0.26808324449367077</v>
      </c>
      <c r="H50" s="210">
        <f t="shared" si="3"/>
        <v>-578168.3599999994</v>
      </c>
      <c r="I50" s="245">
        <f t="shared" si="4"/>
        <v>-5.9482341563785894</v>
      </c>
      <c r="J50" s="156">
        <v>10029579.359999999</v>
      </c>
      <c r="K50" s="232">
        <f t="shared" si="5"/>
        <v>0.29284409809995543</v>
      </c>
      <c r="L50" s="210">
        <f t="shared" si="7"/>
        <v>-887747.71999999881</v>
      </c>
      <c r="M50" s="245">
        <f t="shared" si="0"/>
        <v>-8.8512956339975517</v>
      </c>
      <c r="BX50" s="161"/>
      <c r="BY50" s="161"/>
      <c r="BZ50" s="145"/>
      <c r="CA50" s="145"/>
      <c r="CB50" s="145"/>
      <c r="CC50" s="142"/>
    </row>
    <row r="51" spans="1:81" ht="13.5" customHeight="1">
      <c r="B51" s="80">
        <v>423</v>
      </c>
      <c r="C51" s="97" t="s">
        <v>93</v>
      </c>
      <c r="D51" s="156">
        <v>192764290.84000003</v>
      </c>
      <c r="E51" s="232">
        <f t="shared" si="1"/>
        <v>5.3165510813692167</v>
      </c>
      <c r="F51" s="156">
        <v>201227450</v>
      </c>
      <c r="G51" s="240">
        <f t="shared" si="2"/>
        <v>5.5499699256366162</v>
      </c>
      <c r="H51" s="210">
        <f t="shared" si="3"/>
        <v>-8463159.1599999666</v>
      </c>
      <c r="I51" s="245">
        <f t="shared" si="4"/>
        <v>-4.205767731986839</v>
      </c>
      <c r="J51" s="156">
        <v>192700401.41999999</v>
      </c>
      <c r="K51" s="232">
        <f t="shared" si="5"/>
        <v>5.6264747734484519</v>
      </c>
      <c r="L51" s="210">
        <f t="shared" si="7"/>
        <v>63889.420000046492</v>
      </c>
      <c r="M51" s="245">
        <f t="shared" si="0"/>
        <v>3.3154793414681194E-2</v>
      </c>
      <c r="BX51" s="161"/>
      <c r="BY51" s="161"/>
      <c r="BZ51" s="145"/>
      <c r="CA51" s="145"/>
      <c r="CB51" s="145"/>
      <c r="CC51" s="142"/>
    </row>
    <row r="52" spans="1:81" ht="13.5" customHeight="1">
      <c r="B52" s="80">
        <v>424</v>
      </c>
      <c r="C52" s="97" t="s">
        <v>95</v>
      </c>
      <c r="D52" s="156">
        <v>7334639.5800000001</v>
      </c>
      <c r="E52" s="232">
        <f t="shared" si="1"/>
        <v>0.20229361890926903</v>
      </c>
      <c r="F52" s="156">
        <v>7500000</v>
      </c>
      <c r="G52" s="240">
        <f t="shared" si="2"/>
        <v>0.20685435531919041</v>
      </c>
      <c r="H52" s="210">
        <f t="shared" si="3"/>
        <v>-165360.41999999993</v>
      </c>
      <c r="I52" s="245">
        <f t="shared" si="4"/>
        <v>-2.2048056000000003</v>
      </c>
      <c r="J52" s="156">
        <v>7335536.0099999998</v>
      </c>
      <c r="K52" s="232">
        <f t="shared" si="5"/>
        <v>0.21418330219266501</v>
      </c>
      <c r="L52" s="210">
        <f t="shared" si="7"/>
        <v>-896.42999999970198</v>
      </c>
      <c r="M52" s="245">
        <f t="shared" si="0"/>
        <v>-1.2220374881650287E-2</v>
      </c>
      <c r="BX52" s="161"/>
      <c r="BY52" s="161"/>
      <c r="BZ52" s="145"/>
      <c r="CA52" s="145"/>
      <c r="CB52" s="145"/>
      <c r="CC52" s="142"/>
    </row>
    <row r="53" spans="1:81" ht="13.5" customHeight="1">
      <c r="B53" s="80">
        <v>425</v>
      </c>
      <c r="C53" s="97" t="s">
        <v>432</v>
      </c>
      <c r="D53" s="156">
        <v>3890595.3999999994</v>
      </c>
      <c r="E53" s="232">
        <f t="shared" si="1"/>
        <v>0.10730488043664101</v>
      </c>
      <c r="F53" s="156">
        <v>3709999.9999999991</v>
      </c>
      <c r="G53" s="240">
        <f t="shared" si="2"/>
        <v>0.10232395443122617</v>
      </c>
      <c r="H53" s="210">
        <f t="shared" si="3"/>
        <v>180595.40000000037</v>
      </c>
      <c r="I53" s="245">
        <f t="shared" si="4"/>
        <v>4.867800539083575</v>
      </c>
      <c r="J53" s="156">
        <v>3612954.2099999995</v>
      </c>
      <c r="K53" s="232">
        <f t="shared" si="5"/>
        <v>0.10549119550551987</v>
      </c>
      <c r="L53" s="210">
        <f t="shared" si="7"/>
        <v>277641.18999999994</v>
      </c>
      <c r="M53" s="245">
        <f t="shared" si="0"/>
        <v>7.684603066142941</v>
      </c>
      <c r="BX53" s="161"/>
      <c r="BY53" s="161"/>
      <c r="BZ53" s="145"/>
      <c r="CA53" s="145"/>
      <c r="CB53" s="145"/>
      <c r="CC53" s="142"/>
    </row>
    <row r="54" spans="1:81" ht="13.5" customHeight="1" thickBot="1">
      <c r="A54" s="80">
        <v>43</v>
      </c>
      <c r="B54" s="80">
        <v>431</v>
      </c>
      <c r="C54" s="93" t="s">
        <v>433</v>
      </c>
      <c r="D54" s="154">
        <v>60654905.980000019</v>
      </c>
      <c r="E54" s="231">
        <f t="shared" si="1"/>
        <v>1.6728975297918682</v>
      </c>
      <c r="F54" s="154">
        <v>64147348.310000002</v>
      </c>
      <c r="G54" s="239">
        <f t="shared" si="2"/>
        <v>1.769221117346748</v>
      </c>
      <c r="H54" s="207">
        <f t="shared" si="3"/>
        <v>-3492442.3299999833</v>
      </c>
      <c r="I54" s="244">
        <f t="shared" si="4"/>
        <v>-5.4444063893683108</v>
      </c>
      <c r="J54" s="154">
        <v>45811049.400000013</v>
      </c>
      <c r="K54" s="231">
        <f t="shared" si="5"/>
        <v>1.3375930298791223</v>
      </c>
      <c r="L54" s="207">
        <f t="shared" si="7"/>
        <v>14843856.580000006</v>
      </c>
      <c r="M54" s="244">
        <f t="shared" si="0"/>
        <v>32.4023500321737</v>
      </c>
      <c r="BX54" s="161"/>
      <c r="BY54" s="161"/>
      <c r="BZ54" s="145"/>
      <c r="CA54" s="145"/>
      <c r="CB54" s="145"/>
      <c r="CC54" s="142"/>
    </row>
    <row r="55" spans="1:81" ht="13.5" customHeight="1" thickTop="1" thickBot="1">
      <c r="B55" s="80">
        <v>44</v>
      </c>
      <c r="C55" s="90" t="s">
        <v>131</v>
      </c>
      <c r="D55" s="162">
        <v>185112683.41999996</v>
      </c>
      <c r="E55" s="233">
        <f t="shared" si="1"/>
        <v>5.1055153053665974</v>
      </c>
      <c r="F55" s="162">
        <v>142348538.5</v>
      </c>
      <c r="G55" s="238">
        <f t="shared" si="2"/>
        <v>3.9260553549395274</v>
      </c>
      <c r="H55" s="162">
        <f t="shared" si="3"/>
        <v>42764144.919999957</v>
      </c>
      <c r="I55" s="233">
        <f t="shared" si="4"/>
        <v>30.041857380924199</v>
      </c>
      <c r="J55" s="162">
        <v>23735684.969999999</v>
      </c>
      <c r="K55" s="233">
        <f t="shared" si="5"/>
        <v>0.69303557091793311</v>
      </c>
      <c r="L55" s="162">
        <f>+D55-J55</f>
        <v>161376998.44999996</v>
      </c>
      <c r="M55" s="233">
        <f t="shared" si="0"/>
        <v>679.89189548971331</v>
      </c>
      <c r="BX55" s="161"/>
      <c r="BY55" s="161"/>
      <c r="BZ55" s="145"/>
      <c r="CA55" s="145"/>
      <c r="CB55" s="145"/>
      <c r="CC55" s="142"/>
    </row>
    <row r="56" spans="1:81" ht="13.5" customHeight="1" thickTop="1">
      <c r="B56" s="80">
        <v>451</v>
      </c>
      <c r="C56" s="93" t="s">
        <v>111</v>
      </c>
      <c r="D56" s="154">
        <v>902823.12</v>
      </c>
      <c r="E56" s="231">
        <f t="shared" si="1"/>
        <v>2.4900385927314674E-2</v>
      </c>
      <c r="F56" s="154">
        <v>1125000</v>
      </c>
      <c r="G56" s="239">
        <f t="shared" si="2"/>
        <v>3.1028153297878558E-2</v>
      </c>
      <c r="H56" s="209">
        <f t="shared" si="3"/>
        <v>-222176.88</v>
      </c>
      <c r="I56" s="244">
        <f t="shared" si="4"/>
        <v>-19.749055999999996</v>
      </c>
      <c r="J56" s="154">
        <v>1238026.46</v>
      </c>
      <c r="K56" s="231">
        <f t="shared" si="5"/>
        <v>3.614795088500905E-2</v>
      </c>
      <c r="L56" s="154">
        <f t="shared" si="7"/>
        <v>-335203.33999999997</v>
      </c>
      <c r="M56" s="244">
        <f t="shared" si="0"/>
        <v>-27.075620015423567</v>
      </c>
      <c r="BX56" s="161"/>
      <c r="BY56" s="161"/>
      <c r="BZ56" s="145"/>
      <c r="CA56" s="145"/>
      <c r="CB56" s="145"/>
      <c r="CC56" s="142"/>
    </row>
    <row r="57" spans="1:81" ht="13.5" customHeight="1" thickBot="1">
      <c r="B57" s="80">
        <v>47</v>
      </c>
      <c r="C57" s="93" t="s">
        <v>118</v>
      </c>
      <c r="D57" s="154">
        <v>6068846.5500000007</v>
      </c>
      <c r="E57" s="231">
        <f t="shared" si="1"/>
        <v>0.16738231208417906</v>
      </c>
      <c r="F57" s="154">
        <v>6527581.7150000008</v>
      </c>
      <c r="G57" s="239">
        <f t="shared" si="2"/>
        <v>0.18003449432662139</v>
      </c>
      <c r="H57" s="209">
        <f t="shared" si="3"/>
        <v>-458735.16500000004</v>
      </c>
      <c r="I57" s="244">
        <f t="shared" si="4"/>
        <v>-7.0276433912095371</v>
      </c>
      <c r="J57" s="154">
        <v>5152559.2899999991</v>
      </c>
      <c r="K57" s="231">
        <f t="shared" si="5"/>
        <v>0.15044465216601033</v>
      </c>
      <c r="L57" s="154">
        <f t="shared" si="7"/>
        <v>916287.26000000164</v>
      </c>
      <c r="M57" s="244">
        <f t="shared" si="0"/>
        <v>17.783148304150842</v>
      </c>
      <c r="BX57" s="161"/>
      <c r="BY57" s="161"/>
      <c r="BZ57" s="145"/>
      <c r="CA57" s="145"/>
      <c r="CB57" s="145"/>
      <c r="CC57" s="142"/>
    </row>
    <row r="58" spans="1:81" ht="13.5" customHeight="1" thickTop="1" thickBot="1">
      <c r="B58" s="80">
        <v>462</v>
      </c>
      <c r="C58" s="148" t="s">
        <v>113</v>
      </c>
      <c r="D58" s="163">
        <v>0</v>
      </c>
      <c r="E58" s="235">
        <f t="shared" si="1"/>
        <v>0</v>
      </c>
      <c r="F58" s="163">
        <v>0</v>
      </c>
      <c r="G58" s="241">
        <f t="shared" si="2"/>
        <v>0</v>
      </c>
      <c r="H58" s="211">
        <f t="shared" si="3"/>
        <v>0</v>
      </c>
      <c r="I58" s="247" t="str">
        <f t="shared" si="4"/>
        <v>...</v>
      </c>
      <c r="J58" s="163">
        <v>9682767.0700000003</v>
      </c>
      <c r="K58" s="235">
        <f t="shared" si="5"/>
        <v>0.28271785764364282</v>
      </c>
      <c r="L58" s="163">
        <f t="shared" si="7"/>
        <v>-9682767.0700000003</v>
      </c>
      <c r="M58" s="247">
        <f>+IF(ISNUMBER(D58/J58*100-100),D58/J58*100-100,"...")</f>
        <v>-100</v>
      </c>
      <c r="BX58" s="161"/>
      <c r="BY58" s="161"/>
      <c r="BZ58" s="145"/>
      <c r="CA58" s="145"/>
      <c r="CB58" s="145"/>
      <c r="CC58" s="142"/>
    </row>
    <row r="59" spans="1:81" ht="13.5" customHeight="1" thickTop="1" thickBot="1">
      <c r="B59" s="80" t="s">
        <v>456</v>
      </c>
      <c r="C59" s="217" t="s">
        <v>455</v>
      </c>
      <c r="D59" s="218">
        <v>39414968.460000008</v>
      </c>
      <c r="E59" s="236">
        <f t="shared" si="1"/>
        <v>1.0870877187626033</v>
      </c>
      <c r="F59" s="218">
        <v>0</v>
      </c>
      <c r="G59" s="242">
        <f t="shared" si="2"/>
        <v>0</v>
      </c>
      <c r="H59" s="219">
        <f>+D59-F59</f>
        <v>39414968.460000008</v>
      </c>
      <c r="I59" s="248" t="str">
        <f>+IF(ISNUMBER(D59/F59*100-100),D59/F59*100-100,"...")</f>
        <v>...</v>
      </c>
      <c r="J59" s="218">
        <v>19213317.640000001</v>
      </c>
      <c r="K59" s="236">
        <f>+J59/$J$11*100</f>
        <v>0.56099129124332137</v>
      </c>
      <c r="L59" s="219">
        <f>+D59-J59</f>
        <v>20201650.820000008</v>
      </c>
      <c r="M59" s="247">
        <f t="shared" ref="M59:M72" si="8">+IF(ISNUMBER(H59/J59*100-100),H59/J59*100-100,"...")</f>
        <v>105.14400062768132</v>
      </c>
      <c r="BX59" s="161"/>
      <c r="BY59" s="161"/>
      <c r="BZ59" s="145"/>
      <c r="CA59" s="145"/>
      <c r="CB59" s="145"/>
      <c r="CC59" s="142"/>
    </row>
    <row r="60" spans="1:81" ht="13.5" customHeight="1" thickTop="1" thickBot="1">
      <c r="B60" s="80">
        <v>990</v>
      </c>
      <c r="C60" s="201" t="s">
        <v>152</v>
      </c>
      <c r="D60" s="154">
        <v>0</v>
      </c>
      <c r="E60" s="231">
        <f t="shared" si="1"/>
        <v>0</v>
      </c>
      <c r="F60" s="154">
        <v>0</v>
      </c>
      <c r="G60" s="239">
        <f t="shared" si="2"/>
        <v>0</v>
      </c>
      <c r="H60" s="209">
        <f t="shared" si="3"/>
        <v>0</v>
      </c>
      <c r="I60" s="249" t="str">
        <f t="shared" si="4"/>
        <v>...</v>
      </c>
      <c r="J60" s="154">
        <v>0</v>
      </c>
      <c r="K60" s="231">
        <f t="shared" si="5"/>
        <v>0</v>
      </c>
      <c r="L60" s="154">
        <f t="shared" si="7"/>
        <v>0</v>
      </c>
      <c r="M60" s="247" t="str">
        <f t="shared" si="8"/>
        <v>...</v>
      </c>
      <c r="BX60" s="161"/>
      <c r="BY60" s="161"/>
      <c r="BZ60" s="145"/>
      <c r="CA60" s="145"/>
      <c r="CB60" s="145"/>
      <c r="CC60" s="142"/>
    </row>
    <row r="61" spans="1:81" ht="13.5" customHeight="1" thickTop="1" thickBot="1">
      <c r="C61" s="90" t="s">
        <v>451</v>
      </c>
      <c r="D61" s="91">
        <f>+D16-D35</f>
        <v>-255476507.83000004</v>
      </c>
      <c r="E61" s="233">
        <f t="shared" si="1"/>
        <v>-7.0461904435163678</v>
      </c>
      <c r="F61" s="91">
        <f>+F16-F35</f>
        <v>-203162389.53796673</v>
      </c>
      <c r="G61" s="238">
        <f t="shared" si="2"/>
        <v>-5.6033366817309789</v>
      </c>
      <c r="H61" s="91">
        <f t="shared" si="3"/>
        <v>-52314118.292033315</v>
      </c>
      <c r="I61" s="233">
        <f t="shared" si="4"/>
        <v>25.749903026345791</v>
      </c>
      <c r="J61" s="91">
        <f>+J16-J35-J60</f>
        <v>-78355873.900000095</v>
      </c>
      <c r="K61" s="233">
        <f t="shared" si="5"/>
        <v>-2.2878382432061803</v>
      </c>
      <c r="L61" s="91">
        <f t="shared" si="7"/>
        <v>-177120633.92999995</v>
      </c>
      <c r="M61" s="233">
        <f t="shared" si="8"/>
        <v>-33.235230891817992</v>
      </c>
      <c r="BX61" s="161"/>
      <c r="BY61" s="161"/>
      <c r="BZ61" s="145"/>
      <c r="CA61" s="145"/>
      <c r="CB61" s="145"/>
      <c r="CC61" s="142"/>
    </row>
    <row r="62" spans="1:81" ht="13.5" customHeight="1" thickTop="1" thickBot="1">
      <c r="C62" s="90" t="s">
        <v>458</v>
      </c>
      <c r="D62" s="91">
        <f>+D61+D43</f>
        <v>-205894328.63000005</v>
      </c>
      <c r="E62" s="233">
        <f t="shared" si="1"/>
        <v>-5.6786851483514926</v>
      </c>
      <c r="F62" s="91">
        <f>+F61+F43</f>
        <v>-165279447.55296671</v>
      </c>
      <c r="G62" s="238">
        <f t="shared" si="2"/>
        <v>-4.5585031428107836</v>
      </c>
      <c r="H62" s="91">
        <f t="shared" si="3"/>
        <v>-40614881.077033341</v>
      </c>
      <c r="I62" s="233">
        <f t="shared" si="4"/>
        <v>24.573461297429361</v>
      </c>
      <c r="J62" s="91">
        <f>+J61+J43</f>
        <v>-35311034.550000094</v>
      </c>
      <c r="K62" s="233">
        <f t="shared" si="5"/>
        <v>-1.0310131357065351</v>
      </c>
      <c r="L62" s="91">
        <f t="shared" si="7"/>
        <v>-170583294.07999995</v>
      </c>
      <c r="M62" s="233">
        <f t="shared" si="8"/>
        <v>15.020365714640988</v>
      </c>
      <c r="BX62" s="161"/>
      <c r="BY62" s="161"/>
      <c r="BZ62" s="145"/>
      <c r="CA62" s="145"/>
      <c r="CB62" s="145"/>
      <c r="CC62" s="142"/>
    </row>
    <row r="63" spans="1:81" ht="13.5" customHeight="1" thickTop="1" thickBot="1">
      <c r="C63" s="90" t="s">
        <v>459</v>
      </c>
      <c r="D63" s="91">
        <f>+SUM(D64:D66)</f>
        <v>129572829.08000001</v>
      </c>
      <c r="E63" s="233">
        <f t="shared" si="1"/>
        <v>3.5736938701636065</v>
      </c>
      <c r="F63" s="91">
        <f>+SUM(F64:F66)</f>
        <v>199146042.185</v>
      </c>
      <c r="G63" s="238">
        <f t="shared" si="2"/>
        <v>5.4925634894061961</v>
      </c>
      <c r="H63" s="91">
        <f t="shared" si="3"/>
        <v>-69573213.104999989</v>
      </c>
      <c r="I63" s="233">
        <f t="shared" si="4"/>
        <v>-34.935774942676886</v>
      </c>
      <c r="J63" s="91">
        <f>+SUM(J64:J66)</f>
        <v>112380048.15000001</v>
      </c>
      <c r="K63" s="233">
        <f t="shared" si="5"/>
        <v>3.2812775754252885</v>
      </c>
      <c r="L63" s="91">
        <f t="shared" si="7"/>
        <v>17192780.930000007</v>
      </c>
      <c r="M63" s="233">
        <f t="shared" si="8"/>
        <v>-161.90886571977322</v>
      </c>
      <c r="BX63" s="161"/>
      <c r="BY63" s="161"/>
      <c r="BZ63" s="145"/>
      <c r="CA63" s="145"/>
      <c r="CB63" s="145"/>
      <c r="CC63" s="142"/>
    </row>
    <row r="64" spans="1:81" ht="13.5" customHeight="1" thickTop="1">
      <c r="B64" s="80">
        <v>4611</v>
      </c>
      <c r="C64" s="97" t="s">
        <v>460</v>
      </c>
      <c r="D64" s="156">
        <v>38131033.43</v>
      </c>
      <c r="E64" s="232">
        <f t="shared" si="1"/>
        <v>1.0516760450422864</v>
      </c>
      <c r="F64" s="156">
        <v>23355060.960000001</v>
      </c>
      <c r="G64" s="240">
        <f t="shared" si="2"/>
        <v>0.64414614377615897</v>
      </c>
      <c r="H64" s="210">
        <f t="shared" si="3"/>
        <v>14775972.469999999</v>
      </c>
      <c r="I64" s="245">
        <f t="shared" si="4"/>
        <v>63.266683376706538</v>
      </c>
      <c r="J64" s="156">
        <v>51919029.089999996</v>
      </c>
      <c r="K64" s="232">
        <f t="shared" si="5"/>
        <v>1.5159340887937696</v>
      </c>
      <c r="L64" s="210">
        <f t="shared" si="7"/>
        <v>-13787995.659999996</v>
      </c>
      <c r="M64" s="245">
        <f t="shared" si="8"/>
        <v>-71.540352874499405</v>
      </c>
      <c r="BX64" s="161"/>
      <c r="BY64" s="161"/>
      <c r="BZ64" s="145"/>
      <c r="CA64" s="145"/>
      <c r="CB64" s="145"/>
      <c r="CC64" s="142"/>
    </row>
    <row r="65" spans="2:81" ht="13.5" customHeight="1">
      <c r="B65" s="80">
        <v>4612</v>
      </c>
      <c r="C65" s="97" t="s">
        <v>461</v>
      </c>
      <c r="D65" s="156">
        <v>91441795.650000006</v>
      </c>
      <c r="E65" s="232">
        <f t="shared" si="1"/>
        <v>2.5220178251213201</v>
      </c>
      <c r="F65" s="156">
        <v>158885441.22499999</v>
      </c>
      <c r="G65" s="240">
        <f t="shared" si="2"/>
        <v>4.3821527352269989</v>
      </c>
      <c r="H65" s="210">
        <f t="shared" si="3"/>
        <v>-67443645.574999988</v>
      </c>
      <c r="I65" s="245">
        <f t="shared" si="4"/>
        <v>-42.447970723442218</v>
      </c>
      <c r="J65" s="156">
        <v>60461019.060000002</v>
      </c>
      <c r="K65" s="232">
        <f t="shared" si="5"/>
        <v>1.765343486631519</v>
      </c>
      <c r="L65" s="210">
        <f t="shared" si="7"/>
        <v>30980776.590000004</v>
      </c>
      <c r="M65" s="245">
        <f t="shared" si="8"/>
        <v>-211.54897258359242</v>
      </c>
      <c r="BX65" s="161"/>
      <c r="BY65" s="161"/>
      <c r="BZ65" s="145"/>
      <c r="CA65" s="145"/>
      <c r="CB65" s="145"/>
      <c r="CC65" s="142"/>
    </row>
    <row r="66" spans="2:81" ht="13.5" customHeight="1" thickBot="1">
      <c r="B66" s="80" t="s">
        <v>457</v>
      </c>
      <c r="C66" s="97" t="s">
        <v>455</v>
      </c>
      <c r="D66" s="156">
        <v>0</v>
      </c>
      <c r="E66" s="232">
        <f t="shared" si="1"/>
        <v>0</v>
      </c>
      <c r="F66" s="156">
        <v>16905540</v>
      </c>
      <c r="G66" s="240">
        <f t="shared" si="2"/>
        <v>0.46626461040303818</v>
      </c>
      <c r="H66" s="210"/>
      <c r="I66" s="245"/>
      <c r="J66" s="156">
        <v>0</v>
      </c>
      <c r="K66" s="232"/>
      <c r="L66" s="210"/>
      <c r="M66" s="245" t="str">
        <f t="shared" si="8"/>
        <v>...</v>
      </c>
      <c r="BX66" s="161"/>
      <c r="BY66" s="161"/>
      <c r="BZ66" s="145"/>
      <c r="CA66" s="145"/>
      <c r="CB66" s="145"/>
      <c r="CC66" s="142"/>
    </row>
    <row r="67" spans="2:81" ht="13.5" customHeight="1" thickTop="1" thickBot="1">
      <c r="C67" s="90" t="s">
        <v>141</v>
      </c>
      <c r="D67" s="91">
        <f>+D61-D63</f>
        <v>-385049336.91000009</v>
      </c>
      <c r="E67" s="233">
        <f t="shared" si="1"/>
        <v>-10.619884313679975</v>
      </c>
      <c r="F67" s="91">
        <f>+F61-F63</f>
        <v>-402308431.72296673</v>
      </c>
      <c r="G67" s="238">
        <f t="shared" si="2"/>
        <v>-11.095900171137176</v>
      </c>
      <c r="H67" s="91">
        <f t="shared" ref="H67:H72" si="9">+D67-F67</f>
        <v>17259094.812966645</v>
      </c>
      <c r="I67" s="233">
        <f t="shared" ref="I67:I72" si="10">+IF(ISNUMBER(D67/F67*100-100),D67/F67*100-100,"...")</f>
        <v>-4.2900156825078426</v>
      </c>
      <c r="J67" s="91">
        <f>+J61-J63</f>
        <v>-190735922.0500001</v>
      </c>
      <c r="K67" s="233">
        <f t="shared" ref="K67:K72" si="11">+J67/$J$11*100</f>
        <v>-5.5691158186314693</v>
      </c>
      <c r="L67" s="91">
        <f t="shared" si="7"/>
        <v>-194313414.85999998</v>
      </c>
      <c r="M67" s="233">
        <f t="shared" si="8"/>
        <v>-109.04868607206686</v>
      </c>
      <c r="BX67" s="161"/>
      <c r="BY67" s="161"/>
      <c r="BZ67" s="145"/>
      <c r="CA67" s="145"/>
      <c r="CB67" s="145"/>
      <c r="CC67" s="142"/>
    </row>
    <row r="68" spans="2:81" ht="13.5" customHeight="1" thickTop="1" thickBot="1">
      <c r="C68" s="90" t="s">
        <v>121</v>
      </c>
      <c r="D68" s="91">
        <f>+SUM(D69:D72)</f>
        <v>385049336.91000009</v>
      </c>
      <c r="E68" s="233">
        <f t="shared" si="1"/>
        <v>10.619884313679975</v>
      </c>
      <c r="F68" s="91">
        <f>+SUM(F69:F72)</f>
        <v>402308431.72296673</v>
      </c>
      <c r="G68" s="238">
        <f t="shared" si="2"/>
        <v>11.095900171137176</v>
      </c>
      <c r="H68" s="91">
        <f t="shared" si="9"/>
        <v>-17259094.812966645</v>
      </c>
      <c r="I68" s="233">
        <f t="shared" si="10"/>
        <v>-4.2900156825078426</v>
      </c>
      <c r="J68" s="91">
        <f>+SUM(J69:J72)</f>
        <v>190735922.0500001</v>
      </c>
      <c r="K68" s="233">
        <f t="shared" si="11"/>
        <v>5.5691158186314693</v>
      </c>
      <c r="L68" s="91">
        <f t="shared" si="7"/>
        <v>194313414.85999998</v>
      </c>
      <c r="M68" s="233">
        <f t="shared" si="8"/>
        <v>-109.04868607206686</v>
      </c>
      <c r="BX68" s="161"/>
      <c r="BY68" s="161"/>
      <c r="BZ68" s="145"/>
      <c r="CA68" s="145"/>
      <c r="CB68" s="145"/>
      <c r="CC68" s="142"/>
    </row>
    <row r="69" spans="2:81" ht="13.5" customHeight="1" thickTop="1">
      <c r="B69" s="80">
        <v>7511</v>
      </c>
      <c r="C69" s="97" t="s">
        <v>462</v>
      </c>
      <c r="D69" s="156">
        <v>35395133.140000001</v>
      </c>
      <c r="E69" s="232">
        <f t="shared" si="1"/>
        <v>0.97621832628154814</v>
      </c>
      <c r="F69" s="156">
        <v>0</v>
      </c>
      <c r="G69" s="240">
        <f t="shared" si="2"/>
        <v>0</v>
      </c>
      <c r="H69" s="210">
        <f t="shared" si="9"/>
        <v>35395133.140000001</v>
      </c>
      <c r="I69" s="245" t="str">
        <f t="shared" si="10"/>
        <v>...</v>
      </c>
      <c r="J69" s="156">
        <v>98410759.670000002</v>
      </c>
      <c r="K69" s="232">
        <f t="shared" si="11"/>
        <v>2.8734016776245559</v>
      </c>
      <c r="L69" s="210">
        <f t="shared" si="7"/>
        <v>-63015626.530000001</v>
      </c>
      <c r="M69" s="245">
        <f t="shared" si="8"/>
        <v>-64.0332690666242</v>
      </c>
      <c r="O69" s="100"/>
      <c r="BX69" s="161"/>
      <c r="BY69" s="161"/>
      <c r="BZ69" s="145"/>
      <c r="CA69" s="145"/>
      <c r="CB69" s="145"/>
      <c r="CC69" s="142"/>
    </row>
    <row r="70" spans="2:81" ht="13.5" customHeight="1">
      <c r="B70" s="80">
        <v>7512</v>
      </c>
      <c r="C70" s="97" t="s">
        <v>463</v>
      </c>
      <c r="D70" s="156">
        <v>498953823.22000003</v>
      </c>
      <c r="E70" s="232">
        <f t="shared" si="1"/>
        <v>13.761436191495788</v>
      </c>
      <c r="F70" s="156">
        <v>317040819.41830856</v>
      </c>
      <c r="G70" s="240">
        <f t="shared" si="2"/>
        <v>8.7441699080856115</v>
      </c>
      <c r="H70" s="210">
        <f t="shared" si="9"/>
        <v>181913003.80169147</v>
      </c>
      <c r="I70" s="245">
        <f t="shared" si="10"/>
        <v>57.378417118482361</v>
      </c>
      <c r="J70" s="156">
        <v>197151515.47999996</v>
      </c>
      <c r="K70" s="232">
        <f t="shared" si="11"/>
        <v>5.7564385970200842</v>
      </c>
      <c r="L70" s="210">
        <f t="shared" si="7"/>
        <v>301802307.74000007</v>
      </c>
      <c r="M70" s="245">
        <f t="shared" si="8"/>
        <v>-7.7293403711392443</v>
      </c>
      <c r="O70" s="100"/>
      <c r="BX70" s="161"/>
      <c r="BY70" s="161"/>
      <c r="BZ70" s="145"/>
      <c r="CA70" s="145"/>
      <c r="CB70" s="145"/>
      <c r="CC70" s="142"/>
    </row>
    <row r="71" spans="2:81" ht="13.5" customHeight="1" thickBot="1">
      <c r="B71" s="80">
        <v>72</v>
      </c>
      <c r="C71" s="103" t="s">
        <v>402</v>
      </c>
      <c r="D71" s="156">
        <v>3916020.22</v>
      </c>
      <c r="E71" s="237">
        <f t="shared" si="1"/>
        <v>0.10800611173666856</v>
      </c>
      <c r="F71" s="156">
        <v>0</v>
      </c>
      <c r="G71" s="243">
        <f t="shared" si="2"/>
        <v>0</v>
      </c>
      <c r="H71" s="210">
        <f t="shared" si="9"/>
        <v>3916020.22</v>
      </c>
      <c r="I71" s="245" t="str">
        <f t="shared" si="10"/>
        <v>...</v>
      </c>
      <c r="J71" s="156">
        <v>508956.80000000005</v>
      </c>
      <c r="K71" s="237">
        <f t="shared" si="11"/>
        <v>1.4860542971748261E-2</v>
      </c>
      <c r="L71" s="210">
        <f t="shared" si="7"/>
        <v>3407063.42</v>
      </c>
      <c r="M71" s="245">
        <f t="shared" si="8"/>
        <v>669.42094496035804</v>
      </c>
      <c r="O71" s="100"/>
      <c r="BX71" s="161"/>
      <c r="BY71" s="161"/>
      <c r="BZ71" s="145"/>
      <c r="CA71" s="145"/>
      <c r="CB71" s="145"/>
      <c r="CC71" s="142"/>
    </row>
    <row r="72" spans="2:81" ht="13.5" customHeight="1" thickTop="1" thickBot="1">
      <c r="C72" s="148" t="s">
        <v>464</v>
      </c>
      <c r="D72" s="163">
        <f>-D67-SUM(D69:D71)</f>
        <v>-153215639.66999996</v>
      </c>
      <c r="E72" s="235">
        <f t="shared" si="1"/>
        <v>-4.2257763158340289</v>
      </c>
      <c r="F72" s="163">
        <f>-F67-SUM(F69:F71)</f>
        <v>85267612.304658175</v>
      </c>
      <c r="G72" s="241">
        <f t="shared" si="2"/>
        <v>2.3517302630515649</v>
      </c>
      <c r="H72" s="208">
        <f t="shared" si="9"/>
        <v>-238483251.97465813</v>
      </c>
      <c r="I72" s="250">
        <f t="shared" si="10"/>
        <v>-279.68796771576751</v>
      </c>
      <c r="J72" s="163">
        <f>-J67-SUM(J69:J71)</f>
        <v>-105335309.89999989</v>
      </c>
      <c r="K72" s="235">
        <f t="shared" si="11"/>
        <v>-3.0755849989849202</v>
      </c>
      <c r="L72" s="208">
        <f t="shared" si="7"/>
        <v>-47880329.77000007</v>
      </c>
      <c r="M72" s="250">
        <f t="shared" si="8"/>
        <v>126.40390216828746</v>
      </c>
      <c r="BX72" s="161"/>
      <c r="BY72" s="161"/>
      <c r="BZ72" s="145"/>
      <c r="CA72" s="145"/>
      <c r="CB72" s="145"/>
      <c r="CC72" s="142"/>
    </row>
    <row r="73" spans="2:81" s="189" customFormat="1" ht="13.5" thickTop="1">
      <c r="C73" s="190" t="str">
        <f>IF([1]MasterSheet!$A$1=1,[1]MasterSheet!C151,[1]MasterSheet!B151)</f>
        <v>Izvor: Ministarstvo finansija Crne Gore</v>
      </c>
      <c r="D73" s="195"/>
      <c r="E73" s="195"/>
      <c r="F73" s="194"/>
      <c r="G73" s="195"/>
      <c r="H73" s="195"/>
      <c r="I73" s="195"/>
      <c r="J73" s="194"/>
      <c r="K73" s="195"/>
      <c r="L73" s="195"/>
      <c r="M73" s="195"/>
    </row>
    <row r="74" spans="2:81" s="189" customFormat="1" ht="13.5" thickBot="1">
      <c r="C74" s="192"/>
      <c r="D74" s="191"/>
      <c r="E74" s="191"/>
      <c r="F74" s="196"/>
      <c r="G74" s="191"/>
      <c r="H74" s="191"/>
      <c r="I74" s="191"/>
      <c r="J74" s="196"/>
      <c r="K74" s="200"/>
      <c r="L74" s="191"/>
      <c r="M74" s="191"/>
    </row>
    <row r="75" spans="2:81" s="189" customFormat="1" ht="14.25" thickTop="1" thickBot="1">
      <c r="D75" s="163"/>
      <c r="E75" s="191"/>
      <c r="F75" s="199"/>
      <c r="G75" s="191"/>
      <c r="H75" s="191"/>
      <c r="I75" s="191"/>
      <c r="J75" s="199"/>
      <c r="K75" s="191"/>
      <c r="L75" s="191"/>
      <c r="M75" s="191"/>
    </row>
    <row r="76" spans="2:81" s="189" customFormat="1" ht="13.5" thickTop="1">
      <c r="F76" s="191"/>
      <c r="G76" s="191"/>
      <c r="H76" s="191"/>
      <c r="I76" s="191"/>
      <c r="J76" s="191"/>
      <c r="K76" s="191"/>
      <c r="L76" s="191"/>
      <c r="M76" s="191"/>
    </row>
    <row r="77" spans="2:81" s="189" customFormat="1">
      <c r="C77" s="193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F92"/>
  <sheetViews>
    <sheetView topLeftCell="B1" zoomScale="85" zoomScaleNormal="85" workbookViewId="0">
      <pane ySplit="15" topLeftCell="A16" activePane="bottomLeft" state="frozen"/>
      <selection activeCell="B1" sqref="B1"/>
      <selection pane="bottomLeft" activeCell="H16" sqref="H16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51" t="str">
        <f>+'Cental Budget'!C11</f>
        <v>BDP (u mil. €)</v>
      </c>
      <c r="D11" s="329">
        <f>+'Cental Budget'!D11:G11</f>
        <v>3625739466.9921198</v>
      </c>
      <c r="E11" s="330"/>
      <c r="F11" s="330"/>
      <c r="G11" s="331"/>
      <c r="H11" s="324"/>
      <c r="I11" s="325"/>
      <c r="J11" s="326">
        <f>+'Cental Budget'!J11:K11</f>
        <v>3424886970.6012101</v>
      </c>
      <c r="K11" s="327" t="e">
        <f>+'Cental Budget'!#REF!</f>
        <v>#REF!</v>
      </c>
      <c r="L11" s="324"/>
      <c r="M11" s="328"/>
      <c r="N11" s="20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32" t="s">
        <v>468</v>
      </c>
      <c r="E13" s="332"/>
      <c r="F13" s="86"/>
      <c r="G13" s="86"/>
      <c r="H13" s="86"/>
      <c r="I13" s="86"/>
      <c r="J13" s="332" t="s">
        <v>466</v>
      </c>
      <c r="K13" s="332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33" t="s">
        <v>259</v>
      </c>
      <c r="D14" s="322" t="s">
        <v>469</v>
      </c>
      <c r="E14" s="323"/>
      <c r="F14" s="322" t="s">
        <v>472</v>
      </c>
      <c r="G14" s="323"/>
      <c r="H14" s="322" t="str">
        <f>+'Cental Budget'!H14:I14</f>
        <v>Odstupanje</v>
      </c>
      <c r="I14" s="323"/>
      <c r="J14" s="322" t="s">
        <v>446</v>
      </c>
      <c r="K14" s="323"/>
      <c r="L14" s="322" t="str">
        <f>+H14</f>
        <v>Odstupanje</v>
      </c>
      <c r="M14" s="323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2:76" ht="15" customHeight="1" thickBot="1">
      <c r="C15" s="334" t="str">
        <f>IF(MasterSheet!$A$1=1,MasterSheet!B71,MasterSheet!B70)</f>
        <v>Budžet Crne Gore</v>
      </c>
      <c r="D15" s="152" t="str">
        <f>IF(MasterSheet!$A$1=1,MasterSheet!C71,MasterSheet!C70)</f>
        <v>mil. €</v>
      </c>
      <c r="E15" s="159" t="str">
        <f>IF(MasterSheet!$A$1=1,MasterSheet!D71,MasterSheet!D70)</f>
        <v>% BDP</v>
      </c>
      <c r="F15" s="152" t="str">
        <f>IF(MasterSheet!$A$1=1,MasterSheet!E71,MasterSheet!E70)</f>
        <v>mil. €</v>
      </c>
      <c r="G15" s="159" t="str">
        <f>IF(MasterSheet!$A$1=1,MasterSheet!F71,MasterSheet!F70)</f>
        <v>% BDP</v>
      </c>
      <c r="H15" s="152" t="str">
        <f>IF(MasterSheet!$A$1=1,MasterSheet!G71,MasterSheet!G70)</f>
        <v>mil. €</v>
      </c>
      <c r="I15" s="159" t="s">
        <v>442</v>
      </c>
      <c r="J15" s="152" t="str">
        <f>IF(MasterSheet!$A$1=1,MasterSheet!I71,MasterSheet!I70)</f>
        <v>mil. €</v>
      </c>
      <c r="K15" s="159" t="str">
        <f>IF(MasterSheet!$A$1=1,MasterSheet!J71,MasterSheet!J70)</f>
        <v>% BDP</v>
      </c>
      <c r="L15" s="152" t="str">
        <f>IF(MasterSheet!$A$1=1,MasterSheet!K71,MasterSheet!K70)</f>
        <v>mil. €</v>
      </c>
      <c r="M15" s="159" t="s">
        <v>442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2:76" ht="15" customHeight="1" thickTop="1" thickBot="1">
      <c r="B16" s="80">
        <v>7</v>
      </c>
      <c r="C16" s="153" t="str">
        <f>IF(MasterSheet!$A$1=1,MasterSheet!C72,MasterSheet!B72)</f>
        <v>Izvorni prihodi</v>
      </c>
      <c r="D16" s="264">
        <f>+D17+D21+D27+D33+D38+D39</f>
        <v>97855338.409999996</v>
      </c>
      <c r="E16" s="265">
        <f>+D16/$D$11*100</f>
        <v>2.6989070588455681</v>
      </c>
      <c r="F16" s="264">
        <f>+F17+F21+F27+F33+F38+F39</f>
        <v>91682314.359999985</v>
      </c>
      <c r="G16" s="265">
        <f t="shared" ref="G16:G75" si="0">+F16/$D$11*100</f>
        <v>2.5286514708145535</v>
      </c>
      <c r="H16" s="264">
        <f>+D16-F16</f>
        <v>6173024.0500000119</v>
      </c>
      <c r="I16" s="265">
        <f>+D16/F16*100-100</f>
        <v>6.7330587072235204</v>
      </c>
      <c r="J16" s="264">
        <f>+J17+J21+J27+J33+J38+J39</f>
        <v>90916234.5</v>
      </c>
      <c r="K16" s="265">
        <f>+J16/$J$11*100</f>
        <v>2.6545762029641642</v>
      </c>
      <c r="L16" s="264">
        <f>+D16-J16</f>
        <v>6939103.9099999964</v>
      </c>
      <c r="M16" s="265">
        <f>+D16/J16*100-100</f>
        <v>7.6324145496808882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</row>
    <row r="17" spans="2:83" ht="15" customHeight="1" thickTop="1">
      <c r="B17" s="80">
        <v>711</v>
      </c>
      <c r="C17" s="93" t="str">
        <f>IF(MasterSheet!$A$1=1,MasterSheet!C73,MasterSheet!B73)</f>
        <v>Porezi</v>
      </c>
      <c r="D17" s="266">
        <f>+SUM(D18:D20)</f>
        <v>47138188.149999999</v>
      </c>
      <c r="E17" s="267">
        <f t="shared" ref="E17:E75" si="1">+D17/$D$11*100</f>
        <v>1.3000986027577268</v>
      </c>
      <c r="F17" s="266">
        <f>+SUM(F18:F20)</f>
        <v>46036969.200000003</v>
      </c>
      <c r="G17" s="267">
        <f t="shared" si="0"/>
        <v>1.2697263446287235</v>
      </c>
      <c r="H17" s="268">
        <f t="shared" ref="H17:H75" si="2">+D17-F17</f>
        <v>1101218.9499999955</v>
      </c>
      <c r="I17" s="269">
        <f t="shared" ref="I17:I74" si="3">+D17/F17*100-100</f>
        <v>2.3920318151612747</v>
      </c>
      <c r="J17" s="266">
        <f>+J18+J19+J20</f>
        <v>45581157.620000005</v>
      </c>
      <c r="K17" s="267">
        <f t="shared" ref="K17:K75" si="4">+J17/$J$11*100</f>
        <v>1.3308806396024981</v>
      </c>
      <c r="L17" s="268">
        <f t="shared" ref="L17:L75" si="5">+D17-J17</f>
        <v>1557030.5299999937</v>
      </c>
      <c r="M17" s="269">
        <f t="shared" ref="M17:M75" si="6">+D17/J17*100-100</f>
        <v>3.4159521418490613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</row>
    <row r="18" spans="2:83" ht="15" customHeight="1">
      <c r="B18" s="80">
        <v>7111</v>
      </c>
      <c r="C18" s="97" t="str">
        <f>IF(MasterSheet!$A$1=1,MasterSheet!C74,MasterSheet!B74)</f>
        <v>Porez na dohodak fizičkih lica</v>
      </c>
      <c r="D18" s="263">
        <v>12538928.310000001</v>
      </c>
      <c r="E18" s="270">
        <f t="shared" si="1"/>
        <v>0.34583092426114609</v>
      </c>
      <c r="F18" s="263">
        <v>14626641.58</v>
      </c>
      <c r="G18" s="270">
        <f t="shared" si="0"/>
        <v>0.40341126860210197</v>
      </c>
      <c r="H18" s="271">
        <f>+D18-F18</f>
        <v>-2087713.2699999996</v>
      </c>
      <c r="I18" s="272">
        <f>+D18/F18*100-100</f>
        <v>-14.273360419624098</v>
      </c>
      <c r="J18" s="263">
        <v>14481823.35</v>
      </c>
      <c r="K18" s="270">
        <f t="shared" si="4"/>
        <v>0.42284091341729263</v>
      </c>
      <c r="L18" s="271">
        <f>+D18-J18</f>
        <v>-1942895.0399999991</v>
      </c>
      <c r="M18" s="272">
        <f>+D18/J18*100-100</f>
        <v>-13.416094044538937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</row>
    <row r="19" spans="2:83" ht="15" customHeight="1">
      <c r="B19" s="80">
        <v>7113</v>
      </c>
      <c r="C19" s="97" t="str">
        <f>IF(MasterSheet!$A$1=1,MasterSheet!C76,MasterSheet!B76)</f>
        <v>Porez na promet nepokretnosti</v>
      </c>
      <c r="D19" s="263">
        <v>6513705.0899999999</v>
      </c>
      <c r="E19" s="270">
        <f t="shared" si="1"/>
        <v>0.1796517689508372</v>
      </c>
      <c r="F19" s="263">
        <v>7867180.5599999996</v>
      </c>
      <c r="G19" s="270">
        <f t="shared" si="0"/>
        <v>0.21698140838912897</v>
      </c>
      <c r="H19" s="271">
        <f>+D19-F19</f>
        <v>-1353475.4699999997</v>
      </c>
      <c r="I19" s="272">
        <f>+D19/F19*100-100</f>
        <v>-17.204072789197554</v>
      </c>
      <c r="J19" s="263">
        <v>7789287.6799999997</v>
      </c>
      <c r="K19" s="270">
        <f t="shared" si="4"/>
        <v>0.22743196335710475</v>
      </c>
      <c r="L19" s="271">
        <f>+D19-J19</f>
        <v>-1275582.5899999999</v>
      </c>
      <c r="M19" s="272">
        <f>+D19/J19*100-100</f>
        <v>-16.376113483075258</v>
      </c>
      <c r="O19" s="137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9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</row>
    <row r="20" spans="2:83" ht="15" customHeight="1">
      <c r="B20" s="80">
        <v>7117</v>
      </c>
      <c r="C20" s="97" t="s">
        <v>11</v>
      </c>
      <c r="D20" s="263">
        <v>28085554.75</v>
      </c>
      <c r="E20" s="270">
        <f t="shared" si="1"/>
        <v>0.77461590954574344</v>
      </c>
      <c r="F20" s="263">
        <v>23543147.059999999</v>
      </c>
      <c r="G20" s="270">
        <f t="shared" si="0"/>
        <v>0.64933366763749234</v>
      </c>
      <c r="H20" s="271">
        <f>+D20-F20</f>
        <v>4542407.6900000013</v>
      </c>
      <c r="I20" s="272">
        <f>+D20/F20*100-100</f>
        <v>19.29396982664899</v>
      </c>
      <c r="J20" s="263">
        <v>23310046.59</v>
      </c>
      <c r="K20" s="270">
        <f t="shared" si="4"/>
        <v>0.68060776282810054</v>
      </c>
      <c r="L20" s="271">
        <f>+D20-J20</f>
        <v>4775508.16</v>
      </c>
      <c r="M20" s="272">
        <f>+D20/J20*100-100</f>
        <v>20.486909545898087</v>
      </c>
      <c r="O20" s="137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9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</row>
    <row r="21" spans="2:83" ht="15" customHeight="1">
      <c r="B21" s="80">
        <v>713</v>
      </c>
      <c r="C21" s="93" t="str">
        <f>IF(MasterSheet!$A$1=1,MasterSheet!C86,MasterSheet!B86)</f>
        <v>Takse</v>
      </c>
      <c r="D21" s="94">
        <f>+SUM(D22:D26)</f>
        <v>3245991.7699999996</v>
      </c>
      <c r="E21" s="231">
        <f t="shared" si="1"/>
        <v>8.9526337993966365E-2</v>
      </c>
      <c r="F21" s="94">
        <f>+SUM(F22:F26)</f>
        <v>2747180.73</v>
      </c>
      <c r="G21" s="231">
        <f t="shared" si="0"/>
        <v>7.5768839846593716E-2</v>
      </c>
      <c r="H21" s="207">
        <f t="shared" si="2"/>
        <v>498811.03999999957</v>
      </c>
      <c r="I21" s="244">
        <f t="shared" si="3"/>
        <v>18.157197833868025</v>
      </c>
      <c r="J21" s="94">
        <f>+SUM(J22:J26)</f>
        <v>2719980.91</v>
      </c>
      <c r="K21" s="234">
        <f t="shared" si="4"/>
        <v>7.9418121921919382E-2</v>
      </c>
      <c r="L21" s="207">
        <f t="shared" si="5"/>
        <v>526010.8599999994</v>
      </c>
      <c r="M21" s="244">
        <f t="shared" si="6"/>
        <v>19.338770285707611</v>
      </c>
      <c r="O21" s="81"/>
      <c r="CA21" s="81"/>
      <c r="CB21" s="81"/>
      <c r="CC21" s="81"/>
    </row>
    <row r="22" spans="2:83" ht="15" customHeight="1">
      <c r="B22" s="80">
        <v>7131</v>
      </c>
      <c r="C22" s="97" t="str">
        <f>IF(MasterSheet!$A$1=1,MasterSheet!C87,MasterSheet!B87)</f>
        <v>Administrativne takse</v>
      </c>
      <c r="D22" s="263">
        <v>715153.1</v>
      </c>
      <c r="E22" s="270">
        <f t="shared" si="1"/>
        <v>1.9724337794002733E-2</v>
      </c>
      <c r="F22" s="263">
        <v>756230.15</v>
      </c>
      <c r="G22" s="270">
        <f t="shared" si="0"/>
        <v>2.0857266686824621E-2</v>
      </c>
      <c r="H22" s="271">
        <f t="shared" si="2"/>
        <v>-41077.050000000047</v>
      </c>
      <c r="I22" s="272">
        <f t="shared" si="3"/>
        <v>-5.4318186070735237</v>
      </c>
      <c r="J22" s="263">
        <v>748742.72</v>
      </c>
      <c r="K22" s="270">
        <f t="shared" si="4"/>
        <v>2.1861822782097959E-2</v>
      </c>
      <c r="L22" s="271">
        <f t="shared" si="5"/>
        <v>-33589.619999999995</v>
      </c>
      <c r="M22" s="272">
        <f t="shared" si="6"/>
        <v>-4.4861364394968746</v>
      </c>
      <c r="O22" s="81"/>
      <c r="CA22" s="81"/>
      <c r="CB22" s="81"/>
      <c r="CC22" s="81"/>
    </row>
    <row r="23" spans="2:83" ht="15" hidden="1" customHeight="1">
      <c r="B23" s="80">
        <v>7133</v>
      </c>
      <c r="C23" s="97" t="str">
        <f>IF(MasterSheet!$A$1=1,MasterSheet!C89,MasterSheet!B89)</f>
        <v>Boravišne takse</v>
      </c>
      <c r="D23" s="263">
        <v>261025.63</v>
      </c>
      <c r="E23" s="270">
        <f t="shared" si="1"/>
        <v>7.1992384553914036E-3</v>
      </c>
      <c r="F23" s="263">
        <v>0</v>
      </c>
      <c r="G23" s="270">
        <f t="shared" si="0"/>
        <v>0</v>
      </c>
      <c r="H23" s="271">
        <f t="shared" si="2"/>
        <v>261025.63</v>
      </c>
      <c r="I23" s="272" t="e">
        <f t="shared" si="3"/>
        <v>#DIV/0!</v>
      </c>
      <c r="J23" s="263"/>
      <c r="K23" s="270">
        <f t="shared" si="4"/>
        <v>0</v>
      </c>
      <c r="L23" s="271">
        <f t="shared" si="5"/>
        <v>261025.63</v>
      </c>
      <c r="M23" s="272" t="e">
        <f t="shared" si="6"/>
        <v>#DIV/0!</v>
      </c>
      <c r="O23" s="81"/>
      <c r="CA23" s="140"/>
      <c r="CB23" s="140"/>
      <c r="CC23" s="140"/>
    </row>
    <row r="24" spans="2:83" ht="15" hidden="1" customHeight="1">
      <c r="B24" s="80">
        <v>7134</v>
      </c>
      <c r="C24" s="97" t="s">
        <v>435</v>
      </c>
      <c r="D24" s="263">
        <v>261025.63</v>
      </c>
      <c r="E24" s="270">
        <f t="shared" si="1"/>
        <v>7.1992384553914036E-3</v>
      </c>
      <c r="F24" s="263">
        <v>0</v>
      </c>
      <c r="G24" s="270">
        <f t="shared" si="0"/>
        <v>0</v>
      </c>
      <c r="H24" s="271">
        <f t="shared" si="2"/>
        <v>261025.63</v>
      </c>
      <c r="I24" s="272" t="e">
        <f t="shared" si="3"/>
        <v>#DIV/0!</v>
      </c>
      <c r="J24" s="263"/>
      <c r="K24" s="270">
        <f t="shared" si="4"/>
        <v>0</v>
      </c>
      <c r="L24" s="271">
        <f t="shared" si="5"/>
        <v>261025.63</v>
      </c>
      <c r="M24" s="272" t="e">
        <f t="shared" si="6"/>
        <v>#DIV/0!</v>
      </c>
      <c r="O24" s="81"/>
      <c r="CA24" s="140"/>
      <c r="CB24" s="140"/>
      <c r="CC24" s="140"/>
    </row>
    <row r="25" spans="2:83" ht="15" customHeight="1">
      <c r="B25" s="80">
        <v>7135</v>
      </c>
      <c r="C25" s="97" t="s">
        <v>36</v>
      </c>
      <c r="D25" s="263">
        <v>1914957.2</v>
      </c>
      <c r="E25" s="270">
        <f t="shared" si="1"/>
        <v>5.2815631609312262E-2</v>
      </c>
      <c r="F25" s="263">
        <v>1925815.01</v>
      </c>
      <c r="G25" s="270">
        <f t="shared" si="0"/>
        <v>5.3115096314342698E-2</v>
      </c>
      <c r="H25" s="271">
        <f t="shared" si="2"/>
        <v>-10857.810000000056</v>
      </c>
      <c r="I25" s="272">
        <f t="shared" si="3"/>
        <v>-0.56380337382458379</v>
      </c>
      <c r="J25" s="263">
        <v>1906747.53</v>
      </c>
      <c r="K25" s="270">
        <f t="shared" si="4"/>
        <v>5.5673298020263912E-2</v>
      </c>
      <c r="L25" s="271">
        <f t="shared" si="5"/>
        <v>8209.6699999999255</v>
      </c>
      <c r="M25" s="272">
        <f t="shared" si="6"/>
        <v>0.43055883754048807</v>
      </c>
      <c r="O25" s="81"/>
      <c r="CA25" s="140"/>
      <c r="CB25" s="140"/>
      <c r="CC25" s="140"/>
    </row>
    <row r="26" spans="2:83" ht="15" customHeight="1">
      <c r="B26" s="80">
        <v>7136</v>
      </c>
      <c r="C26" s="97" t="s">
        <v>37</v>
      </c>
      <c r="D26" s="263">
        <v>93830.21</v>
      </c>
      <c r="E26" s="270">
        <f t="shared" si="1"/>
        <v>2.5878916798685674E-3</v>
      </c>
      <c r="F26" s="263">
        <v>65135.57</v>
      </c>
      <c r="G26" s="270">
        <f t="shared" si="0"/>
        <v>1.7964768454264001E-3</v>
      </c>
      <c r="H26" s="271">
        <f t="shared" si="2"/>
        <v>28694.640000000007</v>
      </c>
      <c r="I26" s="272">
        <f t="shared" si="3"/>
        <v>44.053717500284421</v>
      </c>
      <c r="J26" s="263">
        <v>64490.66</v>
      </c>
      <c r="K26" s="270">
        <f t="shared" si="4"/>
        <v>1.883001119557508E-3</v>
      </c>
      <c r="L26" s="271">
        <f t="shared" si="5"/>
        <v>29339.550000000003</v>
      </c>
      <c r="M26" s="272">
        <f t="shared" si="6"/>
        <v>45.494262269916305</v>
      </c>
      <c r="O26" s="81"/>
      <c r="CA26" s="140"/>
      <c r="CB26" s="140"/>
      <c r="CC26" s="140"/>
    </row>
    <row r="27" spans="2:83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24829939.25</v>
      </c>
      <c r="E27" s="231">
        <f t="shared" si="1"/>
        <v>0.68482414348978826</v>
      </c>
      <c r="F27" s="94">
        <f>+SUM(F28:F32)</f>
        <v>22644706.859999999</v>
      </c>
      <c r="G27" s="231">
        <f t="shared" si="0"/>
        <v>0.62455416518897977</v>
      </c>
      <c r="H27" s="207">
        <f t="shared" si="2"/>
        <v>2185232.3900000006</v>
      </c>
      <c r="I27" s="244">
        <f t="shared" si="3"/>
        <v>9.6500802748744405</v>
      </c>
      <c r="J27" s="94">
        <f>+SUM(J28:J32)</f>
        <v>22420501.859999999</v>
      </c>
      <c r="K27" s="234">
        <f t="shared" si="4"/>
        <v>0.65463479678175385</v>
      </c>
      <c r="L27" s="207">
        <f t="shared" si="5"/>
        <v>2409437.3900000006</v>
      </c>
      <c r="M27" s="244">
        <f t="shared" si="6"/>
        <v>10.746580986657733</v>
      </c>
      <c r="O27" s="81"/>
      <c r="CA27" s="140"/>
      <c r="CB27" s="140"/>
      <c r="CC27" s="140"/>
    </row>
    <row r="28" spans="2:83" ht="15" customHeight="1">
      <c r="B28" s="80">
        <v>7141</v>
      </c>
      <c r="C28" s="97" t="str">
        <f>IF(MasterSheet!$A$1=1,MasterSheet!C92,MasterSheet!B92)</f>
        <v>Naknade za korišćenje dobara od opšteg interesa</v>
      </c>
      <c r="D28" s="273">
        <v>1171831.55</v>
      </c>
      <c r="E28" s="276">
        <f t="shared" si="1"/>
        <v>3.2319794642391687E-2</v>
      </c>
      <c r="F28" s="273">
        <v>1283932.53</v>
      </c>
      <c r="G28" s="276">
        <f t="shared" si="0"/>
        <v>3.541160476886495E-2</v>
      </c>
      <c r="H28" s="277">
        <f t="shared" si="2"/>
        <v>-112100.97999999998</v>
      </c>
      <c r="I28" s="278">
        <f t="shared" si="3"/>
        <v>-8.7310647078939496</v>
      </c>
      <c r="J28" s="273">
        <v>1271220.33</v>
      </c>
      <c r="K28" s="276">
        <f t="shared" si="4"/>
        <v>3.7117146957315439E-2</v>
      </c>
      <c r="L28" s="277">
        <f t="shared" si="5"/>
        <v>-99388.780000000028</v>
      </c>
      <c r="M28" s="278">
        <f t="shared" si="6"/>
        <v>-7.8183755919007325</v>
      </c>
      <c r="O28" s="81"/>
      <c r="CA28" s="140"/>
      <c r="CB28" s="140"/>
      <c r="CC28" s="140"/>
    </row>
    <row r="29" spans="2:83" ht="15" customHeight="1">
      <c r="B29" s="80">
        <v>7142</v>
      </c>
      <c r="C29" s="97" t="str">
        <f>IF(MasterSheet!$A$1=1,MasterSheet!C93,MasterSheet!B93)</f>
        <v>Naknade za korišćenje prirodnih dobara</v>
      </c>
      <c r="D29" s="274">
        <v>2963920.78</v>
      </c>
      <c r="E29" s="232">
        <f t="shared" si="1"/>
        <v>8.1746656288540248E-2</v>
      </c>
      <c r="F29" s="156">
        <v>2309993.6</v>
      </c>
      <c r="G29" s="232">
        <f t="shared" si="0"/>
        <v>6.3710964922594107E-2</v>
      </c>
      <c r="H29" s="279">
        <f t="shared" si="2"/>
        <v>653927.1799999997</v>
      </c>
      <c r="I29" s="245">
        <f t="shared" si="3"/>
        <v>28.308614361528953</v>
      </c>
      <c r="J29" s="156">
        <v>2287122.38</v>
      </c>
      <c r="K29" s="280">
        <f t="shared" si="4"/>
        <v>6.6779499575675486E-2</v>
      </c>
      <c r="L29" s="279">
        <f t="shared" si="5"/>
        <v>676798.39999999991</v>
      </c>
      <c r="M29" s="245">
        <f t="shared" si="6"/>
        <v>29.591700291962525</v>
      </c>
      <c r="O29" s="81"/>
      <c r="CA29" s="140"/>
      <c r="CB29" s="140"/>
      <c r="CC29" s="140"/>
    </row>
    <row r="30" spans="2:83" ht="15" customHeight="1">
      <c r="B30" s="80">
        <v>7146</v>
      </c>
      <c r="C30" s="97" t="s">
        <v>448</v>
      </c>
      <c r="D30" s="273">
        <v>17460272.940000001</v>
      </c>
      <c r="E30" s="232">
        <f t="shared" si="1"/>
        <v>0.48156446702677408</v>
      </c>
      <c r="F30" s="273">
        <v>16088398.369999999</v>
      </c>
      <c r="G30" s="232">
        <f t="shared" si="0"/>
        <v>0.44372736972595517</v>
      </c>
      <c r="H30" s="277">
        <f t="shared" si="2"/>
        <v>1371874.5700000022</v>
      </c>
      <c r="I30" s="245">
        <f t="shared" si="3"/>
        <v>8.5271046778536714</v>
      </c>
      <c r="J30" s="273">
        <v>15929107.300000001</v>
      </c>
      <c r="K30" s="280">
        <f t="shared" si="4"/>
        <v>0.46509877367438435</v>
      </c>
      <c r="L30" s="277">
        <f t="shared" si="5"/>
        <v>1531165.6400000006</v>
      </c>
      <c r="M30" s="245">
        <f t="shared" si="6"/>
        <v>9.6123757041928002</v>
      </c>
      <c r="O30" s="81"/>
      <c r="CA30" s="140"/>
      <c r="CB30" s="140"/>
      <c r="CC30" s="140"/>
    </row>
    <row r="31" spans="2:83" ht="25.5">
      <c r="B31" s="158">
        <v>7147</v>
      </c>
      <c r="C31" s="157" t="s">
        <v>436</v>
      </c>
      <c r="D31" s="273">
        <v>1541373.06</v>
      </c>
      <c r="E31" s="232">
        <f t="shared" si="1"/>
        <v>4.2511964084355709E-2</v>
      </c>
      <c r="F31" s="273">
        <v>833927.15</v>
      </c>
      <c r="G31" s="232">
        <f t="shared" si="0"/>
        <v>2.3000195066189305E-2</v>
      </c>
      <c r="H31" s="277">
        <f t="shared" si="2"/>
        <v>707445.91</v>
      </c>
      <c r="I31" s="245"/>
      <c r="J31" s="273">
        <v>825670.45</v>
      </c>
      <c r="K31" s="280">
        <f t="shared" si="4"/>
        <v>2.4107962017066518E-2</v>
      </c>
      <c r="L31" s="279">
        <f t="shared" si="5"/>
        <v>715702.6100000001</v>
      </c>
      <c r="M31" s="245">
        <f t="shared" si="6"/>
        <v>86.681388440145838</v>
      </c>
      <c r="O31" s="81"/>
      <c r="CA31" s="140"/>
      <c r="CB31" s="140"/>
      <c r="CC31" s="140"/>
    </row>
    <row r="32" spans="2:83" ht="15" customHeight="1">
      <c r="B32" s="80">
        <v>7149</v>
      </c>
      <c r="C32" s="97" t="str">
        <f>IF(MasterSheet!$A$1=1,MasterSheet!C97,MasterSheet!B97)</f>
        <v>Ostale naknade</v>
      </c>
      <c r="D32" s="263">
        <v>1692540.92</v>
      </c>
      <c r="E32" s="270">
        <f t="shared" si="1"/>
        <v>4.6681261447726587E-2</v>
      </c>
      <c r="F32" s="263">
        <v>2128455.21</v>
      </c>
      <c r="G32" s="270">
        <f t="shared" si="0"/>
        <v>5.8704030705376269E-2</v>
      </c>
      <c r="H32" s="271">
        <f t="shared" si="2"/>
        <v>-435914.29000000004</v>
      </c>
      <c r="I32" s="272">
        <f t="shared" si="3"/>
        <v>-20.480313043561765</v>
      </c>
      <c r="J32" s="263">
        <v>2107381.4</v>
      </c>
      <c r="K32" s="270">
        <f t="shared" si="4"/>
        <v>6.153141455731214E-2</v>
      </c>
      <c r="L32" s="271">
        <f t="shared" si="5"/>
        <v>-414840.48</v>
      </c>
      <c r="M32" s="272">
        <f t="shared" si="6"/>
        <v>-19.68511632493292</v>
      </c>
      <c r="O32" s="81"/>
      <c r="CA32" s="81"/>
      <c r="CB32" s="81"/>
      <c r="CC32" s="81"/>
      <c r="CD32" s="81"/>
      <c r="CE32" s="81"/>
    </row>
    <row r="33" spans="1:84" ht="15" customHeight="1">
      <c r="B33" s="80">
        <v>715</v>
      </c>
      <c r="C33" s="93" t="str">
        <f>IF(MasterSheet!$A$1=1,MasterSheet!C98,MasterSheet!B98)</f>
        <v>Ostali prihodi</v>
      </c>
      <c r="D33" s="275">
        <f>+SUM(D34:D37)</f>
        <v>4160732.24</v>
      </c>
      <c r="E33" s="281">
        <f t="shared" si="1"/>
        <v>0.11475541135479615</v>
      </c>
      <c r="F33" s="275">
        <f>+SUM(F34:F37)</f>
        <v>4800661.5199999996</v>
      </c>
      <c r="G33" s="281">
        <f t="shared" si="0"/>
        <v>0.13240503251003263</v>
      </c>
      <c r="H33" s="282">
        <f t="shared" si="2"/>
        <v>-639929.27999999933</v>
      </c>
      <c r="I33" s="283">
        <f t="shared" si="3"/>
        <v>-13.330022900677235</v>
      </c>
      <c r="J33" s="275">
        <f>+SUM(J34:J37)</f>
        <v>4753130.22</v>
      </c>
      <c r="K33" s="281">
        <f t="shared" si="4"/>
        <v>0.13878210465922697</v>
      </c>
      <c r="L33" s="282">
        <f t="shared" si="5"/>
        <v>-592397.97999999952</v>
      </c>
      <c r="M33" s="283">
        <f t="shared" si="6"/>
        <v>-12.463323169799452</v>
      </c>
      <c r="O33" s="81"/>
      <c r="CA33" s="81"/>
      <c r="CB33" s="81"/>
      <c r="CC33" s="81"/>
      <c r="CD33" s="81"/>
      <c r="CE33" s="81"/>
    </row>
    <row r="34" spans="1:84" ht="15" customHeight="1">
      <c r="B34" s="80">
        <v>7151</v>
      </c>
      <c r="C34" s="97" t="str">
        <f>IF(MasterSheet!$A$1=1,MasterSheet!C99,MasterSheet!B99)</f>
        <v>Prihodi od kapitala</v>
      </c>
      <c r="D34" s="263">
        <v>773704.04</v>
      </c>
      <c r="E34" s="270">
        <f t="shared" si="1"/>
        <v>2.133920672027375E-2</v>
      </c>
      <c r="F34" s="263">
        <v>1000394.78</v>
      </c>
      <c r="G34" s="270">
        <f t="shared" si="0"/>
        <v>2.7591468970877775E-2</v>
      </c>
      <c r="H34" s="271">
        <f t="shared" si="2"/>
        <v>-226690.74</v>
      </c>
      <c r="I34" s="272">
        <f t="shared" si="3"/>
        <v>-22.660128234575552</v>
      </c>
      <c r="J34" s="263">
        <v>990489.88</v>
      </c>
      <c r="K34" s="270">
        <f t="shared" si="4"/>
        <v>2.8920366963997291E-2</v>
      </c>
      <c r="L34" s="271">
        <f t="shared" si="5"/>
        <v>-216785.83999999997</v>
      </c>
      <c r="M34" s="272">
        <f t="shared" si="6"/>
        <v>-21.886729423222377</v>
      </c>
      <c r="O34" s="81"/>
      <c r="CA34" s="141"/>
      <c r="CB34" s="141"/>
      <c r="CC34" s="141"/>
      <c r="CD34" s="141"/>
      <c r="CE34" s="141"/>
      <c r="CF34" s="142"/>
    </row>
    <row r="35" spans="1:84" ht="15" customHeight="1">
      <c r="B35" s="80">
        <v>7152</v>
      </c>
      <c r="C35" s="97" t="str">
        <f>IF(MasterSheet!$A$1=1,MasterSheet!C100,MasterSheet!B100)</f>
        <v>Novčane kazne i oduzete imovinske koristi</v>
      </c>
      <c r="D35" s="263">
        <v>378079.06</v>
      </c>
      <c r="E35" s="270">
        <f t="shared" si="1"/>
        <v>1.0427640028798068E-2</v>
      </c>
      <c r="F35" s="263">
        <v>381702.38</v>
      </c>
      <c r="G35" s="270">
        <f t="shared" si="0"/>
        <v>1.0527573298493419E-2</v>
      </c>
      <c r="H35" s="271">
        <f t="shared" si="2"/>
        <v>-3623.320000000007</v>
      </c>
      <c r="I35" s="272">
        <f t="shared" si="3"/>
        <v>-0.94925266119639673</v>
      </c>
      <c r="J35" s="263">
        <v>377923.15</v>
      </c>
      <c r="K35" s="270">
        <f t="shared" si="4"/>
        <v>1.1034616711267957E-2</v>
      </c>
      <c r="L35" s="271">
        <f t="shared" si="5"/>
        <v>155.90999999997439</v>
      </c>
      <c r="M35" s="272">
        <f t="shared" si="6"/>
        <v>4.125441905318894E-2</v>
      </c>
      <c r="O35" s="81"/>
      <c r="CA35" s="141"/>
      <c r="CB35" s="141"/>
      <c r="CC35" s="143"/>
      <c r="CD35" s="143"/>
      <c r="CE35" s="144"/>
      <c r="CF35" s="142"/>
    </row>
    <row r="36" spans="1:84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63">
        <v>1505992.38</v>
      </c>
      <c r="E36" s="270">
        <f t="shared" si="1"/>
        <v>4.1536144384068427E-2</v>
      </c>
      <c r="F36" s="263">
        <v>1255829.8899999999</v>
      </c>
      <c r="G36" s="270">
        <f t="shared" si="0"/>
        <v>3.4636517638202642E-2</v>
      </c>
      <c r="H36" s="271">
        <f t="shared" si="2"/>
        <v>250162.49</v>
      </c>
      <c r="I36" s="272">
        <f t="shared" si="3"/>
        <v>19.920093636248779</v>
      </c>
      <c r="J36" s="263">
        <v>1243395.93</v>
      </c>
      <c r="K36" s="270">
        <f t="shared" si="4"/>
        <v>3.6304728905600415E-2</v>
      </c>
      <c r="L36" s="271">
        <f t="shared" si="5"/>
        <v>262596.44999999995</v>
      </c>
      <c r="M36" s="272">
        <f t="shared" si="6"/>
        <v>21.119294640123186</v>
      </c>
      <c r="O36" s="81"/>
      <c r="CA36" s="81"/>
      <c r="CB36" s="81"/>
      <c r="CC36" s="145"/>
      <c r="CD36" s="145"/>
      <c r="CE36" s="145"/>
      <c r="CF36" s="142"/>
    </row>
    <row r="37" spans="1:84" ht="15" customHeight="1">
      <c r="B37" s="80">
        <v>7154</v>
      </c>
      <c r="C37" s="97" t="str">
        <f>IF(MasterSheet!$A$1=1,MasterSheet!C102,MasterSheet!B102)</f>
        <v>Ostali prihodi</v>
      </c>
      <c r="D37" s="263">
        <v>1502956.76</v>
      </c>
      <c r="E37" s="270">
        <f t="shared" si="1"/>
        <v>4.1452420221655892E-2</v>
      </c>
      <c r="F37" s="263">
        <v>2162734.4700000002</v>
      </c>
      <c r="G37" s="270">
        <f t="shared" si="0"/>
        <v>5.96494726024588E-2</v>
      </c>
      <c r="H37" s="271">
        <f t="shared" si="2"/>
        <v>-659777.7100000002</v>
      </c>
      <c r="I37" s="272">
        <f t="shared" si="3"/>
        <v>-30.506644211390409</v>
      </c>
      <c r="J37" s="263">
        <v>2141321.2599999998</v>
      </c>
      <c r="K37" s="270">
        <f t="shared" si="4"/>
        <v>6.2522392078361314E-2</v>
      </c>
      <c r="L37" s="271">
        <f t="shared" si="5"/>
        <v>-638364.49999999977</v>
      </c>
      <c r="M37" s="272">
        <f t="shared" si="6"/>
        <v>-29.811710737883388</v>
      </c>
      <c r="O37" s="81"/>
      <c r="BZ37" s="100"/>
      <c r="CA37" s="100"/>
      <c r="CB37" s="99"/>
      <c r="CC37" s="145"/>
      <c r="CD37" s="145"/>
      <c r="CE37" s="145"/>
      <c r="CF37" s="142"/>
    </row>
    <row r="38" spans="1:84">
      <c r="B38" s="80">
        <v>73</v>
      </c>
      <c r="C38" s="101" t="str">
        <f>IF(MasterSheet!$A$1=1,MasterSheet!C103,MasterSheet!B103)</f>
        <v>Primici od otplate kredita i sredstva prenijeta iz prethodne godine</v>
      </c>
      <c r="D38" s="275">
        <v>17334000</v>
      </c>
      <c r="E38" s="281">
        <f t="shared" si="1"/>
        <v>0.47808178601371287</v>
      </c>
      <c r="F38" s="275">
        <v>14237000</v>
      </c>
      <c r="G38" s="281">
        <f t="shared" si="0"/>
        <v>0.39266472755724185</v>
      </c>
      <c r="H38" s="282">
        <f t="shared" si="2"/>
        <v>3097000</v>
      </c>
      <c r="I38" s="283"/>
      <c r="J38" s="275">
        <v>14237862.729999999</v>
      </c>
      <c r="K38" s="281">
        <f t="shared" si="4"/>
        <v>0.41571774053322008</v>
      </c>
      <c r="L38" s="282">
        <f t="shared" si="5"/>
        <v>3096137.2700000014</v>
      </c>
      <c r="M38" s="283">
        <f t="shared" si="6"/>
        <v>21.745800817957473</v>
      </c>
      <c r="O38" s="81"/>
      <c r="BZ38" s="100"/>
      <c r="CA38" s="100"/>
      <c r="CB38" s="99"/>
      <c r="CC38" s="145"/>
      <c r="CD38" s="145"/>
      <c r="CE38" s="145"/>
      <c r="CF38" s="142"/>
    </row>
    <row r="39" spans="1:84" ht="13.5" customHeight="1" thickBot="1">
      <c r="B39" s="80">
        <v>74</v>
      </c>
      <c r="C39" s="93" t="s">
        <v>123</v>
      </c>
      <c r="D39" s="275">
        <v>1146487</v>
      </c>
      <c r="E39" s="281">
        <f t="shared" si="1"/>
        <v>3.1620777235577685E-2</v>
      </c>
      <c r="F39" s="275">
        <v>1215796.05</v>
      </c>
      <c r="G39" s="281">
        <f t="shared" si="0"/>
        <v>3.353236108298243E-2</v>
      </c>
      <c r="H39" s="282">
        <f t="shared" si="2"/>
        <v>-69309.050000000047</v>
      </c>
      <c r="I39" s="283">
        <f t="shared" si="3"/>
        <v>-5.700713536616604</v>
      </c>
      <c r="J39" s="275">
        <v>1203601.1599999999</v>
      </c>
      <c r="K39" s="281">
        <f t="shared" si="4"/>
        <v>3.514279946554609E-2</v>
      </c>
      <c r="L39" s="282">
        <f t="shared" si="5"/>
        <v>-57114.159999999916</v>
      </c>
      <c r="M39" s="283">
        <f t="shared" si="6"/>
        <v>-4.7452729274537973</v>
      </c>
      <c r="O39" s="81"/>
      <c r="CA39" s="146"/>
      <c r="CB39" s="146"/>
      <c r="CC39" s="145"/>
      <c r="CD39" s="145"/>
      <c r="CE39" s="145"/>
      <c r="CF39" s="142"/>
    </row>
    <row r="40" spans="1:84" ht="15" customHeight="1" thickTop="1" thickBot="1">
      <c r="B40" s="102"/>
      <c r="C40" s="153" t="str">
        <f>IF(MasterSheet!$A$1=1,MasterSheet!C104,MasterSheet!B104)</f>
        <v>Izdaci</v>
      </c>
      <c r="D40" s="284">
        <f>+D42+D52+D55+D58+D59+D60+D61</f>
        <v>56168278.079999998</v>
      </c>
      <c r="E40" s="285">
        <f t="shared" si="1"/>
        <v>1.5491537268836553</v>
      </c>
      <c r="F40" s="284">
        <f>+F42+F52+F55+F58+F59+F60+F61</f>
        <v>58444586.410000004</v>
      </c>
      <c r="G40" s="285">
        <f t="shared" si="0"/>
        <v>1.6119356324983025</v>
      </c>
      <c r="H40" s="284">
        <f t="shared" si="2"/>
        <v>-2276308.3300000057</v>
      </c>
      <c r="I40" s="285">
        <f t="shared" si="3"/>
        <v>-3.8948146780118549</v>
      </c>
      <c r="J40" s="284">
        <f>+J42+J52+J55+J58+J59+J60+J61</f>
        <v>57865927.149999999</v>
      </c>
      <c r="K40" s="286">
        <f t="shared" si="4"/>
        <v>1.6895718792098451</v>
      </c>
      <c r="L40" s="284">
        <f t="shared" si="5"/>
        <v>-1697649.0700000003</v>
      </c>
      <c r="M40" s="285">
        <f t="shared" si="6"/>
        <v>-2.9337628438914578</v>
      </c>
      <c r="O40" s="81"/>
      <c r="CA40" s="81"/>
      <c r="CB40" s="81"/>
      <c r="CC40" s="145"/>
      <c r="CD40" s="145"/>
      <c r="CE40" s="145"/>
      <c r="CF40" s="142"/>
    </row>
    <row r="41" spans="1:84" ht="13.5" customHeight="1" thickTop="1" thickBot="1">
      <c r="C41" s="153" t="str">
        <f>IF(MasterSheet!$A$1=1,MasterSheet!C105,MasterSheet!B105)</f>
        <v>Tekuća budžetska potrošnja</v>
      </c>
      <c r="D41" s="284">
        <f>+D40-D58</f>
        <v>42331542.060000002</v>
      </c>
      <c r="E41" s="285">
        <f t="shared" si="1"/>
        <v>1.1675285123317991</v>
      </c>
      <c r="F41" s="284">
        <f>+F40-F58</f>
        <v>40056667.490000002</v>
      </c>
      <c r="G41" s="285">
        <f t="shared" si="0"/>
        <v>1.1047861506505499</v>
      </c>
      <c r="H41" s="284">
        <f t="shared" si="2"/>
        <v>2274874.5700000003</v>
      </c>
      <c r="I41" s="285">
        <f t="shared" si="3"/>
        <v>5.6791408585547174</v>
      </c>
      <c r="J41" s="284">
        <f>+J40-J58</f>
        <v>39660066.829999998</v>
      </c>
      <c r="K41" s="286">
        <f t="shared" si="4"/>
        <v>1.1579963709879162</v>
      </c>
      <c r="L41" s="284">
        <f t="shared" si="5"/>
        <v>2671475.2300000042</v>
      </c>
      <c r="M41" s="285">
        <f t="shared" si="6"/>
        <v>6.7359322450239176</v>
      </c>
      <c r="O41" s="81"/>
      <c r="CA41" s="146"/>
      <c r="CB41" s="146"/>
      <c r="CC41" s="145"/>
      <c r="CD41" s="145"/>
      <c r="CE41" s="145"/>
      <c r="CF41" s="142"/>
    </row>
    <row r="42" spans="1:84" ht="13.5" customHeight="1" thickTop="1">
      <c r="A42" s="80">
        <v>41</v>
      </c>
      <c r="C42" s="93" t="str">
        <f>+'Cental Budget'!C37</f>
        <v>Tekući budžetski izdaci</v>
      </c>
      <c r="D42" s="94">
        <f>+SUM(D43:D51)</f>
        <v>26973043.530000001</v>
      </c>
      <c r="E42" s="231">
        <f t="shared" si="1"/>
        <v>0.74393220405261462</v>
      </c>
      <c r="F42" s="94">
        <f>+SUM(F43:F51)</f>
        <v>23829271.630000003</v>
      </c>
      <c r="G42" s="231">
        <f t="shared" si="0"/>
        <v>0.65722514943326993</v>
      </c>
      <c r="H42" s="207">
        <f t="shared" si="2"/>
        <v>3143771.8999999985</v>
      </c>
      <c r="I42" s="244">
        <f t="shared" si="3"/>
        <v>13.19289967739563</v>
      </c>
      <c r="J42" s="94">
        <f>+SUM(J43:J51)</f>
        <v>23593338.260000002</v>
      </c>
      <c r="K42" s="234">
        <f t="shared" si="4"/>
        <v>0.68887932543532637</v>
      </c>
      <c r="L42" s="207">
        <f t="shared" si="5"/>
        <v>3379705.2699999996</v>
      </c>
      <c r="M42" s="244">
        <f t="shared" si="6"/>
        <v>14.324828613719021</v>
      </c>
      <c r="O42" s="81"/>
      <c r="CA42" s="146"/>
      <c r="CB42" s="146"/>
      <c r="CC42" s="145"/>
      <c r="CD42" s="145"/>
      <c r="CE42" s="145"/>
      <c r="CF42" s="142"/>
    </row>
    <row r="43" spans="1:84" ht="13.5" customHeight="1">
      <c r="B43" s="80">
        <v>411</v>
      </c>
      <c r="C43" s="93" t="str">
        <f>+'Cental Budget'!C38</f>
        <v>Bruto zarade i doprinosi na teret poslodavca</v>
      </c>
      <c r="D43" s="275">
        <v>16046237.98</v>
      </c>
      <c r="E43" s="281">
        <f t="shared" si="1"/>
        <v>0.44256456168682778</v>
      </c>
      <c r="F43" s="275">
        <v>14224499.140000001</v>
      </c>
      <c r="G43" s="281">
        <f t="shared" si="0"/>
        <v>0.39231994657907709</v>
      </c>
      <c r="H43" s="282">
        <f t="shared" si="2"/>
        <v>1821738.8399999999</v>
      </c>
      <c r="I43" s="283">
        <f t="shared" si="3"/>
        <v>12.807050863936425</v>
      </c>
      <c r="J43" s="275">
        <v>14083662.51</v>
      </c>
      <c r="K43" s="281">
        <f t="shared" si="4"/>
        <v>0.41121539574568006</v>
      </c>
      <c r="L43" s="282">
        <f t="shared" si="5"/>
        <v>1962575.4700000007</v>
      </c>
      <c r="M43" s="283">
        <f t="shared" si="6"/>
        <v>13.935121411823715</v>
      </c>
      <c r="O43" s="81"/>
      <c r="CA43" s="146"/>
      <c r="CB43" s="146"/>
      <c r="CC43" s="145"/>
      <c r="CD43" s="145"/>
      <c r="CE43" s="145"/>
      <c r="CF43" s="142"/>
    </row>
    <row r="44" spans="1:84" ht="13.5" customHeight="1">
      <c r="B44" s="80">
        <v>412</v>
      </c>
      <c r="C44" s="93" t="str">
        <f>+'Cental Budget'!C39</f>
        <v>Ostala lična primanja</v>
      </c>
      <c r="D44" s="275">
        <v>902598.96</v>
      </c>
      <c r="E44" s="281">
        <f t="shared" si="1"/>
        <v>2.4894203464342894E-2</v>
      </c>
      <c r="F44" s="275">
        <v>916044.78</v>
      </c>
      <c r="G44" s="281">
        <f t="shared" si="0"/>
        <v>2.5265046988054613E-2</v>
      </c>
      <c r="H44" s="282">
        <f t="shared" si="2"/>
        <v>-13445.820000000065</v>
      </c>
      <c r="I44" s="283">
        <f t="shared" si="3"/>
        <v>-1.4678125233135546</v>
      </c>
      <c r="J44" s="275">
        <v>906975.03</v>
      </c>
      <c r="K44" s="281">
        <f t="shared" si="4"/>
        <v>2.6481896710325251E-2</v>
      </c>
      <c r="L44" s="282">
        <f t="shared" si="5"/>
        <v>-4376.0700000000652</v>
      </c>
      <c r="M44" s="283">
        <f t="shared" si="6"/>
        <v>-0.48249068113815952</v>
      </c>
      <c r="O44" s="81"/>
      <c r="CA44" s="146"/>
      <c r="CB44" s="146"/>
      <c r="CC44" s="145"/>
      <c r="CD44" s="145"/>
      <c r="CE44" s="145"/>
      <c r="CF44" s="142"/>
    </row>
    <row r="45" spans="1:84" ht="13.5" customHeight="1">
      <c r="B45" s="80">
        <v>413</v>
      </c>
      <c r="C45" s="93" t="str">
        <f>+'Cental Budget'!C40</f>
        <v>Rashodi za materijal</v>
      </c>
      <c r="D45" s="275">
        <v>2683810.04</v>
      </c>
      <c r="E45" s="281">
        <f t="shared" si="1"/>
        <v>7.4021039416449413E-2</v>
      </c>
      <c r="F45" s="275">
        <v>2398317.1800000002</v>
      </c>
      <c r="G45" s="281">
        <f t="shared" si="0"/>
        <v>6.614698054931184E-2</v>
      </c>
      <c r="H45" s="282">
        <f t="shared" si="2"/>
        <v>285492.85999999987</v>
      </c>
      <c r="I45" s="283">
        <f t="shared" si="3"/>
        <v>11.903882538172027</v>
      </c>
      <c r="J45" s="275">
        <v>2374571.4700000002</v>
      </c>
      <c r="K45" s="281">
        <f t="shared" si="4"/>
        <v>6.9332841941442652E-2</v>
      </c>
      <c r="L45" s="282">
        <f t="shared" si="5"/>
        <v>309238.56999999983</v>
      </c>
      <c r="M45" s="283">
        <f t="shared" si="6"/>
        <v>13.02292114206189</v>
      </c>
      <c r="O45" s="81"/>
      <c r="CA45" s="146"/>
      <c r="CB45" s="146"/>
      <c r="CC45" s="145"/>
      <c r="CD45" s="145"/>
      <c r="CE45" s="145"/>
      <c r="CF45" s="142"/>
    </row>
    <row r="46" spans="1:84" ht="13.5" customHeight="1">
      <c r="B46" s="80">
        <v>414</v>
      </c>
      <c r="C46" s="93" t="str">
        <f>+'Cental Budget'!C41</f>
        <v>Rashodi za usluge</v>
      </c>
      <c r="D46" s="94">
        <v>3156908.6</v>
      </c>
      <c r="E46" s="231">
        <f t="shared" si="1"/>
        <v>8.7069372433947731E-2</v>
      </c>
      <c r="F46" s="154">
        <v>2702476.46</v>
      </c>
      <c r="G46" s="231">
        <f t="shared" si="0"/>
        <v>7.453587011981172E-2</v>
      </c>
      <c r="H46" s="207">
        <f t="shared" si="2"/>
        <v>454432.14000000013</v>
      </c>
      <c r="I46" s="244"/>
      <c r="J46" s="154">
        <v>2675719.27</v>
      </c>
      <c r="K46" s="234">
        <f t="shared" si="4"/>
        <v>7.8125768615666169E-2</v>
      </c>
      <c r="L46" s="207">
        <f t="shared" si="5"/>
        <v>481189.33000000007</v>
      </c>
      <c r="M46" s="244">
        <f t="shared" si="6"/>
        <v>17.983550643562097</v>
      </c>
      <c r="O46" s="81"/>
      <c r="CA46" s="146"/>
      <c r="CB46" s="146"/>
      <c r="CC46" s="145"/>
      <c r="CD46" s="145"/>
      <c r="CE46" s="145"/>
      <c r="CF46" s="142"/>
    </row>
    <row r="47" spans="1:84" ht="13.5" customHeight="1">
      <c r="B47" s="80">
        <v>415</v>
      </c>
      <c r="C47" s="93" t="str">
        <f>+'Cental Budget'!C42</f>
        <v>Rashodi za tekuće održavanje</v>
      </c>
      <c r="D47" s="275">
        <v>1728463.14</v>
      </c>
      <c r="E47" s="281">
        <f t="shared" si="1"/>
        <v>4.7672017135691136E-2</v>
      </c>
      <c r="F47" s="275">
        <v>1260873.32</v>
      </c>
      <c r="G47" s="281">
        <f t="shared" si="0"/>
        <v>3.4775618366368971E-2</v>
      </c>
      <c r="H47" s="282">
        <f t="shared" si="2"/>
        <v>467589.81999999983</v>
      </c>
      <c r="I47" s="283">
        <f t="shared" si="3"/>
        <v>37.084599426689437</v>
      </c>
      <c r="J47" s="275">
        <v>1248389.43</v>
      </c>
      <c r="K47" s="281">
        <f t="shared" si="4"/>
        <v>3.6450529337639884E-2</v>
      </c>
      <c r="L47" s="282">
        <f t="shared" si="5"/>
        <v>480073.70999999996</v>
      </c>
      <c r="M47" s="283">
        <f t="shared" si="6"/>
        <v>38.455444948776915</v>
      </c>
      <c r="O47" s="81"/>
      <c r="CA47" s="146"/>
      <c r="CB47" s="146"/>
      <c r="CC47" s="145"/>
      <c r="CD47" s="145"/>
      <c r="CE47" s="145"/>
      <c r="CF47" s="142"/>
    </row>
    <row r="48" spans="1:84" ht="13.5" customHeight="1">
      <c r="B48" s="80">
        <v>416</v>
      </c>
      <c r="C48" s="93" t="str">
        <f>+'Cental Budget'!C43</f>
        <v>Kamate</v>
      </c>
      <c r="D48" s="275">
        <v>1350819.13</v>
      </c>
      <c r="E48" s="281">
        <f t="shared" si="1"/>
        <v>3.7256376038530617E-2</v>
      </c>
      <c r="F48" s="275">
        <v>1303510.45</v>
      </c>
      <c r="G48" s="281">
        <f t="shared" si="0"/>
        <v>3.5951575171543702E-2</v>
      </c>
      <c r="H48" s="282">
        <f t="shared" si="2"/>
        <v>47308.679999999935</v>
      </c>
      <c r="I48" s="283">
        <f t="shared" si="3"/>
        <v>3.6293287867389097</v>
      </c>
      <c r="J48" s="275">
        <v>1290604.4099999999</v>
      </c>
      <c r="K48" s="281">
        <f t="shared" si="4"/>
        <v>3.7683124175436518E-2</v>
      </c>
      <c r="L48" s="282">
        <f t="shared" si="5"/>
        <v>60214.719999999972</v>
      </c>
      <c r="M48" s="283">
        <f t="shared" si="6"/>
        <v>4.6656217453960238</v>
      </c>
      <c r="O48" s="81"/>
      <c r="CA48" s="146"/>
      <c r="CB48" s="146"/>
      <c r="CC48" s="145"/>
      <c r="CD48" s="145"/>
      <c r="CE48" s="145"/>
      <c r="CF48" s="142"/>
    </row>
    <row r="49" spans="1:84" ht="13.5" customHeight="1">
      <c r="B49" s="80">
        <v>417</v>
      </c>
      <c r="C49" s="93" t="str">
        <f>+'Cental Budget'!C44</f>
        <v>Renta</v>
      </c>
      <c r="D49" s="275">
        <v>226100.4</v>
      </c>
      <c r="E49" s="281">
        <f t="shared" si="1"/>
        <v>6.235980330588144E-3</v>
      </c>
      <c r="F49" s="275">
        <v>188311.64</v>
      </c>
      <c r="G49" s="281">
        <f t="shared" si="0"/>
        <v>5.1937443855065964E-3</v>
      </c>
      <c r="H49" s="282">
        <f t="shared" si="2"/>
        <v>37788.75999999998</v>
      </c>
      <c r="I49" s="283">
        <f t="shared" si="3"/>
        <v>20.067139768948934</v>
      </c>
      <c r="J49" s="275">
        <v>186447.17</v>
      </c>
      <c r="K49" s="281">
        <f t="shared" si="4"/>
        <v>5.4438926481498095E-3</v>
      </c>
      <c r="L49" s="282">
        <f t="shared" si="5"/>
        <v>39653.229999999981</v>
      </c>
      <c r="M49" s="283">
        <f t="shared" si="6"/>
        <v>21.267810071882536</v>
      </c>
      <c r="O49" s="81"/>
      <c r="CA49" s="146"/>
      <c r="CB49" s="146"/>
      <c r="CC49" s="145"/>
      <c r="CD49" s="145"/>
      <c r="CE49" s="145"/>
      <c r="CF49" s="142"/>
    </row>
    <row r="50" spans="1:84" ht="13.5" customHeight="1">
      <c r="B50" s="80">
        <v>418</v>
      </c>
      <c r="C50" s="93" t="str">
        <f>+'Cental Budget'!C45</f>
        <v>Subvencije</v>
      </c>
      <c r="D50" s="275">
        <v>164537.85999999999</v>
      </c>
      <c r="E50" s="281">
        <f t="shared" si="1"/>
        <v>4.5380497274532267E-3</v>
      </c>
      <c r="F50" s="275">
        <v>165734.37</v>
      </c>
      <c r="G50" s="281">
        <f t="shared" si="0"/>
        <v>4.5710501680776231E-3</v>
      </c>
      <c r="H50" s="282">
        <f t="shared" si="2"/>
        <v>-1196.5100000000093</v>
      </c>
      <c r="I50" s="283">
        <f t="shared" si="3"/>
        <v>-0.72194439813540612</v>
      </c>
      <c r="J50" s="275">
        <v>164093.44</v>
      </c>
      <c r="K50" s="281">
        <f t="shared" si="4"/>
        <v>4.7912074590652776E-3</v>
      </c>
      <c r="L50" s="282">
        <f t="shared" si="5"/>
        <v>444.4199999999837</v>
      </c>
      <c r="M50" s="283">
        <f t="shared" si="6"/>
        <v>0.2708334958423535</v>
      </c>
      <c r="O50" s="81"/>
      <c r="CA50" s="146"/>
      <c r="CB50" s="146"/>
      <c r="CC50" s="145"/>
      <c r="CD50" s="145"/>
      <c r="CE50" s="145"/>
      <c r="CF50" s="142"/>
    </row>
    <row r="51" spans="1:84" ht="13.5" customHeight="1">
      <c r="B51" s="80">
        <v>419</v>
      </c>
      <c r="C51" s="93" t="str">
        <f>+'Cental Budget'!C46</f>
        <v>Ostali izdaci</v>
      </c>
      <c r="D51" s="275">
        <v>713567.42</v>
      </c>
      <c r="E51" s="281">
        <f t="shared" si="1"/>
        <v>1.968060381878373E-2</v>
      </c>
      <c r="F51" s="275">
        <v>669504.29</v>
      </c>
      <c r="G51" s="281">
        <f t="shared" si="0"/>
        <v>1.8465317105517642E-2</v>
      </c>
      <c r="H51" s="282">
        <f t="shared" si="2"/>
        <v>44063.130000000005</v>
      </c>
      <c r="I51" s="283">
        <f t="shared" si="3"/>
        <v>6.5814559604987721</v>
      </c>
      <c r="J51" s="275">
        <v>662875.53</v>
      </c>
      <c r="K51" s="281">
        <f t="shared" si="4"/>
        <v>1.9354668801920719E-2</v>
      </c>
      <c r="L51" s="282">
        <f t="shared" si="5"/>
        <v>50691.890000000014</v>
      </c>
      <c r="M51" s="283">
        <f t="shared" si="6"/>
        <v>7.6472712758004491</v>
      </c>
      <c r="O51" s="81"/>
      <c r="CA51" s="146"/>
      <c r="CB51" s="146"/>
      <c r="CC51" s="145"/>
      <c r="CD51" s="145"/>
      <c r="CE51" s="145"/>
      <c r="CF51" s="142"/>
    </row>
    <row r="52" spans="1:84" ht="13.5" customHeight="1">
      <c r="A52" s="80">
        <v>42</v>
      </c>
      <c r="B52" s="80" t="s">
        <v>428</v>
      </c>
      <c r="C52" s="93" t="str">
        <f>+'Cental Budget'!C48</f>
        <v>Transferi za socijalnu zaštitu</v>
      </c>
      <c r="D52" s="275">
        <f>+D53</f>
        <v>87408.960000000006</v>
      </c>
      <c r="E52" s="281">
        <f t="shared" si="1"/>
        <v>2.4107898759894537E-3</v>
      </c>
      <c r="F52" s="275">
        <f>+F53</f>
        <v>103609.64</v>
      </c>
      <c r="G52" s="281">
        <f t="shared" si="0"/>
        <v>2.857614038273787E-3</v>
      </c>
      <c r="H52" s="282">
        <f t="shared" si="2"/>
        <v>-16200.679999999993</v>
      </c>
      <c r="I52" s="283">
        <f t="shared" si="3"/>
        <v>-15.636267050054414</v>
      </c>
      <c r="J52" s="275">
        <f>+J53</f>
        <v>102583.8</v>
      </c>
      <c r="K52" s="281">
        <f t="shared" si="4"/>
        <v>2.9952462922299677E-3</v>
      </c>
      <c r="L52" s="282">
        <f t="shared" si="5"/>
        <v>-15174.839999999997</v>
      </c>
      <c r="M52" s="283">
        <f t="shared" si="6"/>
        <v>-14.79262807577804</v>
      </c>
      <c r="O52" s="81"/>
      <c r="CA52" s="146"/>
      <c r="CB52" s="146"/>
      <c r="CC52" s="145"/>
      <c r="CD52" s="145"/>
      <c r="CE52" s="145"/>
      <c r="CF52" s="142"/>
    </row>
    <row r="53" spans="1:84" ht="13.5" customHeight="1">
      <c r="B53" s="80">
        <v>421</v>
      </c>
      <c r="C53" s="97" t="s">
        <v>89</v>
      </c>
      <c r="D53" s="263">
        <v>87408.960000000006</v>
      </c>
      <c r="E53" s="270">
        <f>+D53/$D$11*100</f>
        <v>2.4107898759894537E-3</v>
      </c>
      <c r="F53" s="263">
        <v>103609.64</v>
      </c>
      <c r="G53" s="270">
        <f t="shared" si="0"/>
        <v>2.857614038273787E-3</v>
      </c>
      <c r="H53" s="271">
        <f>+D53-F53</f>
        <v>-16200.679999999993</v>
      </c>
      <c r="I53" s="272">
        <f>+D53/F53*100-100</f>
        <v>-15.636267050054414</v>
      </c>
      <c r="J53" s="263">
        <v>102583.8</v>
      </c>
      <c r="K53" s="270">
        <f t="shared" si="4"/>
        <v>2.9952462922299677E-3</v>
      </c>
      <c r="L53" s="271">
        <f>+D53-J53</f>
        <v>-15174.839999999997</v>
      </c>
      <c r="M53" s="272">
        <f>+D53/J53*100-100</f>
        <v>-14.79262807577804</v>
      </c>
      <c r="O53" s="81"/>
      <c r="CA53" s="146"/>
      <c r="CB53" s="146"/>
      <c r="CC53" s="145"/>
      <c r="CD53" s="145"/>
      <c r="CE53" s="145"/>
      <c r="CF53" s="142"/>
    </row>
    <row r="54" spans="1:84" ht="13.5" hidden="1" customHeight="1">
      <c r="B54" s="80">
        <v>422</v>
      </c>
      <c r="C54" s="97" t="s">
        <v>91</v>
      </c>
      <c r="D54" s="263"/>
      <c r="E54" s="270">
        <f t="shared" si="1"/>
        <v>0</v>
      </c>
      <c r="F54" s="263">
        <v>0</v>
      </c>
      <c r="G54" s="270">
        <f t="shared" si="0"/>
        <v>0</v>
      </c>
      <c r="H54" s="271">
        <f t="shared" si="2"/>
        <v>0</v>
      </c>
      <c r="I54" s="272" t="e">
        <f t="shared" si="3"/>
        <v>#DIV/0!</v>
      </c>
      <c r="J54" s="263"/>
      <c r="K54" s="270">
        <f t="shared" si="4"/>
        <v>0</v>
      </c>
      <c r="L54" s="271">
        <f t="shared" si="5"/>
        <v>0</v>
      </c>
      <c r="M54" s="272" t="e">
        <f t="shared" si="6"/>
        <v>#DIV/0!</v>
      </c>
      <c r="O54" s="81"/>
      <c r="CA54" s="146"/>
      <c r="CB54" s="146"/>
      <c r="CC54" s="145"/>
      <c r="CD54" s="145"/>
      <c r="CE54" s="145"/>
      <c r="CF54" s="142"/>
    </row>
    <row r="55" spans="1:84" ht="13.5" customHeight="1">
      <c r="A55" s="80">
        <v>43</v>
      </c>
      <c r="C55" s="93" t="str">
        <f>+'Cental Budget'!C54</f>
        <v xml:space="preserve">Transferi institucijama, pojedincima, nevladinom i javnom sektoru </v>
      </c>
      <c r="D55" s="94">
        <f>+SUM(D56:D57)</f>
        <v>13824097.57</v>
      </c>
      <c r="E55" s="231">
        <f t="shared" si="1"/>
        <v>0.38127663876159157</v>
      </c>
      <c r="F55" s="94">
        <f>+SUM(F56:F57)</f>
        <v>14421154</v>
      </c>
      <c r="G55" s="231">
        <f t="shared" si="0"/>
        <v>0.39774380181716851</v>
      </c>
      <c r="H55" s="207">
        <f t="shared" si="2"/>
        <v>-597056.4299999997</v>
      </c>
      <c r="I55" s="244">
        <f t="shared" si="3"/>
        <v>-4.1401432229348671</v>
      </c>
      <c r="J55" s="154">
        <f>+J56+J57</f>
        <v>14278370.300000001</v>
      </c>
      <c r="K55" s="234">
        <f t="shared" si="4"/>
        <v>0.41690048233894134</v>
      </c>
      <c r="L55" s="207">
        <f t="shared" si="5"/>
        <v>-454272.73000000045</v>
      </c>
      <c r="M55" s="244">
        <f t="shared" si="6"/>
        <v>-3.1815446753051333</v>
      </c>
      <c r="O55" s="81"/>
      <c r="CA55" s="146"/>
      <c r="CB55" s="146"/>
      <c r="CC55" s="145"/>
      <c r="CD55" s="145"/>
      <c r="CE55" s="145"/>
      <c r="CF55" s="142"/>
    </row>
    <row r="56" spans="1:84" ht="13.5" customHeight="1">
      <c r="A56" s="80" t="s">
        <v>428</v>
      </c>
      <c r="B56" s="80">
        <v>431</v>
      </c>
      <c r="C56" s="97" t="s">
        <v>433</v>
      </c>
      <c r="D56" s="263">
        <v>7622996.4299999997</v>
      </c>
      <c r="E56" s="270">
        <f t="shared" si="1"/>
        <v>0.21024666828375199</v>
      </c>
      <c r="F56" s="263">
        <v>8304448.1900000004</v>
      </c>
      <c r="G56" s="270">
        <f t="shared" si="0"/>
        <v>0.22904150354987574</v>
      </c>
      <c r="H56" s="263">
        <f t="shared" si="2"/>
        <v>-681451.76000000071</v>
      </c>
      <c r="I56" s="270">
        <f t="shared" si="3"/>
        <v>-8.2058644284226716</v>
      </c>
      <c r="J56" s="263">
        <v>8222225.9299999997</v>
      </c>
      <c r="K56" s="270">
        <f t="shared" si="4"/>
        <v>0.24007291337140557</v>
      </c>
      <c r="L56" s="263">
        <f t="shared" si="5"/>
        <v>-599229.5</v>
      </c>
      <c r="M56" s="270">
        <f t="shared" si="6"/>
        <v>-7.2879230648919844</v>
      </c>
      <c r="O56" s="81"/>
      <c r="CA56" s="146"/>
      <c r="CB56" s="146"/>
      <c r="CC56" s="145"/>
      <c r="CD56" s="145"/>
      <c r="CE56" s="145"/>
      <c r="CF56" s="142"/>
    </row>
    <row r="57" spans="1:84" s="223" customFormat="1" ht="13.5" customHeight="1" thickBot="1">
      <c r="A57" s="223" t="s">
        <v>428</v>
      </c>
      <c r="B57" s="223">
        <v>432</v>
      </c>
      <c r="C57" s="224" t="s">
        <v>434</v>
      </c>
      <c r="D57" s="156">
        <v>6201101.1399999997</v>
      </c>
      <c r="E57" s="232">
        <f t="shared" si="1"/>
        <v>0.17102997047783955</v>
      </c>
      <c r="F57" s="156">
        <v>6116705.8099999996</v>
      </c>
      <c r="G57" s="232">
        <f t="shared" si="0"/>
        <v>0.16870229826729283</v>
      </c>
      <c r="H57" s="274">
        <f t="shared" si="2"/>
        <v>84395.330000000075</v>
      </c>
      <c r="I57" s="232">
        <f t="shared" si="3"/>
        <v>1.3797513338311092</v>
      </c>
      <c r="J57" s="156">
        <v>6056144.3700000001</v>
      </c>
      <c r="K57" s="280">
        <f t="shared" si="4"/>
        <v>0.17682756896753574</v>
      </c>
      <c r="L57" s="274">
        <f t="shared" si="5"/>
        <v>144956.76999999955</v>
      </c>
      <c r="M57" s="232">
        <f t="shared" si="6"/>
        <v>2.3935487852314736</v>
      </c>
      <c r="N57" s="80"/>
      <c r="O57" s="225"/>
      <c r="CA57" s="226"/>
      <c r="CB57" s="226"/>
      <c r="CC57" s="227"/>
      <c r="CD57" s="227"/>
      <c r="CE57" s="227"/>
      <c r="CF57" s="228"/>
    </row>
    <row r="58" spans="1:84" ht="13.5" customHeight="1" thickTop="1" thickBot="1">
      <c r="B58" s="80">
        <v>44</v>
      </c>
      <c r="C58" s="153" t="str">
        <f>+'Cental Budget'!C55</f>
        <v>Kapitalni budžet</v>
      </c>
      <c r="D58" s="284">
        <v>13836736.02</v>
      </c>
      <c r="E58" s="285">
        <f t="shared" si="1"/>
        <v>0.38162521455185605</v>
      </c>
      <c r="F58" s="290">
        <v>18387918.920000002</v>
      </c>
      <c r="G58" s="285">
        <f t="shared" si="0"/>
        <v>0.50714948184775255</v>
      </c>
      <c r="H58" s="284">
        <f t="shared" si="2"/>
        <v>-4551182.9000000022</v>
      </c>
      <c r="I58" s="285">
        <f t="shared" si="3"/>
        <v>-24.750940657291096</v>
      </c>
      <c r="J58" s="290">
        <v>18205860.32</v>
      </c>
      <c r="K58" s="286">
        <f t="shared" si="4"/>
        <v>0.53157550822192867</v>
      </c>
      <c r="L58" s="284">
        <f t="shared" si="5"/>
        <v>-4369124.3000000007</v>
      </c>
      <c r="M58" s="285">
        <f t="shared" si="6"/>
        <v>-23.998450077090354</v>
      </c>
      <c r="O58" s="81"/>
      <c r="CA58" s="146"/>
      <c r="CB58" s="146"/>
      <c r="CC58" s="145"/>
      <c r="CD58" s="145"/>
      <c r="CE58" s="145"/>
      <c r="CF58" s="142"/>
    </row>
    <row r="59" spans="1:84" ht="13.5" customHeight="1" thickTop="1">
      <c r="B59" s="80">
        <v>451</v>
      </c>
      <c r="C59" s="93" t="str">
        <f>+'Cental Budget'!C56</f>
        <v>Pozajmice i krediti</v>
      </c>
      <c r="D59" s="275">
        <v>886482.31</v>
      </c>
      <c r="E59" s="281">
        <f t="shared" si="1"/>
        <v>2.4449696898255564E-2</v>
      </c>
      <c r="F59" s="275">
        <v>490925.55</v>
      </c>
      <c r="G59" s="281">
        <f t="shared" si="0"/>
        <v>1.3540011753995863E-2</v>
      </c>
      <c r="H59" s="282">
        <f t="shared" si="2"/>
        <v>395556.76000000007</v>
      </c>
      <c r="I59" s="283">
        <f t="shared" si="3"/>
        <v>80.573675580747448</v>
      </c>
      <c r="J59" s="275">
        <v>486064.9</v>
      </c>
      <c r="K59" s="281">
        <f t="shared" si="4"/>
        <v>1.4192144271396945E-2</v>
      </c>
      <c r="L59" s="282">
        <f t="shared" si="5"/>
        <v>400417.41000000003</v>
      </c>
      <c r="M59" s="283">
        <f t="shared" si="6"/>
        <v>82.379412708056066</v>
      </c>
      <c r="O59" s="81"/>
      <c r="CA59" s="146"/>
      <c r="CB59" s="146"/>
      <c r="CC59" s="145"/>
      <c r="CD59" s="145"/>
      <c r="CE59" s="145"/>
      <c r="CF59" s="142"/>
    </row>
    <row r="60" spans="1:84" ht="13.5" customHeight="1" thickBot="1">
      <c r="B60" s="80">
        <v>47</v>
      </c>
      <c r="C60" s="93" t="str">
        <f>+'Cental Budget'!C57</f>
        <v>Rezerve</v>
      </c>
      <c r="D60" s="287">
        <v>560509.68999999994</v>
      </c>
      <c r="E60" s="291">
        <f t="shared" si="1"/>
        <v>1.5459182743347901E-2</v>
      </c>
      <c r="F60" s="287">
        <v>1211706.67</v>
      </c>
      <c r="G60" s="291">
        <f t="shared" si="0"/>
        <v>3.3419573607841729E-2</v>
      </c>
      <c r="H60" s="292">
        <f t="shared" si="2"/>
        <v>-651196.98</v>
      </c>
      <c r="I60" s="293">
        <f t="shared" si="3"/>
        <v>-53.74213051084385</v>
      </c>
      <c r="J60" s="287">
        <v>1199709.57</v>
      </c>
      <c r="K60" s="291">
        <f t="shared" si="4"/>
        <v>3.5029172650021825E-2</v>
      </c>
      <c r="L60" s="292">
        <f t="shared" si="5"/>
        <v>-639199.88000000012</v>
      </c>
      <c r="M60" s="293">
        <f t="shared" si="6"/>
        <v>-53.279551650154808</v>
      </c>
      <c r="O60" s="81"/>
      <c r="CA60" s="146"/>
      <c r="CB60" s="146"/>
      <c r="CC60" s="145"/>
      <c r="CD60" s="145"/>
      <c r="CE60" s="145"/>
      <c r="CF60" s="142"/>
    </row>
    <row r="61" spans="1:84" ht="13.5" customHeight="1" thickTop="1" thickBot="1">
      <c r="B61" s="80">
        <v>462</v>
      </c>
      <c r="C61" s="197" t="s">
        <v>113</v>
      </c>
      <c r="D61" s="288">
        <v>0</v>
      </c>
      <c r="E61" s="294">
        <f t="shared" si="1"/>
        <v>0</v>
      </c>
      <c r="F61" s="288">
        <v>0</v>
      </c>
      <c r="G61" s="294">
        <f t="shared" si="0"/>
        <v>0</v>
      </c>
      <c r="H61" s="295">
        <f t="shared" si="2"/>
        <v>0</v>
      </c>
      <c r="I61" s="296"/>
      <c r="J61" s="288">
        <v>0</v>
      </c>
      <c r="K61" s="294">
        <f t="shared" si="4"/>
        <v>0</v>
      </c>
      <c r="L61" s="295">
        <f t="shared" si="5"/>
        <v>0</v>
      </c>
      <c r="M61" s="296" t="e">
        <f t="shared" si="6"/>
        <v>#DIV/0!</v>
      </c>
      <c r="O61" s="81"/>
      <c r="CA61" s="146"/>
      <c r="CB61" s="146"/>
      <c r="CC61" s="145"/>
      <c r="CD61" s="145"/>
      <c r="CE61" s="145"/>
      <c r="CF61" s="142"/>
    </row>
    <row r="62" spans="1:84" ht="13.5" customHeight="1" thickTop="1" thickBot="1">
      <c r="B62" s="80">
        <v>990</v>
      </c>
      <c r="C62" s="198" t="s">
        <v>152</v>
      </c>
      <c r="D62" s="289">
        <v>0</v>
      </c>
      <c r="E62" s="297">
        <f t="shared" si="1"/>
        <v>0</v>
      </c>
      <c r="F62" s="289">
        <v>140276.0704445625</v>
      </c>
      <c r="G62" s="297">
        <f t="shared" si="0"/>
        <v>3.8688954824692423E-3</v>
      </c>
      <c r="H62" s="298">
        <f t="shared" si="2"/>
        <v>-140276.0704445625</v>
      </c>
      <c r="I62" s="299"/>
      <c r="J62" s="289"/>
      <c r="K62" s="297">
        <f t="shared" si="4"/>
        <v>0</v>
      </c>
      <c r="L62" s="298">
        <f t="shared" si="5"/>
        <v>0</v>
      </c>
      <c r="M62" s="299"/>
      <c r="O62" s="81"/>
      <c r="CA62" s="146"/>
      <c r="CB62" s="146"/>
      <c r="CC62" s="145"/>
      <c r="CD62" s="145"/>
      <c r="CE62" s="145"/>
      <c r="CF62" s="142"/>
    </row>
    <row r="63" spans="1:84" ht="13.5" customHeight="1" thickTop="1" thickBot="1">
      <c r="C63" s="153" t="str">
        <f>+'Cental Budget'!C61</f>
        <v>Suficit / deficit</v>
      </c>
      <c r="D63" s="284">
        <f>+D16-D40+D75</f>
        <v>41868685.5</v>
      </c>
      <c r="E63" s="285">
        <f t="shared" si="1"/>
        <v>1.1547626596219247</v>
      </c>
      <c r="F63" s="284">
        <f>+F16-F40+F75</f>
        <v>34109320.229999982</v>
      </c>
      <c r="G63" s="285">
        <f t="shared" si="0"/>
        <v>0.94075485954032878</v>
      </c>
      <c r="H63" s="284">
        <f t="shared" si="2"/>
        <v>7759365.2700000182</v>
      </c>
      <c r="I63" s="285">
        <f t="shared" si="3"/>
        <v>22.748519224887588</v>
      </c>
      <c r="J63" s="284">
        <f>+J16-J40+J75</f>
        <v>33913270</v>
      </c>
      <c r="K63" s="286">
        <f t="shared" si="4"/>
        <v>0.9902011450628051</v>
      </c>
      <c r="L63" s="284">
        <f t="shared" si="5"/>
        <v>7955415.5</v>
      </c>
      <c r="M63" s="285">
        <f t="shared" si="6"/>
        <v>23.4581197861486</v>
      </c>
      <c r="O63" s="81"/>
      <c r="CA63" s="146"/>
      <c r="CB63" s="146"/>
      <c r="CC63" s="145"/>
      <c r="CD63" s="145"/>
      <c r="CE63" s="145"/>
      <c r="CF63" s="142"/>
    </row>
    <row r="64" spans="1:84" ht="13.5" customHeight="1" thickTop="1" thickBot="1">
      <c r="C64" s="153" t="str">
        <f>+'Cental Budget'!C62</f>
        <v>Primarni bilans</v>
      </c>
      <c r="D64" s="284">
        <f>+D63+D48</f>
        <v>43219504.630000003</v>
      </c>
      <c r="E64" s="285">
        <f t="shared" si="1"/>
        <v>1.1920190356604554</v>
      </c>
      <c r="F64" s="284">
        <f>+F63+F48</f>
        <v>35412830.679999985</v>
      </c>
      <c r="G64" s="285">
        <f t="shared" si="0"/>
        <v>0.97670643471187246</v>
      </c>
      <c r="H64" s="284">
        <f t="shared" si="2"/>
        <v>7806673.9500000179</v>
      </c>
      <c r="I64" s="285">
        <f t="shared" si="3"/>
        <v>22.044761178633962</v>
      </c>
      <c r="J64" s="284">
        <f>+J63+J48</f>
        <v>35203874.409999996</v>
      </c>
      <c r="K64" s="286">
        <f t="shared" si="4"/>
        <v>1.0278842692382415</v>
      </c>
      <c r="L64" s="284">
        <f t="shared" si="5"/>
        <v>8015630.2200000063</v>
      </c>
      <c r="M64" s="285">
        <f t="shared" si="6"/>
        <v>22.769170593686397</v>
      </c>
      <c r="O64" s="81"/>
      <c r="CA64" s="146"/>
      <c r="CB64" s="146"/>
      <c r="CC64" s="145"/>
      <c r="CD64" s="145"/>
      <c r="CE64" s="145"/>
      <c r="CF64" s="142"/>
    </row>
    <row r="65" spans="2:84" ht="13.5" customHeight="1" thickTop="1" thickBot="1">
      <c r="C65" s="153" t="str">
        <f>+'Cental Budget'!C63</f>
        <v>Otplata dugova</v>
      </c>
      <c r="D65" s="284">
        <f>+SUM(D66:D68)</f>
        <v>27393346.800000001</v>
      </c>
      <c r="E65" s="285">
        <f t="shared" si="1"/>
        <v>0.75552441231320111</v>
      </c>
      <c r="F65" s="284">
        <f>+SUM(F66:F68)</f>
        <v>27346927.330000002</v>
      </c>
      <c r="G65" s="285">
        <f t="shared" si="0"/>
        <v>0.75424413637438659</v>
      </c>
      <c r="H65" s="284">
        <f t="shared" si="2"/>
        <v>46419.469999998808</v>
      </c>
      <c r="I65" s="285">
        <f t="shared" si="3"/>
        <v>0.16974290910216894</v>
      </c>
      <c r="J65" s="284">
        <f>+SUM(J66:J68)</f>
        <v>27076165.68</v>
      </c>
      <c r="K65" s="286">
        <f t="shared" si="4"/>
        <v>0.79057107321842524</v>
      </c>
      <c r="L65" s="284">
        <f t="shared" si="5"/>
        <v>317181.12000000104</v>
      </c>
      <c r="M65" s="285">
        <f t="shared" si="6"/>
        <v>1.1714403130362427</v>
      </c>
      <c r="O65" s="81"/>
      <c r="CA65" s="146"/>
      <c r="CB65" s="146"/>
      <c r="CC65" s="145"/>
      <c r="CD65" s="145"/>
      <c r="CE65" s="145"/>
      <c r="CF65" s="142"/>
    </row>
    <row r="66" spans="2:84" ht="13.5" customHeight="1" thickTop="1">
      <c r="B66" s="80">
        <v>4611</v>
      </c>
      <c r="C66" s="97" t="str">
        <f>+'Cental Budget'!C64</f>
        <v>Otplata hartija od vrijednosti i kredita rezidentima</v>
      </c>
      <c r="D66" s="300">
        <v>6579822</v>
      </c>
      <c r="E66" s="302">
        <f t="shared" si="1"/>
        <v>0.18147531172333681</v>
      </c>
      <c r="F66" s="300">
        <v>4588338.24</v>
      </c>
      <c r="G66" s="302">
        <f t="shared" si="0"/>
        <v>0.12654903314954516</v>
      </c>
      <c r="H66" s="303">
        <f t="shared" si="2"/>
        <v>1991483.7599999998</v>
      </c>
      <c r="I66" s="304">
        <f t="shared" si="3"/>
        <v>43.403159397420524</v>
      </c>
      <c r="J66" s="300">
        <v>4542909.1500000004</v>
      </c>
      <c r="K66" s="302">
        <f t="shared" si="4"/>
        <v>0.13264406063603704</v>
      </c>
      <c r="L66" s="303">
        <f t="shared" si="5"/>
        <v>2036912.8499999996</v>
      </c>
      <c r="M66" s="304">
        <f t="shared" si="6"/>
        <v>44.837190944045176</v>
      </c>
      <c r="O66" s="81"/>
      <c r="CA66" s="146"/>
      <c r="CB66" s="146"/>
      <c r="CC66" s="145"/>
      <c r="CD66" s="145"/>
      <c r="CE66" s="145"/>
      <c r="CF66" s="142"/>
    </row>
    <row r="67" spans="2:84" ht="13.5" customHeight="1">
      <c r="B67" s="80">
        <v>4612</v>
      </c>
      <c r="C67" s="97" t="str">
        <f>+'Cental Budget'!C65</f>
        <v>Otplata hartija od vrijednosti i kredita nerezidentima</v>
      </c>
      <c r="D67" s="301">
        <v>1015316.98</v>
      </c>
      <c r="E67" s="270">
        <f t="shared" si="1"/>
        <v>2.8003031912336978E-2</v>
      </c>
      <c r="F67" s="301">
        <v>1141907.17</v>
      </c>
      <c r="G67" s="270">
        <f t="shared" si="0"/>
        <v>3.1494462864628155E-2</v>
      </c>
      <c r="H67" s="271">
        <f t="shared" si="2"/>
        <v>-126590.18999999994</v>
      </c>
      <c r="I67" s="272">
        <f t="shared" si="3"/>
        <v>-11.085856479909822</v>
      </c>
      <c r="J67" s="301">
        <v>1130601.1599999999</v>
      </c>
      <c r="K67" s="270">
        <f t="shared" si="4"/>
        <v>3.3011342263407087E-2</v>
      </c>
      <c r="L67" s="271">
        <f t="shared" si="5"/>
        <v>-115284.17999999993</v>
      </c>
      <c r="M67" s="272">
        <f t="shared" si="6"/>
        <v>-10.196715170538113</v>
      </c>
      <c r="O67" s="81"/>
      <c r="CA67" s="146"/>
      <c r="CB67" s="146"/>
      <c r="CC67" s="145"/>
      <c r="CD67" s="145"/>
      <c r="CE67" s="145"/>
      <c r="CF67" s="142"/>
    </row>
    <row r="68" spans="2:84" ht="13.5" customHeight="1" thickBot="1">
      <c r="B68" s="80" t="s">
        <v>457</v>
      </c>
      <c r="C68" s="97" t="str">
        <f>+'Cental Budget'!C59</f>
        <v>Otplata obaveza iz prethodnih godina</v>
      </c>
      <c r="D68" s="301">
        <v>19798207.82</v>
      </c>
      <c r="E68" s="270">
        <f t="shared" si="1"/>
        <v>0.54604606867752725</v>
      </c>
      <c r="F68" s="301">
        <v>21616681.920000002</v>
      </c>
      <c r="G68" s="270">
        <f t="shared" si="0"/>
        <v>0.59620064036021325</v>
      </c>
      <c r="H68" s="271">
        <f t="shared" si="2"/>
        <v>-1818474.1000000015</v>
      </c>
      <c r="I68" s="272">
        <f t="shared" si="3"/>
        <v>-8.4123646114139632</v>
      </c>
      <c r="J68" s="301">
        <v>21402655.370000001</v>
      </c>
      <c r="K68" s="270">
        <f t="shared" si="4"/>
        <v>0.62491567031898121</v>
      </c>
      <c r="L68" s="271">
        <f t="shared" si="5"/>
        <v>-1604447.5500000007</v>
      </c>
      <c r="M68" s="272">
        <f t="shared" si="6"/>
        <v>-7.4964882733613791</v>
      </c>
      <c r="O68" s="81"/>
      <c r="CA68" s="146"/>
      <c r="CB68" s="146"/>
      <c r="CC68" s="145"/>
      <c r="CD68" s="145"/>
      <c r="CE68" s="145"/>
      <c r="CF68" s="142"/>
    </row>
    <row r="69" spans="2:84" ht="13.5" customHeight="1" thickTop="1" thickBot="1">
      <c r="C69" s="153" t="str">
        <f>+'Cental Budget'!C67</f>
        <v>Nedostajuća sredstva</v>
      </c>
      <c r="D69" s="284">
        <f>+D63-D65</f>
        <v>14475338.699999999</v>
      </c>
      <c r="E69" s="285">
        <f t="shared" si="1"/>
        <v>0.3992382473087237</v>
      </c>
      <c r="F69" s="284">
        <f>+F63-F65</f>
        <v>6762392.8999999799</v>
      </c>
      <c r="G69" s="285">
        <f t="shared" si="0"/>
        <v>0.18651072316594217</v>
      </c>
      <c r="H69" s="284">
        <f t="shared" si="2"/>
        <v>7712945.8000000194</v>
      </c>
      <c r="I69" s="285">
        <f t="shared" si="3"/>
        <v>114.05645773702443</v>
      </c>
      <c r="J69" s="284">
        <f>+J63-J65</f>
        <v>6837104.3200000003</v>
      </c>
      <c r="K69" s="286">
        <f t="shared" si="4"/>
        <v>0.19963007184437984</v>
      </c>
      <c r="L69" s="284">
        <f t="shared" si="5"/>
        <v>7638234.379999999</v>
      </c>
      <c r="M69" s="285">
        <f t="shared" si="6"/>
        <v>111.71738827586003</v>
      </c>
      <c r="O69" s="81"/>
      <c r="CA69" s="146"/>
      <c r="CB69" s="146"/>
      <c r="CC69" s="145"/>
      <c r="CD69" s="145"/>
      <c r="CE69" s="145"/>
      <c r="CF69" s="142"/>
    </row>
    <row r="70" spans="2:84" ht="13.5" customHeight="1" thickTop="1" thickBot="1">
      <c r="C70" s="153" t="str">
        <f>+'Cental Budget'!C68</f>
        <v>Finansiranje</v>
      </c>
      <c r="D70" s="284">
        <f>+SUM(D71:D74)</f>
        <v>-14475338.700000001</v>
      </c>
      <c r="E70" s="285">
        <f t="shared" si="1"/>
        <v>-0.3992382473087237</v>
      </c>
      <c r="F70" s="284">
        <f>+SUM(F71:F74)</f>
        <v>-6762392.899999979</v>
      </c>
      <c r="G70" s="285">
        <f t="shared" si="0"/>
        <v>-0.18651072316594214</v>
      </c>
      <c r="H70" s="284">
        <f t="shared" si="2"/>
        <v>-7712945.8000000222</v>
      </c>
      <c r="I70" s="285">
        <f t="shared" si="3"/>
        <v>114.05645773702452</v>
      </c>
      <c r="J70" s="284">
        <f>+SUM(J71:J74)</f>
        <v>-6837104.3199999994</v>
      </c>
      <c r="K70" s="286">
        <f t="shared" si="4"/>
        <v>-0.19963007184437984</v>
      </c>
      <c r="L70" s="284">
        <f t="shared" si="5"/>
        <v>-7638234.3800000018</v>
      </c>
      <c r="M70" s="285">
        <f t="shared" si="6"/>
        <v>111.71738827586006</v>
      </c>
      <c r="O70" s="81"/>
      <c r="CA70" s="146"/>
      <c r="CB70" s="146"/>
      <c r="CC70" s="145"/>
      <c r="CD70" s="145"/>
      <c r="CE70" s="145"/>
      <c r="CF70" s="142"/>
    </row>
    <row r="71" spans="2:84" ht="13.5" customHeight="1" thickTop="1">
      <c r="B71" s="80">
        <v>7511</v>
      </c>
      <c r="C71" s="97" t="str">
        <f>+'Cental Budget'!C69</f>
        <v>Pozajmice i krediti od domaćih izvora</v>
      </c>
      <c r="D71" s="300">
        <v>2267589.2599999998</v>
      </c>
      <c r="E71" s="302">
        <f t="shared" si="1"/>
        <v>6.2541428600802668E-2</v>
      </c>
      <c r="F71" s="300">
        <v>1061347.33</v>
      </c>
      <c r="G71" s="302">
        <f t="shared" si="0"/>
        <v>2.9272575695585876E-2</v>
      </c>
      <c r="H71" s="303">
        <f t="shared" si="2"/>
        <v>1206241.9299999997</v>
      </c>
      <c r="I71" s="304">
        <f t="shared" si="3"/>
        <v>113.65194935761505</v>
      </c>
      <c r="J71" s="300">
        <v>1050838.94</v>
      </c>
      <c r="K71" s="302">
        <f t="shared" si="4"/>
        <v>3.0682441465083855E-2</v>
      </c>
      <c r="L71" s="303">
        <f t="shared" si="5"/>
        <v>1216750.3199999998</v>
      </c>
      <c r="M71" s="304">
        <f t="shared" si="6"/>
        <v>115.78846897318061</v>
      </c>
      <c r="O71" s="81"/>
      <c r="CA71" s="146"/>
      <c r="CB71" s="146"/>
      <c r="CC71" s="145"/>
      <c r="CD71" s="145"/>
      <c r="CE71" s="145"/>
      <c r="CF71" s="142"/>
    </row>
    <row r="72" spans="2:84" ht="13.5" customHeight="1">
      <c r="B72" s="80">
        <v>7512</v>
      </c>
      <c r="C72" s="97" t="str">
        <f>+'Cental Budget'!C70</f>
        <v>Pozajmice i krediti od inostranih izvora</v>
      </c>
      <c r="D72" s="301">
        <v>2151014.4700000002</v>
      </c>
      <c r="E72" s="270">
        <f t="shared" si="1"/>
        <v>5.9326228196546683E-2</v>
      </c>
      <c r="F72" s="301">
        <v>824872.9</v>
      </c>
      <c r="G72" s="270">
        <f t="shared" si="0"/>
        <v>2.2750473593302803E-2</v>
      </c>
      <c r="H72" s="271">
        <f t="shared" si="2"/>
        <v>1326141.5700000003</v>
      </c>
      <c r="I72" s="305"/>
      <c r="J72" s="301">
        <v>816705.84</v>
      </c>
      <c r="K72" s="270">
        <f t="shared" si="4"/>
        <v>2.3846212941054639E-2</v>
      </c>
      <c r="L72" s="271">
        <f t="shared" si="5"/>
        <v>1334308.6300000004</v>
      </c>
      <c r="M72" s="305">
        <f t="shared" si="6"/>
        <v>163.37689344795183</v>
      </c>
      <c r="O72" s="81"/>
      <c r="CA72" s="146"/>
      <c r="CB72" s="146"/>
      <c r="CC72" s="145"/>
      <c r="CD72" s="145"/>
      <c r="CE72" s="145"/>
      <c r="CF72" s="142"/>
    </row>
    <row r="73" spans="2:84" ht="13.5" customHeight="1" thickBot="1">
      <c r="B73" s="80">
        <v>72</v>
      </c>
      <c r="C73" s="103" t="str">
        <f>+'Cental Budget'!C71</f>
        <v>Primici od prodaje imovine</v>
      </c>
      <c r="D73" s="301">
        <v>876312.85</v>
      </c>
      <c r="E73" s="270">
        <f t="shared" si="1"/>
        <v>2.4169217285956321E-2</v>
      </c>
      <c r="F73" s="301">
        <v>1646522.97</v>
      </c>
      <c r="G73" s="270">
        <f t="shared" si="0"/>
        <v>4.5412059663678492E-2</v>
      </c>
      <c r="H73" s="271">
        <f t="shared" si="2"/>
        <v>-770210.12</v>
      </c>
      <c r="I73" s="272">
        <f t="shared" si="3"/>
        <v>-46.777976015724818</v>
      </c>
      <c r="J73" s="301">
        <v>1630220.76</v>
      </c>
      <c r="K73" s="270">
        <f t="shared" si="4"/>
        <v>4.7599257259979835E-2</v>
      </c>
      <c r="L73" s="271">
        <f t="shared" si="5"/>
        <v>-753907.91</v>
      </c>
      <c r="M73" s="272">
        <f t="shared" si="6"/>
        <v>-46.245755697528971</v>
      </c>
      <c r="O73" s="81"/>
      <c r="CA73" s="146"/>
      <c r="CB73" s="146"/>
      <c r="CC73" s="145"/>
      <c r="CD73" s="145"/>
      <c r="CE73" s="145"/>
      <c r="CF73" s="142"/>
    </row>
    <row r="74" spans="2:84" ht="13.5" customHeight="1" thickTop="1" thickBot="1">
      <c r="C74" s="148" t="str">
        <f>+'Cental Budget'!C72</f>
        <v>Povećanje / smanjenje depozita</v>
      </c>
      <c r="D74" s="149">
        <f>-D69-SUM(D71:D73)</f>
        <v>-19770255.280000001</v>
      </c>
      <c r="E74" s="235">
        <f t="shared" si="1"/>
        <v>-0.54527512139202938</v>
      </c>
      <c r="F74" s="149">
        <f>-F69-SUM(F71:F73)</f>
        <v>-10295136.099999979</v>
      </c>
      <c r="G74" s="235">
        <f t="shared" si="0"/>
        <v>-0.28394583211850932</v>
      </c>
      <c r="H74" s="208">
        <f t="shared" si="2"/>
        <v>-9475119.1800000221</v>
      </c>
      <c r="I74" s="250">
        <f t="shared" si="3"/>
        <v>92.034909378226104</v>
      </c>
      <c r="J74" s="149">
        <f>-J69-SUM(J71:J73)</f>
        <v>-10334869.859999999</v>
      </c>
      <c r="K74" s="306">
        <f t="shared" si="4"/>
        <v>-0.30175798351049815</v>
      </c>
      <c r="L74" s="208">
        <f t="shared" si="5"/>
        <v>-9435385.4200000018</v>
      </c>
      <c r="M74" s="250">
        <f t="shared" si="6"/>
        <v>91.296606031960266</v>
      </c>
      <c r="O74" s="81"/>
      <c r="CA74" s="146"/>
      <c r="CB74" s="146"/>
      <c r="CC74" s="145"/>
      <c r="CD74" s="145"/>
      <c r="CE74" s="145"/>
      <c r="CF74" s="142"/>
    </row>
    <row r="75" spans="2:84" ht="13.5" customHeight="1" thickTop="1" thickBot="1">
      <c r="B75" s="80">
        <v>999</v>
      </c>
      <c r="C75" s="153" t="s">
        <v>465</v>
      </c>
      <c r="D75" s="290">
        <v>181625.16999999998</v>
      </c>
      <c r="E75" s="285">
        <f t="shared" si="1"/>
        <v>5.0093276600117814E-3</v>
      </c>
      <c r="F75" s="290">
        <v>871592.28</v>
      </c>
      <c r="G75" s="285">
        <f t="shared" si="0"/>
        <v>2.4039021224077774E-2</v>
      </c>
      <c r="H75" s="284">
        <f t="shared" si="2"/>
        <v>-689967.1100000001</v>
      </c>
      <c r="I75" s="285"/>
      <c r="J75" s="290">
        <v>862962.65</v>
      </c>
      <c r="K75" s="286">
        <f t="shared" si="4"/>
        <v>2.5196821308485818E-2</v>
      </c>
      <c r="L75" s="284">
        <f t="shared" si="5"/>
        <v>-681337.48</v>
      </c>
      <c r="M75" s="285">
        <f t="shared" si="6"/>
        <v>-78.953298847870187</v>
      </c>
      <c r="O75" s="81"/>
      <c r="P75" s="216"/>
      <c r="CA75" s="146"/>
      <c r="CB75" s="146"/>
      <c r="CC75" s="145"/>
      <c r="CD75" s="145"/>
      <c r="CE75" s="145"/>
      <c r="CF75" s="142"/>
    </row>
    <row r="76" spans="2:84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O76" s="81"/>
    </row>
    <row r="77" spans="2:84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O77" s="81"/>
    </row>
    <row r="78" spans="2:84">
      <c r="D78" s="133"/>
      <c r="E78" s="134"/>
      <c r="F78" s="134"/>
      <c r="G78" s="134"/>
      <c r="H78" s="134"/>
      <c r="I78" s="134"/>
      <c r="J78" s="134"/>
      <c r="K78" s="134"/>
      <c r="L78" s="134"/>
      <c r="M78" s="134"/>
    </row>
    <row r="79" spans="2:84">
      <c r="D79" s="133"/>
      <c r="E79" s="134"/>
      <c r="F79" s="134"/>
      <c r="G79" s="134"/>
      <c r="H79" s="134"/>
      <c r="I79" s="134"/>
      <c r="J79" s="134"/>
      <c r="K79" s="134"/>
      <c r="L79" s="134"/>
      <c r="M79" s="134"/>
    </row>
    <row r="80" spans="2:84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5:13">
      <c r="E81" s="134"/>
      <c r="F81" s="134"/>
      <c r="G81" s="134"/>
      <c r="H81" s="134"/>
      <c r="I81" s="134"/>
      <c r="J81" s="134"/>
      <c r="K81" s="134"/>
      <c r="L81" s="134"/>
      <c r="M81" s="134"/>
    </row>
    <row r="82" spans="5:13">
      <c r="E82" s="134"/>
      <c r="F82" s="134"/>
      <c r="G82" s="134"/>
      <c r="H82" s="134"/>
      <c r="I82" s="134"/>
      <c r="J82" s="134"/>
      <c r="K82" s="134"/>
      <c r="L82" s="134"/>
      <c r="M82" s="134"/>
    </row>
    <row r="83" spans="5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5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5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5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5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5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5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5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5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5:13">
      <c r="E92" s="134"/>
      <c r="F92" s="134"/>
      <c r="G92" s="134"/>
      <c r="H92" s="134"/>
      <c r="I92" s="134"/>
      <c r="J92" s="134"/>
      <c r="K92" s="134"/>
      <c r="L92" s="134"/>
      <c r="M92" s="13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CI82"/>
  <sheetViews>
    <sheetView topLeftCell="C1" zoomScale="90" zoomScaleNormal="90" workbookViewId="0">
      <pane ySplit="15" topLeftCell="A43" activePane="bottomLeft" state="frozen"/>
      <selection pane="bottomLeft" activeCell="L33" sqref="L33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13" width="9.42578125" style="80" customWidth="1"/>
    <col min="14" max="14" width="15" style="80" customWidth="1"/>
    <col min="15" max="79" width="9.140625" style="80" customWidth="1"/>
    <col min="80" max="80" width="9.140625" style="80"/>
    <col min="81" max="81" width="15.42578125" style="80" customWidth="1"/>
    <col min="82" max="82" width="12.7109375" style="80" customWidth="1"/>
    <col min="83" max="83" width="11.85546875" style="80" customWidth="1"/>
    <col min="84" max="16384" width="9.140625" style="80"/>
  </cols>
  <sheetData>
    <row r="1" spans="2:79" s="135" customFormat="1" ht="12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</row>
    <row r="2" spans="2:79" ht="15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</row>
    <row r="3" spans="2:79" ht="15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</row>
    <row r="4" spans="2:79" ht="15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</row>
    <row r="5" spans="2:79" ht="15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</row>
    <row r="6" spans="2:79" ht="15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</row>
    <row r="7" spans="2:79" ht="15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</row>
    <row r="8" spans="2:79" ht="15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</row>
    <row r="9" spans="2:79" ht="15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</row>
    <row r="10" spans="2:79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</row>
    <row r="11" spans="2:79" ht="18.75" customHeight="1" thickTop="1" thickBot="1">
      <c r="C11" s="167" t="str">
        <f>IF(MasterSheet!$A$1=1,MasterSheet!B67,MasterSheet!B66)</f>
        <v>BDP (u mil. €)</v>
      </c>
      <c r="D11" s="337">
        <f>+'Cental Budget'!D11:G11</f>
        <v>3625739466.9921198</v>
      </c>
      <c r="E11" s="338"/>
      <c r="F11" s="338"/>
      <c r="G11" s="339"/>
      <c r="H11" s="324"/>
      <c r="I11" s="325"/>
      <c r="J11" s="335">
        <f>+'Cental Budget'!J11:K11</f>
        <v>3424886970.6012101</v>
      </c>
      <c r="K11" s="336"/>
      <c r="L11" s="324"/>
      <c r="M11" s="328"/>
      <c r="N11" s="206"/>
      <c r="O11" s="81"/>
      <c r="P11" s="21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</row>
    <row r="12" spans="2:79" ht="19.5" customHeight="1" thickTop="1">
      <c r="C12" s="174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212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</row>
    <row r="13" spans="2:79" ht="27" customHeight="1" thickBot="1">
      <c r="B13" s="85"/>
      <c r="C13" s="175"/>
      <c r="D13" s="332" t="s">
        <v>468</v>
      </c>
      <c r="E13" s="332"/>
      <c r="F13" s="86"/>
      <c r="G13" s="86"/>
      <c r="H13" s="86"/>
      <c r="I13" s="86"/>
      <c r="J13" s="344"/>
      <c r="K13" s="344"/>
      <c r="L13" s="86"/>
      <c r="M13" s="86"/>
      <c r="N13" s="84"/>
      <c r="O13" s="136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</row>
    <row r="14" spans="2:79" ht="15.75" customHeight="1" thickTop="1">
      <c r="B14" s="87"/>
      <c r="C14" s="340" t="s">
        <v>235</v>
      </c>
      <c r="D14" s="342" t="s">
        <v>469</v>
      </c>
      <c r="E14" s="343"/>
      <c r="F14" s="342" t="s">
        <v>472</v>
      </c>
      <c r="G14" s="343"/>
      <c r="H14" s="342" t="str">
        <f>+'Cental Budget'!H14:I14</f>
        <v>Odstupanje</v>
      </c>
      <c r="I14" s="343"/>
      <c r="J14" s="342" t="s">
        <v>446</v>
      </c>
      <c r="K14" s="343"/>
      <c r="L14" s="342" t="str">
        <f>+H14</f>
        <v>Odstupanje</v>
      </c>
      <c r="M14" s="343"/>
      <c r="O14" s="99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</row>
    <row r="15" spans="2:79" ht="15" customHeight="1" thickBot="1">
      <c r="C15" s="341" t="str">
        <f>IF(MasterSheet!$A$1=1,MasterSheet!B71,MasterSheet!B70)</f>
        <v>Budžet Crne Gore</v>
      </c>
      <c r="D15" s="168" t="str">
        <f>IF(MasterSheet!$A$1=1,MasterSheet!C71,MasterSheet!C70)</f>
        <v>mil. €</v>
      </c>
      <c r="E15" s="169" t="str">
        <f>IF(MasterSheet!$A$1=1,MasterSheet!D71,MasterSheet!D70)</f>
        <v>% BDP</v>
      </c>
      <c r="F15" s="170" t="str">
        <f>IF(MasterSheet!$A$1=1,MasterSheet!E71,MasterSheet!E70)</f>
        <v>mil. €</v>
      </c>
      <c r="G15" s="171" t="str">
        <f>IF(MasterSheet!$A$1=1,MasterSheet!F71,MasterSheet!F70)</f>
        <v>% BDP</v>
      </c>
      <c r="H15" s="172" t="str">
        <f>IF(MasterSheet!$A$1=1,MasterSheet!G71,MasterSheet!G70)</f>
        <v>mil. €</v>
      </c>
      <c r="I15" s="171" t="s">
        <v>442</v>
      </c>
      <c r="J15" s="168" t="str">
        <f>IF(MasterSheet!$A$1=1,MasterSheet!I71,MasterSheet!I70)</f>
        <v>mil. €</v>
      </c>
      <c r="K15" s="170" t="str">
        <f>IF(MasterSheet!$A$1=1,MasterSheet!J71,MasterSheet!J70)</f>
        <v>% BDP</v>
      </c>
      <c r="L15" s="168" t="str">
        <f>IF(MasterSheet!$A$1=1,MasterSheet!K71,MasterSheet!K70)</f>
        <v>mil. €</v>
      </c>
      <c r="M15" s="169" t="s">
        <v>442</v>
      </c>
      <c r="O15" s="99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</row>
    <row r="16" spans="2:79" ht="15" customHeight="1" thickTop="1" thickBot="1">
      <c r="C16" s="178" t="str">
        <f>IF(MasterSheet!$A$1=1,MasterSheet!C72,MasterSheet!B72)</f>
        <v>Izvorni prihodi</v>
      </c>
      <c r="D16" s="176">
        <f>D17+D26+D31+D32+D33+D34+D35</f>
        <v>684478402.14999974</v>
      </c>
      <c r="E16" s="251">
        <f t="shared" ref="E16:E75" si="0">D16/D$11*100</f>
        <v>18.8783118142197</v>
      </c>
      <c r="F16" s="176">
        <f>F17+F26+F31+F32+F33+F34+F35</f>
        <v>671004332.88203323</v>
      </c>
      <c r="G16" s="251">
        <f>F16/D$11*100</f>
        <v>18.506689159292858</v>
      </c>
      <c r="H16" s="176">
        <f>+D16-F16</f>
        <v>13474069.267966509</v>
      </c>
      <c r="I16" s="251">
        <f>+D16/F16*100-100</f>
        <v>2.0080450464595287</v>
      </c>
      <c r="J16" s="176">
        <f>J17+J26+J31+J32+J33+J34+J35</f>
        <v>665138226.2299999</v>
      </c>
      <c r="K16" s="251">
        <f t="shared" ref="K16:K75" si="1">J16/J$11*100</f>
        <v>19.42073510569724</v>
      </c>
      <c r="L16" s="176">
        <f>+D16-J16</f>
        <v>19340175.919999838</v>
      </c>
      <c r="M16" s="251">
        <f>+D16/J16*100-100</f>
        <v>2.9076927407435136</v>
      </c>
      <c r="O16" s="99"/>
      <c r="P16" s="81"/>
      <c r="Q16" s="81"/>
      <c r="R16" s="81" t="s">
        <v>449</v>
      </c>
      <c r="S16" s="81" t="s">
        <v>450</v>
      </c>
      <c r="T16" s="81" t="s">
        <v>451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</row>
    <row r="17" spans="2:84" ht="15" customHeight="1" thickTop="1">
      <c r="B17" s="80">
        <v>711</v>
      </c>
      <c r="C17" s="93" t="str">
        <f>IF(MasterSheet!$A$1=1,MasterSheet!C73,MasterSheet!B73)</f>
        <v>Porezi</v>
      </c>
      <c r="D17" s="154">
        <f>SUM(D18:D25)</f>
        <v>413266582.42999995</v>
      </c>
      <c r="E17" s="252">
        <f t="shared" si="0"/>
        <v>11.39813233113636</v>
      </c>
      <c r="F17" s="154">
        <f>SUM(F18:F25)</f>
        <v>417274299.85333472</v>
      </c>
      <c r="G17" s="252">
        <f t="shared" ref="G17:G75" si="2">F17/D$11*100</f>
        <v>11.508667504990413</v>
      </c>
      <c r="H17" s="209">
        <f t="shared" ref="H17:H75" si="3">+D17-F17</f>
        <v>-4007717.4233347774</v>
      </c>
      <c r="I17" s="258">
        <f t="shared" ref="I17:I75" si="4">+D17/F17*100-100</f>
        <v>-0.96045153625406954</v>
      </c>
      <c r="J17" s="154">
        <f>SUM(J18:J25)</f>
        <v>406443877.76999992</v>
      </c>
      <c r="K17" s="252">
        <f t="shared" si="1"/>
        <v>11.867366171755798</v>
      </c>
      <c r="L17" s="209">
        <f t="shared" ref="L17:L75" si="5">+D17-J17</f>
        <v>6822704.6600000262</v>
      </c>
      <c r="M17" s="260">
        <f t="shared" ref="M17:M75" si="6">+D17/J17*100-100</f>
        <v>1.6786338860443948</v>
      </c>
      <c r="N17" s="220"/>
      <c r="O17" s="99"/>
      <c r="P17" s="81"/>
      <c r="Q17" s="81" t="s">
        <v>446</v>
      </c>
      <c r="R17" s="212">
        <f>+D16</f>
        <v>684478402.14999974</v>
      </c>
      <c r="S17" s="212">
        <f>+D36</f>
        <v>899381429.53999996</v>
      </c>
      <c r="T17" s="212">
        <f>+D64</f>
        <v>-214903027.39000022</v>
      </c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</row>
    <row r="18" spans="2:84" ht="15" customHeight="1">
      <c r="B18" s="80">
        <v>7111</v>
      </c>
      <c r="C18" s="97" t="str">
        <f>IF(MasterSheet!$A$1=1,MasterSheet!C74,MasterSheet!B74)</f>
        <v>Porez na dohodak fizičkih lica</v>
      </c>
      <c r="D18" s="156">
        <f>+IF(ISNUMBER(VLOOKUP($B18,'Cental Budget'!$B$16:$K$75,'Public Expenditure'!D$1,FALSE)),VLOOKUP($B18,'Cental Budget'!$B$16:$K$75,'Public Expenditure'!D$1,FALSE),0)+IF(ISNUMBER(VLOOKUP('Public Expenditure'!$B18,'Local Government'!$B$16:$O$75,'Public Expenditure'!D$1,FALSE)),VLOOKUP('Public Expenditure'!$B18,'Local Government'!$B$16:$O$75,'Public Expenditure'!D$1,FALSE),0)</f>
        <v>52653626.339999996</v>
      </c>
      <c r="E18" s="253">
        <f t="shared" si="0"/>
        <v>1.4522175909037656</v>
      </c>
      <c r="F18" s="156">
        <f>+IF(ISNUMBER(VLOOKUP($B18,'Cental Budget'!$B$16:$K$75,'Public Expenditure'!F$1,FALSE)),VLOOKUP($B18,'Cental Budget'!$B$16:$K$75,'Public Expenditure'!F$1,FALSE),0)+IF(ISNUMBER(VLOOKUP('Public Expenditure'!$B18,'Local Government'!$B$16:$O$75,'Public Expenditure'!F$1,FALSE)),VLOOKUP('Public Expenditure'!$B18,'Local Government'!$B$16:$O$75,'Public Expenditure'!F$1,FALSE),0)</f>
        <v>60613730.605305053</v>
      </c>
      <c r="G18" s="253">
        <f t="shared" si="2"/>
        <v>1.6717618890468613</v>
      </c>
      <c r="H18" s="210">
        <f t="shared" si="3"/>
        <v>-7960104.2653050572</v>
      </c>
      <c r="I18" s="259">
        <f t="shared" si="4"/>
        <v>-13.132510053107296</v>
      </c>
      <c r="J18" s="156">
        <f>+IF(ISNUMBER(VLOOKUP($B18,'Cental Budget'!$B$16:$K$75,'Public Expenditure'!J$1,FALSE)),VLOOKUP($B18,'Cental Budget'!$B$16:$K$75,'Public Expenditure'!J$1,FALSE),0)+IF(ISNUMBER(VLOOKUP('Public Expenditure'!$B18,'Local Government'!$B$16:$O$75,'Public Expenditure'!J$1,FALSE)),VLOOKUP('Public Expenditure'!$B18,'Local Government'!$B$16:$O$75,'Public Expenditure'!J$1,FALSE),0)</f>
        <v>58778382.399999999</v>
      </c>
      <c r="K18" s="253">
        <f t="shared" si="1"/>
        <v>1.7162137876241195</v>
      </c>
      <c r="L18" s="210">
        <f t="shared" si="5"/>
        <v>-6124756.0600000024</v>
      </c>
      <c r="M18" s="259">
        <f t="shared" si="6"/>
        <v>-10.42008270714166</v>
      </c>
      <c r="O18" s="99"/>
      <c r="P18" s="81"/>
      <c r="Q18" s="81" t="s">
        <v>447</v>
      </c>
      <c r="R18" s="212">
        <f>+F16</f>
        <v>671004332.88203323</v>
      </c>
      <c r="S18" s="212">
        <f>+F36</f>
        <v>840197678.26044452</v>
      </c>
      <c r="T18" s="212">
        <f>+F64</f>
        <v>-169193345.37841129</v>
      </c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</row>
    <row r="19" spans="2:84" ht="15" customHeight="1">
      <c r="B19" s="80">
        <v>7112</v>
      </c>
      <c r="C19" s="97" t="str">
        <f>IF(MasterSheet!$A$1=1,MasterSheet!C75,MasterSheet!B75)</f>
        <v>Porez na dobit pravnih lica</v>
      </c>
      <c r="D19" s="156">
        <f>+IF(ISNUMBER(VLOOKUP($B19,'Cental Budget'!$B$16:$K$75,'Public Expenditure'!D$1,FALSE)),VLOOKUP($B19,'Cental Budget'!$B$16:$K$75,'Public Expenditure'!D$1,FALSE),0)+IF(ISNUMBER(VLOOKUP('Public Expenditure'!$B19,'Local Government'!$B$16:$O$75,'Public Expenditure'!D$1,FALSE)),VLOOKUP('Public Expenditure'!$B19,'Local Government'!$B$16:$O$75,'Public Expenditure'!D$1,FALSE),0)</f>
        <v>32642888.829999998</v>
      </c>
      <c r="E19" s="253">
        <f t="shared" si="0"/>
        <v>0.90030982995808684</v>
      </c>
      <c r="F19" s="156">
        <f>+IF(ISNUMBER(VLOOKUP($B19,'Cental Budget'!$B$16:$K$75,'Public Expenditure'!F$1,FALSE)),VLOOKUP($B19,'Cental Budget'!$B$16:$K$75,'Public Expenditure'!F$1,FALSE),0)+IF(ISNUMBER(VLOOKUP('Public Expenditure'!$B19,'Local Government'!$B$16:$O$75,'Public Expenditure'!F$1,FALSE)),VLOOKUP('Public Expenditure'!$B19,'Local Government'!$B$16:$O$75,'Public Expenditure'!F$1,FALSE),0)</f>
        <v>31987830.262809042</v>
      </c>
      <c r="G19" s="253">
        <f t="shared" si="2"/>
        <v>0.88224293427640721</v>
      </c>
      <c r="H19" s="210">
        <f t="shared" si="3"/>
        <v>655058.56719095632</v>
      </c>
      <c r="I19" s="259">
        <f t="shared" si="4"/>
        <v>2.04783682359529</v>
      </c>
      <c r="J19" s="156">
        <f>+IF(ISNUMBER(VLOOKUP($B19,'Cental Budget'!$B$16:$K$75,'Public Expenditure'!J$1,FALSE)),VLOOKUP($B19,'Cental Budget'!$B$16:$K$75,'Public Expenditure'!J$1,FALSE),0)+IF(ISNUMBER(VLOOKUP('Public Expenditure'!$B19,'Local Government'!$B$16:$O$75,'Public Expenditure'!J$1,FALSE)),VLOOKUP('Public Expenditure'!$B19,'Local Government'!$B$16:$O$75,'Public Expenditure'!J$1,FALSE),0)</f>
        <v>30787131.91</v>
      </c>
      <c r="K19" s="253">
        <f t="shared" si="1"/>
        <v>0.89892402798319426</v>
      </c>
      <c r="L19" s="210">
        <f t="shared" si="5"/>
        <v>1855756.9199999981</v>
      </c>
      <c r="M19" s="259">
        <f t="shared" si="6"/>
        <v>6.0277031502152596</v>
      </c>
      <c r="O19" s="81"/>
      <c r="P19" s="137"/>
      <c r="Q19" s="137">
        <v>2013</v>
      </c>
      <c r="R19" s="213">
        <f>+J16</f>
        <v>665138226.2299999</v>
      </c>
      <c r="S19" s="214">
        <f>+J36</f>
        <v>710077387.68000007</v>
      </c>
      <c r="T19" s="214">
        <f>+J64</f>
        <v>-44939161.450000167</v>
      </c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9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C19" s="81"/>
    </row>
    <row r="20" spans="2:84" ht="15" customHeight="1">
      <c r="B20" s="80">
        <v>7113</v>
      </c>
      <c r="C20" s="97" t="str">
        <f>IF(MasterSheet!$A$1=1,MasterSheet!C76,MasterSheet!B76)</f>
        <v>Porez na promet nepokretnosti</v>
      </c>
      <c r="D20" s="156">
        <f>+IF(ISNUMBER(VLOOKUP($B20,'Cental Budget'!$B$16:$K$75,'Public Expenditure'!D$1,FALSE)),VLOOKUP($B20,'Cental Budget'!$B$16:$K$75,'Public Expenditure'!D$1,FALSE),0)+IF(ISNUMBER(VLOOKUP('Public Expenditure'!$B20,'Local Government'!$B$16:$O$75,'Public Expenditure'!D$1,FALSE)),VLOOKUP('Public Expenditure'!$B20,'Local Government'!$B$16:$O$75,'Public Expenditure'!D$1,FALSE),0)</f>
        <v>7148808.1200000001</v>
      </c>
      <c r="E20" s="253">
        <f t="shared" si="0"/>
        <v>0.19716827932842584</v>
      </c>
      <c r="F20" s="156">
        <f>+IF(ISNUMBER(VLOOKUP($B20,'Cental Budget'!$B$16:$K$75,'Public Expenditure'!F$1,FALSE)),VLOOKUP($B20,'Cental Budget'!$B$16:$K$75,'Public Expenditure'!F$1,FALSE),0)+IF(ISNUMBER(VLOOKUP('Public Expenditure'!$B20,'Local Government'!$B$16:$O$75,'Public Expenditure'!F$1,FALSE)),VLOOKUP('Public Expenditure'!$B20,'Local Government'!$B$16:$O$75,'Public Expenditure'!F$1,FALSE),0)</f>
        <v>8597651.3860391695</v>
      </c>
      <c r="G20" s="253">
        <f t="shared" si="2"/>
        <v>0.23712821796243685</v>
      </c>
      <c r="H20" s="210">
        <f t="shared" si="3"/>
        <v>-1448843.2660391694</v>
      </c>
      <c r="I20" s="259">
        <f t="shared" si="4"/>
        <v>-16.851616807722564</v>
      </c>
      <c r="J20" s="156">
        <f>+IF(ISNUMBER(VLOOKUP($B20,'Cental Budget'!$B$16:$K$75,'Public Expenditure'!J$1,FALSE)),VLOOKUP($B20,'Cental Budget'!$B$16:$K$75,'Public Expenditure'!J$1,FALSE),0)+IF(ISNUMBER(VLOOKUP('Public Expenditure'!$B20,'Local Government'!$B$16:$O$75,'Public Expenditure'!J$1,FALSE)),VLOOKUP('Public Expenditure'!$B20,'Local Government'!$B$16:$O$75,'Public Expenditure'!J$1,FALSE),0)</f>
        <v>8509903.4199999999</v>
      </c>
      <c r="K20" s="253">
        <f t="shared" si="1"/>
        <v>0.24847253334337507</v>
      </c>
      <c r="L20" s="210">
        <f t="shared" si="5"/>
        <v>-1361095.2999999998</v>
      </c>
      <c r="M20" s="259">
        <f t="shared" si="6"/>
        <v>-15.994250848971447</v>
      </c>
      <c r="P20" s="137"/>
      <c r="Q20" s="137"/>
      <c r="R20" s="137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9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</row>
    <row r="21" spans="2:84" ht="15" customHeight="1">
      <c r="B21" s="80">
        <v>7114</v>
      </c>
      <c r="C21" s="97" t="str">
        <f>IF(MasterSheet!$A$1=1,MasterSheet!C77,MasterSheet!B77)</f>
        <v>Porez na dodatu vrijednost</v>
      </c>
      <c r="D21" s="156">
        <f>+IF(ISNUMBER(VLOOKUP($B21,'Cental Budget'!$B$16:$K$75,'Public Expenditure'!D$1,FALSE)),VLOOKUP($B21,'Cental Budget'!$B$16:$K$75,'Public Expenditure'!D$1,FALSE),0)+IF(ISNUMBER(VLOOKUP('Public Expenditure'!$B21,'Local Government'!$B$16:$O$75,'Public Expenditure'!D$1,FALSE)),VLOOKUP('Public Expenditure'!$B21,'Local Government'!$B$16:$O$75,'Public Expenditure'!D$1,FALSE),0)</f>
        <v>209731060.23999998</v>
      </c>
      <c r="E21" s="253">
        <f t="shared" si="0"/>
        <v>5.7845044341807306</v>
      </c>
      <c r="F21" s="156">
        <f>+IF(ISNUMBER(VLOOKUP($B21,'Cental Budget'!$B$16:$K$75,'Public Expenditure'!F$1,FALSE)),VLOOKUP($B21,'Cental Budget'!$B$16:$K$75,'Public Expenditure'!F$1,FALSE),0)+IF(ISNUMBER(VLOOKUP('Public Expenditure'!$B21,'Local Government'!$B$16:$O$75,'Public Expenditure'!F$1,FALSE)),VLOOKUP('Public Expenditure'!$B21,'Local Government'!$B$16:$O$75,'Public Expenditure'!F$1,FALSE),0)</f>
        <v>210442499.23138723</v>
      </c>
      <c r="G21" s="253">
        <f t="shared" si="2"/>
        <v>5.804126334702377</v>
      </c>
      <c r="H21" s="210">
        <f t="shared" si="3"/>
        <v>-711438.99138724804</v>
      </c>
      <c r="I21" s="259">
        <f t="shared" si="4"/>
        <v>-0.33806811551168892</v>
      </c>
      <c r="J21" s="156">
        <f>+IF(ISNUMBER(VLOOKUP($B21,'Cental Budget'!$B$16:$K$75,'Public Expenditure'!J$1,FALSE)),VLOOKUP($B21,'Cental Budget'!$B$16:$K$75,'Public Expenditure'!J$1,FALSE),0)+IF(ISNUMBER(VLOOKUP('Public Expenditure'!$B21,'Local Government'!$B$16:$O$75,'Public Expenditure'!J$1,FALSE)),VLOOKUP('Public Expenditure'!$B21,'Local Government'!$B$16:$O$75,'Public Expenditure'!J$1,FALSE),0)</f>
        <v>207411174.41</v>
      </c>
      <c r="K21" s="253">
        <f t="shared" si="1"/>
        <v>6.0560005684973222</v>
      </c>
      <c r="L21" s="210">
        <f t="shared" si="5"/>
        <v>2319885.8299999833</v>
      </c>
      <c r="M21" s="259">
        <f t="shared" si="6"/>
        <v>1.118496067822349</v>
      </c>
      <c r="P21" s="81"/>
      <c r="Q21" s="81"/>
      <c r="R21" s="81"/>
    </row>
    <row r="22" spans="2:84" ht="15" customHeight="1">
      <c r="B22" s="80">
        <v>7115</v>
      </c>
      <c r="C22" s="97" t="str">
        <f>IF(MasterSheet!$A$1=1,MasterSheet!C78,MasterSheet!B78)</f>
        <v>Akcize</v>
      </c>
      <c r="D22" s="156">
        <f>+IF(ISNUMBER(VLOOKUP($B22,'Cental Budget'!$B$16:$K$75,'Public Expenditure'!D$1,FALSE)),VLOOKUP($B22,'Cental Budget'!$B$16:$K$75,'Public Expenditure'!D$1,FALSE),0)+IF(ISNUMBER(VLOOKUP('Public Expenditure'!$B22,'Local Government'!$B$16:$O$75,'Public Expenditure'!D$1,FALSE)),VLOOKUP('Public Expenditure'!$B22,'Local Government'!$B$16:$O$75,'Public Expenditure'!D$1,FALSE),0)</f>
        <v>69927537.579999998</v>
      </c>
      <c r="E22" s="253">
        <f t="shared" si="0"/>
        <v>1.9286420940225812</v>
      </c>
      <c r="F22" s="156">
        <f>+IF(ISNUMBER(VLOOKUP($B22,'Cental Budget'!$B$16:$K$75,'Public Expenditure'!F$1,FALSE)),VLOOKUP($B22,'Cental Budget'!$B$16:$K$75,'Public Expenditure'!F$1,FALSE),0)+IF(ISNUMBER(VLOOKUP('Public Expenditure'!$B22,'Local Government'!$B$16:$O$75,'Public Expenditure'!F$1,FALSE)),VLOOKUP('Public Expenditure'!$B22,'Local Government'!$B$16:$O$75,'Public Expenditure'!F$1,FALSE),0)</f>
        <v>69387361.854880959</v>
      </c>
      <c r="G22" s="253">
        <f t="shared" si="2"/>
        <v>1.9137437338387713</v>
      </c>
      <c r="H22" s="210">
        <f t="shared" si="3"/>
        <v>540175.72511903942</v>
      </c>
      <c r="I22" s="259">
        <f t="shared" si="4"/>
        <v>0.77849295704422161</v>
      </c>
      <c r="J22" s="156">
        <f>+IF(ISNUMBER(VLOOKUP($B22,'Cental Budget'!$B$16:$K$75,'Public Expenditure'!J$1,FALSE)),VLOOKUP($B22,'Cental Budget'!$B$16:$K$75,'Public Expenditure'!J$1,FALSE),0)+IF(ISNUMBER(VLOOKUP('Public Expenditure'!$B22,'Local Government'!$B$16:$O$75,'Public Expenditure'!J$1,FALSE)),VLOOKUP('Public Expenditure'!$B22,'Local Government'!$B$16:$O$75,'Public Expenditure'!J$1,FALSE),0)</f>
        <v>65267567.059999995</v>
      </c>
      <c r="K22" s="253">
        <f t="shared" si="1"/>
        <v>1.9056852859743523</v>
      </c>
      <c r="L22" s="210">
        <f t="shared" si="5"/>
        <v>4659970.5200000033</v>
      </c>
      <c r="M22" s="259">
        <f t="shared" si="6"/>
        <v>7.1397950466211171</v>
      </c>
      <c r="P22" s="81"/>
      <c r="Q22" s="81"/>
      <c r="R22" s="81"/>
    </row>
    <row r="23" spans="2:84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f>+IF(ISNUMBER(VLOOKUP($B23,'Cental Budget'!$B$16:$K$75,'Public Expenditure'!D$1,FALSE)),VLOOKUP($B23,'Cental Budget'!$B$16:$K$75,'Public Expenditure'!D$1,FALSE),0)+IF(ISNUMBER(VLOOKUP('Public Expenditure'!$B23,'Local Government'!$B$16:$O$75,'Public Expenditure'!D$1,FALSE)),VLOOKUP('Public Expenditure'!$B23,'Local Government'!$B$16:$O$75,'Public Expenditure'!D$1,FALSE),0)</f>
        <v>10179104.699999999</v>
      </c>
      <c r="E23" s="253">
        <f t="shared" si="0"/>
        <v>0.28074561872600545</v>
      </c>
      <c r="F23" s="156">
        <f>+IF(ISNUMBER(VLOOKUP($B23,'Cental Budget'!$B$16:$K$75,'Public Expenditure'!F$1,FALSE)),VLOOKUP($B23,'Cental Budget'!$B$16:$K$75,'Public Expenditure'!F$1,FALSE),0)+IF(ISNUMBER(VLOOKUP('Public Expenditure'!$B23,'Local Government'!$B$16:$O$75,'Public Expenditure'!F$1,FALSE)),VLOOKUP('Public Expenditure'!$B23,'Local Government'!$B$16:$O$75,'Public Expenditure'!F$1,FALSE),0)</f>
        <v>10155757.977742888</v>
      </c>
      <c r="G23" s="253">
        <f t="shared" si="2"/>
        <v>0.28010170256849737</v>
      </c>
      <c r="H23" s="210">
        <f t="shared" si="3"/>
        <v>23346.722257111222</v>
      </c>
      <c r="I23" s="259">
        <f t="shared" si="4"/>
        <v>0.22988655606283714</v>
      </c>
      <c r="J23" s="156">
        <f>+IF(ISNUMBER(VLOOKUP($B23,'Cental Budget'!$B$16:$K$75,'Public Expenditure'!J$1,FALSE)),VLOOKUP($B23,'Cental Budget'!$B$16:$K$75,'Public Expenditure'!J$1,FALSE),0)+IF(ISNUMBER(VLOOKUP('Public Expenditure'!$B23,'Local Government'!$B$16:$O$75,'Public Expenditure'!J$1,FALSE)),VLOOKUP('Public Expenditure'!$B23,'Local Government'!$B$16:$O$75,'Public Expenditure'!J$1,FALSE),0)</f>
        <v>9739794.0199999996</v>
      </c>
      <c r="K23" s="253">
        <f t="shared" si="1"/>
        <v>0.2843829330312253</v>
      </c>
      <c r="L23" s="210">
        <f t="shared" si="5"/>
        <v>439310.6799999997</v>
      </c>
      <c r="M23" s="259">
        <f t="shared" si="6"/>
        <v>4.5104719781332534</v>
      </c>
      <c r="O23" s="81"/>
      <c r="P23" s="81"/>
      <c r="Q23" s="81"/>
      <c r="R23" s="81"/>
      <c r="CD23" s="140"/>
      <c r="CE23" s="140"/>
      <c r="CF23" s="81"/>
    </row>
    <row r="24" spans="2:84" ht="15" customHeight="1">
      <c r="B24" s="80">
        <v>7117</v>
      </c>
      <c r="C24" s="97" t="s">
        <v>11</v>
      </c>
      <c r="D24" s="156">
        <f>+IF(ISNUMBER(VLOOKUP($B24,'Cental Budget'!$B$16:$K$75,'Public Expenditure'!D$1,FALSE)),VLOOKUP($B24,'Cental Budget'!$B$16:$K$75,'Public Expenditure'!D$1,FALSE),0)+IF(ISNUMBER(VLOOKUP('Public Expenditure'!$B24,'Local Government'!$B$16:$O$75,'Public Expenditure'!D$1,FALSE)),VLOOKUP('Public Expenditure'!$B24,'Local Government'!$B$16:$O$75,'Public Expenditure'!D$1,FALSE),0)</f>
        <v>28085554.75</v>
      </c>
      <c r="E24" s="253">
        <f t="shared" si="0"/>
        <v>0.77461590954574344</v>
      </c>
      <c r="F24" s="156">
        <f>+IF(ISNUMBER(VLOOKUP($B24,'Cental Budget'!$B$16:$K$75,'Public Expenditure'!F$1,FALSE)),VLOOKUP($B24,'Cental Budget'!$B$16:$K$75,'Public Expenditure'!F$1,FALSE),0)+IF(ISNUMBER(VLOOKUP('Public Expenditure'!$B24,'Local Government'!$B$16:$O$75,'Public Expenditure'!F$1,FALSE)),VLOOKUP('Public Expenditure'!$B24,'Local Government'!$B$16:$O$75,'Public Expenditure'!F$1,FALSE),0)</f>
        <v>23543147.059999999</v>
      </c>
      <c r="G24" s="253">
        <f t="shared" si="2"/>
        <v>0.64933366763749234</v>
      </c>
      <c r="H24" s="210">
        <f t="shared" si="3"/>
        <v>4542407.6900000013</v>
      </c>
      <c r="I24" s="259">
        <f t="shared" si="4"/>
        <v>19.29396982664899</v>
      </c>
      <c r="J24" s="156">
        <f>+IF(ISNUMBER(VLOOKUP($B24,'Cental Budget'!$B$16:$K$75,'Public Expenditure'!J$1,FALSE)),VLOOKUP($B24,'Cental Budget'!$B$16:$K$75,'Public Expenditure'!J$1,FALSE),0)+IF(ISNUMBER(VLOOKUP('Public Expenditure'!$B24,'Local Government'!$B$16:$O$75,'Public Expenditure'!J$1,FALSE)),VLOOKUP('Public Expenditure'!$B24,'Local Government'!$B$16:$O$75,'Public Expenditure'!J$1,FALSE),0)</f>
        <v>23310046.59</v>
      </c>
      <c r="K24" s="253">
        <f t="shared" si="1"/>
        <v>0.68060776282810054</v>
      </c>
      <c r="L24" s="210">
        <f t="shared" si="5"/>
        <v>4775508.16</v>
      </c>
      <c r="M24" s="259">
        <f t="shared" si="6"/>
        <v>20.486909545898087</v>
      </c>
      <c r="O24" s="81"/>
      <c r="P24" s="81"/>
      <c r="Q24" s="81"/>
      <c r="R24" s="81"/>
      <c r="CD24" s="140"/>
      <c r="CE24" s="140"/>
      <c r="CF24" s="81"/>
    </row>
    <row r="25" spans="2:84" ht="15" customHeight="1">
      <c r="B25" s="80">
        <v>7118</v>
      </c>
      <c r="C25" s="97" t="str">
        <f>IF(MasterSheet!$A$1=1,MasterSheet!C80,MasterSheet!B80)</f>
        <v>Ostali republički prihodi</v>
      </c>
      <c r="D25" s="156">
        <f>+IF(ISNUMBER(VLOOKUP($B25,'Cental Budget'!$B$16:$K$75,'Public Expenditure'!D$1,FALSE)),VLOOKUP($B25,'Cental Budget'!$B$16:$K$75,'Public Expenditure'!D$1,FALSE),0)+IF(ISNUMBER(VLOOKUP('Public Expenditure'!$B25,'Local Government'!$B$16:$O$75,'Public Expenditure'!D$1,FALSE)),VLOOKUP('Public Expenditure'!$B25,'Local Government'!$B$16:$O$75,'Public Expenditure'!D$1,FALSE),0)</f>
        <v>2898001.8699999996</v>
      </c>
      <c r="E25" s="253">
        <f t="shared" si="0"/>
        <v>7.9928574471021085E-2</v>
      </c>
      <c r="F25" s="156">
        <f>+IF(ISNUMBER(VLOOKUP($B25,'Cental Budget'!$B$16:$K$75,'Public Expenditure'!F$1,FALSE)),VLOOKUP($B25,'Cental Budget'!$B$16:$K$75,'Public Expenditure'!F$1,FALSE),0)+IF(ISNUMBER(VLOOKUP('Public Expenditure'!$B25,'Local Government'!$B$16:$O$75,'Public Expenditure'!F$1,FALSE)),VLOOKUP('Public Expenditure'!$B25,'Local Government'!$B$16:$O$75,'Public Expenditure'!F$1,FALSE),0)</f>
        <v>2546321.4751703832</v>
      </c>
      <c r="G25" s="253">
        <f t="shared" si="2"/>
        <v>7.0229024957570607E-2</v>
      </c>
      <c r="H25" s="210">
        <f t="shared" si="3"/>
        <v>351680.39482961642</v>
      </c>
      <c r="I25" s="259">
        <f t="shared" si="4"/>
        <v>13.811311661112398</v>
      </c>
      <c r="J25" s="156">
        <f>+IF(ISNUMBER(VLOOKUP($B25,'Cental Budget'!$B$16:$K$75,'Public Expenditure'!J$1,FALSE)),VLOOKUP($B25,'Cental Budget'!$B$16:$K$75,'Public Expenditure'!J$1,FALSE),0)+IF(ISNUMBER(VLOOKUP('Public Expenditure'!$B25,'Local Government'!$B$16:$O$75,'Public Expenditure'!J$1,FALSE)),VLOOKUP('Public Expenditure'!$B25,'Local Government'!$B$16:$O$75,'Public Expenditure'!J$1,FALSE),0)</f>
        <v>2639877.96</v>
      </c>
      <c r="K25" s="253">
        <f t="shared" si="1"/>
        <v>7.7079272474110047E-2</v>
      </c>
      <c r="L25" s="210">
        <f t="shared" si="5"/>
        <v>258123.90999999968</v>
      </c>
      <c r="M25" s="259">
        <f t="shared" si="6"/>
        <v>9.7778728377276849</v>
      </c>
      <c r="O25" s="81"/>
      <c r="P25" s="81"/>
      <c r="Q25" s="81"/>
      <c r="R25" s="81"/>
      <c r="CD25" s="140"/>
      <c r="CE25" s="140"/>
      <c r="CF25" s="81"/>
    </row>
    <row r="26" spans="2:84" ht="15" customHeight="1">
      <c r="B26" s="80">
        <v>712</v>
      </c>
      <c r="C26" s="93" t="str">
        <f>IF(MasterSheet!$A$1=1,MasterSheet!C81,MasterSheet!B81)</f>
        <v>Doprinosi</v>
      </c>
      <c r="D26" s="154">
        <f>SUM(D27:D30)</f>
        <v>187900056.19</v>
      </c>
      <c r="E26" s="254">
        <f t="shared" si="0"/>
        <v>5.1823926650162804</v>
      </c>
      <c r="F26" s="154">
        <f>SUM(F27:F30)</f>
        <v>173253797.1280458</v>
      </c>
      <c r="G26" s="254">
        <f t="shared" si="2"/>
        <v>4.7784403348698286</v>
      </c>
      <c r="H26" s="209">
        <f t="shared" si="3"/>
        <v>14646259.0619542</v>
      </c>
      <c r="I26" s="260">
        <f t="shared" si="4"/>
        <v>8.4536439054952837</v>
      </c>
      <c r="J26" s="154">
        <f>SUM(J27:J30)</f>
        <v>180856406.81999999</v>
      </c>
      <c r="K26" s="254">
        <f t="shared" si="1"/>
        <v>5.2806532995818012</v>
      </c>
      <c r="L26" s="209">
        <f t="shared" si="5"/>
        <v>7043649.3700000048</v>
      </c>
      <c r="M26" s="260">
        <f t="shared" si="6"/>
        <v>3.8946087085597725</v>
      </c>
      <c r="O26" s="81"/>
      <c r="P26" s="81"/>
      <c r="Q26" s="81"/>
      <c r="R26" s="81"/>
      <c r="CD26" s="140"/>
      <c r="CE26" s="140"/>
      <c r="CF26" s="81"/>
    </row>
    <row r="27" spans="2:84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6">
        <f>+IF(ISNUMBER(VLOOKUP($B27,'Cental Budget'!$B$16:$K$75,'Public Expenditure'!D$1,FALSE)),VLOOKUP($B27,'Cental Budget'!$B$16:$K$75,'Public Expenditure'!D$1,FALSE),0)+IF(ISNUMBER(VLOOKUP('Public Expenditure'!$B27,'Local Government'!$B$16:$O$75,'Public Expenditure'!D$1,FALSE)),VLOOKUP('Public Expenditure'!$B27,'Local Government'!$B$16:$O$75,'Public Expenditure'!D$1,FALSE),0)</f>
        <v>113312125.21000004</v>
      </c>
      <c r="E27" s="253">
        <f t="shared" si="0"/>
        <v>3.1252142146882584</v>
      </c>
      <c r="F27" s="156">
        <f>+IF(ISNUMBER(VLOOKUP($B27,'Cental Budget'!$B$16:$K$75,'Public Expenditure'!F$1,FALSE)),VLOOKUP($B27,'Cental Budget'!$B$16:$K$75,'Public Expenditure'!F$1,FALSE),0)+IF(ISNUMBER(VLOOKUP('Public Expenditure'!$B27,'Local Government'!$B$16:$O$75,'Public Expenditure'!F$1,FALSE)),VLOOKUP('Public Expenditure'!$B27,'Local Government'!$B$16:$O$75,'Public Expenditure'!F$1,FALSE),0)</f>
        <v>103004249.97207299</v>
      </c>
      <c r="G27" s="253">
        <f t="shared" si="2"/>
        <v>2.840917029747986</v>
      </c>
      <c r="H27" s="210">
        <f t="shared" si="3"/>
        <v>10307875.237927049</v>
      </c>
      <c r="I27" s="259">
        <f t="shared" si="4"/>
        <v>10.007232944972429</v>
      </c>
      <c r="J27" s="156">
        <f>+IF(ISNUMBER(VLOOKUP($B27,'Cental Budget'!$B$16:$K$75,'Public Expenditure'!J$1,FALSE)),VLOOKUP($B27,'Cental Budget'!$B$16:$K$75,'Public Expenditure'!J$1,FALSE),0)+IF(ISNUMBER(VLOOKUP('Public Expenditure'!$B27,'Local Government'!$B$16:$O$75,'Public Expenditure'!J$1,FALSE)),VLOOKUP('Public Expenditure'!$B27,'Local Government'!$B$16:$O$75,'Public Expenditure'!J$1,FALSE),0)</f>
        <v>110583253.45</v>
      </c>
      <c r="K27" s="253">
        <f t="shared" si="1"/>
        <v>3.2288146849584365</v>
      </c>
      <c r="L27" s="210">
        <f t="shared" si="5"/>
        <v>2728871.7600000352</v>
      </c>
      <c r="M27" s="259">
        <f t="shared" si="6"/>
        <v>2.4677079710210279</v>
      </c>
      <c r="O27" s="81"/>
      <c r="P27" s="81"/>
      <c r="Q27" s="81"/>
      <c r="R27" s="81"/>
      <c r="CD27" s="140"/>
      <c r="CE27" s="140"/>
      <c r="CF27" s="81"/>
    </row>
    <row r="28" spans="2:84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6">
        <f>+IF(ISNUMBER(VLOOKUP($B28,'Cental Budget'!$B$16:$K$75,'Public Expenditure'!D$1,FALSE)),VLOOKUP($B28,'Cental Budget'!$B$16:$K$75,'Public Expenditure'!D$1,FALSE),0)+IF(ISNUMBER(VLOOKUP('Public Expenditure'!$B28,'Local Government'!$B$16:$O$75,'Public Expenditure'!D$1,FALSE)),VLOOKUP('Public Expenditure'!$B28,'Local Government'!$B$16:$O$75,'Public Expenditure'!D$1,FALSE),0)</f>
        <v>64473199.10999997</v>
      </c>
      <c r="E28" s="253">
        <f t="shared" si="0"/>
        <v>1.7782082716353127</v>
      </c>
      <c r="F28" s="156">
        <f>+IF(ISNUMBER(VLOOKUP($B28,'Cental Budget'!$B$16:$K$75,'Public Expenditure'!F$1,FALSE)),VLOOKUP($B28,'Cental Budget'!$B$16:$K$75,'Public Expenditure'!F$1,FALSE),0)+IF(ISNUMBER(VLOOKUP('Public Expenditure'!$B28,'Local Government'!$B$16:$O$75,'Public Expenditure'!F$1,FALSE)),VLOOKUP('Public Expenditure'!$B28,'Local Government'!$B$16:$O$75,'Public Expenditure'!F$1,FALSE),0)</f>
        <v>60034400.126972899</v>
      </c>
      <c r="G28" s="253">
        <f t="shared" si="2"/>
        <v>1.6557836180319068</v>
      </c>
      <c r="H28" s="210">
        <f t="shared" si="3"/>
        <v>4438798.9830270708</v>
      </c>
      <c r="I28" s="259">
        <f t="shared" si="4"/>
        <v>7.3937592007898871</v>
      </c>
      <c r="J28" s="156">
        <f>+IF(ISNUMBER(VLOOKUP($B28,'Cental Budget'!$B$16:$K$75,'Public Expenditure'!J$1,FALSE)),VLOOKUP($B28,'Cental Budget'!$B$16:$K$75,'Public Expenditure'!J$1,FALSE),0)+IF(ISNUMBER(VLOOKUP('Public Expenditure'!$B28,'Local Government'!$B$16:$O$75,'Public Expenditure'!J$1,FALSE)),VLOOKUP('Public Expenditure'!$B28,'Local Government'!$B$16:$O$75,'Public Expenditure'!J$1,FALSE),0)</f>
        <v>61197863.909999996</v>
      </c>
      <c r="K28" s="253">
        <f t="shared" si="1"/>
        <v>1.7868579148834576</v>
      </c>
      <c r="L28" s="210">
        <f t="shared" si="5"/>
        <v>3275335.1999999732</v>
      </c>
      <c r="M28" s="259">
        <f t="shared" si="6"/>
        <v>5.3520417065811472</v>
      </c>
      <c r="O28" s="81"/>
      <c r="P28" s="81"/>
      <c r="Q28" s="81"/>
      <c r="R28" s="81"/>
      <c r="CD28" s="140"/>
      <c r="CE28" s="140"/>
      <c r="CF28" s="81"/>
    </row>
    <row r="29" spans="2:84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6">
        <f>+IF(ISNUMBER(VLOOKUP($B29,'Cental Budget'!$B$16:$K$75,'Public Expenditure'!D$1,FALSE)),VLOOKUP($B29,'Cental Budget'!$B$16:$K$75,'Public Expenditure'!D$1,FALSE),0)+IF(ISNUMBER(VLOOKUP('Public Expenditure'!$B29,'Local Government'!$B$16:$O$75,'Public Expenditure'!D$1,FALSE)),VLOOKUP('Public Expenditure'!$B29,'Local Government'!$B$16:$O$75,'Public Expenditure'!D$1,FALSE),0)</f>
        <v>5207048.1899999995</v>
      </c>
      <c r="E29" s="253">
        <f t="shared" si="0"/>
        <v>0.14361341286112095</v>
      </c>
      <c r="F29" s="156">
        <f>+IF(ISNUMBER(VLOOKUP($B29,'Cental Budget'!$B$16:$K$75,'Public Expenditure'!F$1,FALSE)),VLOOKUP($B29,'Cental Budget'!$B$16:$K$75,'Public Expenditure'!F$1,FALSE),0)+IF(ISNUMBER(VLOOKUP('Public Expenditure'!$B29,'Local Government'!$B$16:$O$75,'Public Expenditure'!F$1,FALSE)),VLOOKUP('Public Expenditure'!$B29,'Local Government'!$B$16:$O$75,'Public Expenditure'!F$1,FALSE),0)</f>
        <v>5178652.6677981131</v>
      </c>
      <c r="G29" s="253">
        <f t="shared" si="2"/>
        <v>0.14283024786925122</v>
      </c>
      <c r="H29" s="210">
        <f t="shared" si="3"/>
        <v>28395.522201886401</v>
      </c>
      <c r="I29" s="259">
        <f t="shared" si="4"/>
        <v>0.54831872348681543</v>
      </c>
      <c r="J29" s="156">
        <f>+IF(ISNUMBER(VLOOKUP($B29,'Cental Budget'!$B$16:$K$75,'Public Expenditure'!J$1,FALSE)),VLOOKUP($B29,'Cental Budget'!$B$16:$K$75,'Public Expenditure'!J$1,FALSE),0)+IF(ISNUMBER(VLOOKUP('Public Expenditure'!$B29,'Local Government'!$B$16:$O$75,'Public Expenditure'!J$1,FALSE)),VLOOKUP('Public Expenditure'!$B29,'Local Government'!$B$16:$O$75,'Public Expenditure'!J$1,FALSE),0)</f>
        <v>4906925.2</v>
      </c>
      <c r="K29" s="253">
        <f t="shared" si="1"/>
        <v>0.14327261723147117</v>
      </c>
      <c r="L29" s="210">
        <f t="shared" si="5"/>
        <v>300122.98999999929</v>
      </c>
      <c r="M29" s="259">
        <f t="shared" si="6"/>
        <v>6.1163147545024543</v>
      </c>
      <c r="O29" s="81"/>
      <c r="P29" s="81"/>
      <c r="Q29" s="81"/>
      <c r="R29" s="81"/>
      <c r="CD29" s="140"/>
      <c r="CE29" s="140"/>
      <c r="CF29" s="81"/>
    </row>
    <row r="30" spans="2:84" ht="15" hidden="1" customHeight="1">
      <c r="B30" s="80">
        <v>7124</v>
      </c>
      <c r="C30" s="97" t="str">
        <f>IF(MasterSheet!$A$1=1,MasterSheet!C85,MasterSheet!B85)</f>
        <v>Ostali doprinosi</v>
      </c>
      <c r="D30" s="156">
        <f>+IF(ISNUMBER(VLOOKUP($B30,'Cental Budget'!$B$16:$K$75,'Public Expenditure'!D$1,FALSE)),VLOOKUP($B30,'Cental Budget'!$B$16:$K$75,'Public Expenditure'!D$1,FALSE),0)+IF(ISNUMBER(VLOOKUP('Public Expenditure'!$B30,'Local Government'!$B$16:$O$75,'Public Expenditure'!D$1,FALSE)),VLOOKUP('Public Expenditure'!$B30,'Local Government'!$B$16:$O$75,'Public Expenditure'!D$1,FALSE),0)</f>
        <v>4907683.6800000006</v>
      </c>
      <c r="E30" s="253">
        <f t="shared" si="0"/>
        <v>0.13535676583158829</v>
      </c>
      <c r="F30" s="156">
        <f>+IF(ISNUMBER(VLOOKUP($B30,'Cental Budget'!$B$16:$K$75,'Public Expenditure'!F$1,FALSE)),VLOOKUP($B30,'Cental Budget'!$B$16:$K$75,'Public Expenditure'!F$1,FALSE),0)+IF(ISNUMBER(VLOOKUP('Public Expenditure'!$B30,'Local Government'!$B$16:$O$75,'Public Expenditure'!F$1,FALSE)),VLOOKUP('Public Expenditure'!$B30,'Local Government'!$B$16:$O$75,'Public Expenditure'!F$1,FALSE),0)</f>
        <v>5036494.3612018144</v>
      </c>
      <c r="G30" s="253">
        <f t="shared" si="2"/>
        <v>0.13890943922068522</v>
      </c>
      <c r="H30" s="210">
        <f t="shared" si="3"/>
        <v>-128810.68120181374</v>
      </c>
      <c r="I30" s="259">
        <f t="shared" si="4"/>
        <v>-2.5575464194717625</v>
      </c>
      <c r="J30" s="156">
        <f>+IF(ISNUMBER(VLOOKUP($B30,'Cental Budget'!$B$16:$K$75,'Public Expenditure'!J$1,FALSE)),VLOOKUP($B30,'Cental Budget'!$B$16:$K$75,'Public Expenditure'!J$1,FALSE),0)+IF(ISNUMBER(VLOOKUP('Public Expenditure'!$B30,'Local Government'!$B$16:$O$75,'Public Expenditure'!J$1,FALSE)),VLOOKUP('Public Expenditure'!$B30,'Local Government'!$B$16:$O$75,'Public Expenditure'!J$1,FALSE),0)</f>
        <v>4168364.26</v>
      </c>
      <c r="K30" s="253">
        <f t="shared" si="1"/>
        <v>0.12170808250843615</v>
      </c>
      <c r="L30" s="210">
        <f t="shared" si="5"/>
        <v>739319.42000000086</v>
      </c>
      <c r="M30" s="259">
        <f t="shared" si="6"/>
        <v>17.736439857105978</v>
      </c>
      <c r="O30" s="81"/>
      <c r="P30" s="81"/>
      <c r="Q30" s="81"/>
      <c r="R30" s="81"/>
      <c r="CD30" s="81"/>
      <c r="CE30" s="81"/>
      <c r="CF30" s="81"/>
    </row>
    <row r="31" spans="2:84" ht="15" customHeight="1">
      <c r="B31" s="80">
        <v>713</v>
      </c>
      <c r="C31" s="93" t="str">
        <f>IF(MasterSheet!$A$1=1,MasterSheet!C86,MasterSheet!B86)</f>
        <v>Takse</v>
      </c>
      <c r="D31" s="154">
        <f>+IF(ISNUMBER(VLOOKUP($B31,'Cental Budget'!$B$16:$K$75,'Public Expenditure'!D$1,FALSE)),VLOOKUP($B31,'Cental Budget'!$B$16:$K$75,'Public Expenditure'!D$1,FALSE),0)+IF(ISNUMBER(VLOOKUP('Public Expenditure'!$B31,'Local Government'!$B$16:$O$75,'Public Expenditure'!D$1,FALSE)),VLOOKUP('Public Expenditure'!$B31,'Local Government'!$B$16:$O$75,'Public Expenditure'!D$1,FALSE),0)</f>
        <v>9061306.0099999998</v>
      </c>
      <c r="E31" s="254">
        <f t="shared" si="0"/>
        <v>0.24991608173979407</v>
      </c>
      <c r="F31" s="154">
        <f>+IF(ISNUMBER(VLOOKUP($B31,'Cental Budget'!$B$16:$K$75,'Public Expenditure'!F$1,FALSE)),VLOOKUP($B31,'Cental Budget'!$B$16:$K$75,'Public Expenditure'!F$1,FALSE),0)+IF(ISNUMBER(VLOOKUP('Public Expenditure'!$B31,'Local Government'!$B$16:$O$75,'Public Expenditure'!F$1,FALSE)),VLOOKUP('Public Expenditure'!$B31,'Local Government'!$B$16:$O$75,'Public Expenditure'!F$1,FALSE),0)</f>
        <v>11441169.7300792</v>
      </c>
      <c r="G31" s="254">
        <f t="shared" si="2"/>
        <v>0.31555410514839582</v>
      </c>
      <c r="H31" s="209">
        <f t="shared" si="3"/>
        <v>-2379863.7200792003</v>
      </c>
      <c r="I31" s="260">
        <f t="shared" si="4"/>
        <v>-20.800877674443214</v>
      </c>
      <c r="J31" s="154">
        <f>+IF(ISNUMBER(VLOOKUP($B31,'Cental Budget'!$B$16:$K$75,'Public Expenditure'!J$1,FALSE)),VLOOKUP($B31,'Cental Budget'!$B$16:$K$75,'Public Expenditure'!J$1,FALSE),0)+IF(ISNUMBER(VLOOKUP('Public Expenditure'!$B31,'Local Government'!$B$16:$O$75,'Public Expenditure'!J$1,FALSE)),VLOOKUP('Public Expenditure'!$B31,'Local Government'!$B$16:$O$75,'Public Expenditure'!J$1,FALSE),0)</f>
        <v>10695641.02</v>
      </c>
      <c r="K31" s="254">
        <f t="shared" si="1"/>
        <v>0.31229179566537546</v>
      </c>
      <c r="L31" s="209">
        <f t="shared" si="5"/>
        <v>-1634335.0099999998</v>
      </c>
      <c r="M31" s="260">
        <f t="shared" si="6"/>
        <v>-15.280383914754836</v>
      </c>
      <c r="O31" s="81"/>
      <c r="P31" s="81"/>
      <c r="Q31" s="81"/>
      <c r="R31" s="81"/>
      <c r="CD31" s="81"/>
      <c r="CE31" s="81"/>
      <c r="CF31" s="81"/>
    </row>
    <row r="32" spans="2:84" ht="15" customHeight="1">
      <c r="B32" s="80">
        <v>714</v>
      </c>
      <c r="C32" s="93" t="str">
        <f>IF(MasterSheet!$A$1=1,MasterSheet!C91,MasterSheet!B91)</f>
        <v>Naknade</v>
      </c>
      <c r="D32" s="154">
        <f>+IF(ISNUMBER(VLOOKUP($B32,'Cental Budget'!$B$16:$K$75,'Public Expenditure'!D$1,FALSE)),VLOOKUP($B32,'Cental Budget'!$B$16:$K$75,'Public Expenditure'!D$1,FALSE),0)+IF(ISNUMBER(VLOOKUP('Public Expenditure'!$B32,'Local Government'!$B$16:$O$75,'Public Expenditure'!D$1,FALSE)),VLOOKUP('Public Expenditure'!$B32,'Local Government'!$B$16:$O$75,'Public Expenditure'!D$1,FALSE),0)</f>
        <v>34094015.409999996</v>
      </c>
      <c r="E32" s="254">
        <f t="shared" si="0"/>
        <v>0.94033274371707909</v>
      </c>
      <c r="F32" s="154">
        <f>+IF(ISNUMBER(VLOOKUP($B32,'Cental Budget'!$B$16:$K$75,'Public Expenditure'!F$1,FALSE)),VLOOKUP($B32,'Cental Budget'!$B$16:$K$75,'Public Expenditure'!F$1,FALSE),0)+IF(ISNUMBER(VLOOKUP('Public Expenditure'!$B32,'Local Government'!$B$16:$O$75,'Public Expenditure'!F$1,FALSE)),VLOOKUP('Public Expenditure'!$B32,'Local Government'!$B$16:$O$75,'Public Expenditure'!F$1,FALSE),0)</f>
        <v>28441022.743989296</v>
      </c>
      <c r="G32" s="254">
        <f t="shared" si="2"/>
        <v>0.78441992324351173</v>
      </c>
      <c r="H32" s="209">
        <f t="shared" si="3"/>
        <v>5652992.6660107002</v>
      </c>
      <c r="I32" s="260">
        <f t="shared" si="4"/>
        <v>19.876193331357598</v>
      </c>
      <c r="J32" s="154">
        <f>+IF(ISNUMBER(VLOOKUP($B32,'Cental Budget'!$B$16:$K$75,'Public Expenditure'!J$1,FALSE)),VLOOKUP($B32,'Cental Budget'!$B$16:$K$75,'Public Expenditure'!J$1,FALSE),0)+IF(ISNUMBER(VLOOKUP('Public Expenditure'!$B32,'Local Government'!$B$16:$O$75,'Public Expenditure'!J$1,FALSE)),VLOOKUP('Public Expenditure'!$B32,'Local Government'!$B$16:$O$75,'Public Expenditure'!J$1,FALSE),0)</f>
        <v>29348537.07</v>
      </c>
      <c r="K32" s="254">
        <f t="shared" si="1"/>
        <v>0.85691987274102988</v>
      </c>
      <c r="L32" s="209">
        <f t="shared" si="5"/>
        <v>4745478.3399999961</v>
      </c>
      <c r="M32" s="260">
        <f t="shared" si="6"/>
        <v>16.169386326416983</v>
      </c>
      <c r="O32" s="81"/>
      <c r="P32" s="81"/>
      <c r="Q32" s="81"/>
      <c r="R32" s="81"/>
      <c r="CD32" s="140"/>
      <c r="CE32" s="140"/>
      <c r="CF32" s="140"/>
    </row>
    <row r="33" spans="1:87" ht="15" customHeight="1">
      <c r="B33" s="80">
        <v>715</v>
      </c>
      <c r="C33" s="93" t="str">
        <f>IF(MasterSheet!$A$1=1,MasterSheet!C98,MasterSheet!B98)</f>
        <v>Ostali prihodi</v>
      </c>
      <c r="D33" s="154">
        <f>+IF(ISNUMBER(VLOOKUP($B33,'Cental Budget'!$B$16:$K$75,'Public Expenditure'!D$1,FALSE)),VLOOKUP($B33,'Cental Budget'!$B$16:$K$75,'Public Expenditure'!D$1,FALSE),0)+IF(ISNUMBER(VLOOKUP('Public Expenditure'!$B33,'Local Government'!$B$16:$O$75,'Public Expenditure'!D$1,FALSE)),VLOOKUP('Public Expenditure'!$B33,'Local Government'!$B$16:$O$75,'Public Expenditure'!D$1,FALSE),0)-1295205.06</f>
        <v>15159756.649999999</v>
      </c>
      <c r="E33" s="254">
        <f t="shared" si="0"/>
        <v>0.41811489181754125</v>
      </c>
      <c r="F33" s="154">
        <f>+IF(ISNUMBER(VLOOKUP($B33,'Cental Budget'!$B$16:$K$75,'Public Expenditure'!F$1,FALSE)),VLOOKUP($B33,'Cental Budget'!$B$16:$K$75,'Public Expenditure'!F$1,FALSE),0)+IF(ISNUMBER(VLOOKUP('Public Expenditure'!$B33,'Local Government'!$B$16:$O$75,'Public Expenditure'!F$1,FALSE)),VLOOKUP('Public Expenditure'!$B33,'Local Government'!$B$16:$O$75,'Public Expenditure'!F$1,FALSE),0)</f>
        <v>21500063.606089149</v>
      </c>
      <c r="G33" s="254">
        <f t="shared" si="2"/>
        <v>0.59298423954122115</v>
      </c>
      <c r="H33" s="209">
        <f t="shared" si="3"/>
        <v>-6340306.9560891502</v>
      </c>
      <c r="I33" s="260">
        <f t="shared" si="4"/>
        <v>-29.489712552726957</v>
      </c>
      <c r="J33" s="154">
        <f>+IF(ISNUMBER(VLOOKUP($B33,'Cental Budget'!$B$16:$K$75,'Public Expenditure'!J$1,FALSE)),VLOOKUP($B33,'Cental Budget'!$B$16:$K$75,'Public Expenditure'!J$1,FALSE),0)+IF(ISNUMBER(VLOOKUP('Public Expenditure'!$B33,'Local Government'!$B$16:$O$75,'Public Expenditure'!J$1,FALSE)),VLOOKUP('Public Expenditure'!$B33,'Local Government'!$B$16:$O$75,'Public Expenditure'!J$1,FALSE),0)</f>
        <v>18700152.359999999</v>
      </c>
      <c r="K33" s="254">
        <f t="shared" si="1"/>
        <v>0.5460078688879284</v>
      </c>
      <c r="L33" s="209">
        <f t="shared" si="5"/>
        <v>-3540395.7100000009</v>
      </c>
      <c r="M33" s="260">
        <f t="shared" si="6"/>
        <v>-18.932443125827021</v>
      </c>
      <c r="O33" s="81"/>
      <c r="P33" s="81"/>
      <c r="Q33" s="81"/>
      <c r="R33" s="81"/>
      <c r="CD33" s="81"/>
      <c r="CE33" s="81"/>
      <c r="CF33" s="81"/>
      <c r="CG33" s="81"/>
      <c r="CH33" s="81"/>
    </row>
    <row r="34" spans="1:87">
      <c r="B34" s="80">
        <v>73</v>
      </c>
      <c r="C34" s="101" t="str">
        <f>IF(MasterSheet!$A$1=1,MasterSheet!C103,MasterSheet!B103)</f>
        <v>Primici od otplate kredita i sredstva prenijeta iz prethodne godine</v>
      </c>
      <c r="D34" s="154">
        <f>+IF(ISNUMBER(VLOOKUP($B34,'Cental Budget'!$B$16:$K$75,'Public Expenditure'!D$1,FALSE)),VLOOKUP($B34,'Cental Budget'!$B$16:$K$75,'Public Expenditure'!D$1,FALSE),0)+IF(ISNUMBER(VLOOKUP('Public Expenditure'!$B34,'Local Government'!$B$16:$O$75,'Public Expenditure'!D$1,FALSE)),VLOOKUP('Public Expenditure'!$B34,'Local Government'!$B$16:$O$75,'Public Expenditure'!D$1,FALSE),0)</f>
        <v>21847522.91</v>
      </c>
      <c r="E34" s="254">
        <f t="shared" si="0"/>
        <v>0.60256736891590579</v>
      </c>
      <c r="F34" s="154">
        <f>+IF(ISNUMBER(VLOOKUP($B34,'Cental Budget'!$B$16:$K$75,'Public Expenditure'!F$1,FALSE)),VLOOKUP($B34,'Cental Budget'!$B$16:$K$75,'Public Expenditure'!F$1,FALSE),0)+IF(ISNUMBER(VLOOKUP('Public Expenditure'!$B34,'Local Government'!$B$16:$O$75,'Public Expenditure'!F$1,FALSE)),VLOOKUP('Public Expenditure'!$B34,'Local Government'!$B$16:$O$75,'Public Expenditure'!F$1,FALSE),0)</f>
        <v>15429465.21335512</v>
      </c>
      <c r="G34" s="254">
        <f t="shared" si="2"/>
        <v>0.42555361061712643</v>
      </c>
      <c r="H34" s="209">
        <f t="shared" si="3"/>
        <v>6418057.6966448799</v>
      </c>
      <c r="I34" s="260">
        <f t="shared" si="4"/>
        <v>41.596112424490713</v>
      </c>
      <c r="J34" s="154">
        <f>+IF(ISNUMBER(VLOOKUP($B34,'Cental Budget'!$B$16:$K$75,'Public Expenditure'!J$1,FALSE)),VLOOKUP($B34,'Cental Budget'!$B$16:$K$75,'Public Expenditure'!J$1,FALSE),0)+IF(ISNUMBER(VLOOKUP('Public Expenditure'!$B34,'Local Government'!$B$16:$O$75,'Public Expenditure'!J$1,FALSE)),VLOOKUP('Public Expenditure'!$B34,'Local Government'!$B$16:$O$75,'Public Expenditure'!J$1,FALSE),0)-496557.55</f>
        <v>15764057.259999998</v>
      </c>
      <c r="K34" s="254">
        <f t="shared" si="1"/>
        <v>0.4602796353665578</v>
      </c>
      <c r="L34" s="209">
        <f t="shared" si="5"/>
        <v>6083465.6500000022</v>
      </c>
      <c r="M34" s="260">
        <f t="shared" si="6"/>
        <v>38.590735555346498</v>
      </c>
      <c r="O34" s="81"/>
      <c r="P34" s="81"/>
      <c r="Q34" s="81"/>
      <c r="R34" s="81"/>
      <c r="CC34" s="100"/>
      <c r="CD34" s="100"/>
      <c r="CE34" s="99"/>
      <c r="CF34" s="145"/>
      <c r="CG34" s="145"/>
      <c r="CH34" s="145"/>
      <c r="CI34" s="142"/>
    </row>
    <row r="35" spans="1:87" ht="13.5" customHeight="1" thickBot="1">
      <c r="B35" s="80">
        <v>74</v>
      </c>
      <c r="C35" s="93" t="s">
        <v>123</v>
      </c>
      <c r="D35" s="154">
        <f>+IF(ISNUMBER(VLOOKUP($B35,'Cental Budget'!$B$16:$K$75,'Public Expenditure'!D$1,FALSE)),VLOOKUP($B35,'Cental Budget'!$B$16:$K$75,'Public Expenditure'!D$1,FALSE),0)+IF(ISNUMBER(VLOOKUP('Public Expenditure'!$B35,'Local Government'!$B$16:$O$75,'Public Expenditure'!D$1,FALSE)),VLOOKUP('Public Expenditure'!$B35,'Local Government'!$B$16:$O$75,'Public Expenditure'!D$1,FALSE),0)</f>
        <v>3149162.55</v>
      </c>
      <c r="E35" s="254">
        <f>D35/D$11*100</f>
        <v>8.6855731876745029E-2</v>
      </c>
      <c r="F35" s="154">
        <f>+IF(ISNUMBER(VLOOKUP($B35,'Cental Budget'!$B$16:$K$75,'Public Expenditure'!F$1,FALSE)),VLOOKUP($B35,'Cental Budget'!$B$16:$K$75,'Public Expenditure'!F$1,FALSE),0)+IF(ISNUMBER(VLOOKUP('Public Expenditure'!$B35,'Local Government'!$B$16:$O$75,'Public Expenditure'!F$1,FALSE)),VLOOKUP('Public Expenditure'!$B35,'Local Government'!$B$16:$O$75,'Public Expenditure'!F$1,FALSE),0)</f>
        <v>3664514.6071400624</v>
      </c>
      <c r="G35" s="254">
        <f t="shared" si="2"/>
        <v>0.10106944088236186</v>
      </c>
      <c r="H35" s="209">
        <f t="shared" si="3"/>
        <v>-515352.05714006256</v>
      </c>
      <c r="I35" s="260">
        <f t="shared" si="4"/>
        <v>-14.063310216745577</v>
      </c>
      <c r="J35" s="154">
        <f>+IF(ISNUMBER(VLOOKUP($B35,'Cental Budget'!$B$16:$K$75,'Public Expenditure'!J$1,FALSE)),VLOOKUP($B35,'Cental Budget'!$B$16:$K$75,'Public Expenditure'!J$1,FALSE),0)+IF(ISNUMBER(VLOOKUP('Public Expenditure'!$B35,'Local Government'!$B$16:$O$75,'Public Expenditure'!J$1,FALSE)),VLOOKUP('Public Expenditure'!$B35,'Local Government'!$B$16:$O$75,'Public Expenditure'!J$1,FALSE),0)</f>
        <v>3329553.9299999997</v>
      </c>
      <c r="K35" s="254">
        <f>J35/J$11*100</f>
        <v>9.7216461698749868E-2</v>
      </c>
      <c r="L35" s="209">
        <f t="shared" si="5"/>
        <v>-180391.37999999989</v>
      </c>
      <c r="M35" s="260">
        <f t="shared" si="6"/>
        <v>-5.4178843110073984</v>
      </c>
      <c r="O35" s="81"/>
      <c r="P35" s="81"/>
      <c r="Q35" s="81"/>
      <c r="R35" s="81"/>
      <c r="CD35" s="161"/>
      <c r="CE35" s="161"/>
      <c r="CF35" s="145"/>
      <c r="CG35" s="145"/>
      <c r="CH35" s="145"/>
      <c r="CI35" s="142"/>
    </row>
    <row r="36" spans="1:87" ht="15" customHeight="1" thickTop="1" thickBot="1">
      <c r="B36" s="102"/>
      <c r="C36" s="178" t="s">
        <v>235</v>
      </c>
      <c r="D36" s="173">
        <f>+D38+D49+D55+SUM(D58:D63)</f>
        <v>899381429.53999996</v>
      </c>
      <c r="E36" s="251">
        <f t="shared" si="0"/>
        <v>24.805462105806477</v>
      </c>
      <c r="F36" s="173">
        <f>+F38+F49+F55+SUM(F58:F63)</f>
        <v>840197678.26044452</v>
      </c>
      <c r="G36" s="251">
        <f t="shared" si="2"/>
        <v>23.173139876965976</v>
      </c>
      <c r="H36" s="173">
        <f t="shared" si="3"/>
        <v>59183751.27955544</v>
      </c>
      <c r="I36" s="251">
        <f t="shared" si="4"/>
        <v>7.0440269963718833</v>
      </c>
      <c r="J36" s="173">
        <f>+J38+J49+J55+SUM(J58:J62)</f>
        <v>710077387.68000007</v>
      </c>
      <c r="K36" s="251">
        <f t="shared" si="1"/>
        <v>20.732870712966971</v>
      </c>
      <c r="L36" s="173">
        <f t="shared" si="5"/>
        <v>189304041.8599999</v>
      </c>
      <c r="M36" s="251">
        <f t="shared" si="6"/>
        <v>26.65963529390838</v>
      </c>
      <c r="N36" s="102"/>
      <c r="O36" s="81"/>
      <c r="P36" s="81"/>
      <c r="Q36" s="81"/>
      <c r="R36" s="81"/>
      <c r="CD36" s="81"/>
      <c r="CE36" s="81"/>
      <c r="CF36" s="145"/>
      <c r="CG36" s="145"/>
      <c r="CH36" s="145"/>
      <c r="CI36" s="142"/>
    </row>
    <row r="37" spans="1:87" ht="13.5" customHeight="1" thickTop="1" thickBot="1">
      <c r="C37" s="178" t="s">
        <v>126</v>
      </c>
      <c r="D37" s="173">
        <f>+D36-D58</f>
        <v>700432010.10000002</v>
      </c>
      <c r="E37" s="251">
        <f t="shared" si="0"/>
        <v>19.318321585888025</v>
      </c>
      <c r="F37" s="173">
        <f>+F36-F58</f>
        <v>679461220.84044456</v>
      </c>
      <c r="G37" s="251">
        <f t="shared" si="2"/>
        <v>18.739935040178697</v>
      </c>
      <c r="H37" s="173">
        <f t="shared" si="3"/>
        <v>20970789.259555459</v>
      </c>
      <c r="I37" s="251">
        <f t="shared" si="4"/>
        <v>3.0863850086419973</v>
      </c>
      <c r="J37" s="173">
        <f>+J36-J58</f>
        <v>668135842.3900001</v>
      </c>
      <c r="K37" s="251">
        <f t="shared" si="1"/>
        <v>19.508259633827112</v>
      </c>
      <c r="L37" s="173">
        <f t="shared" si="5"/>
        <v>32296167.709999919</v>
      </c>
      <c r="M37" s="251">
        <f t="shared" si="6"/>
        <v>4.8337726643241865</v>
      </c>
      <c r="N37" s="220"/>
      <c r="O37" s="81"/>
      <c r="P37" s="81"/>
      <c r="Q37" s="81"/>
      <c r="R37" s="81"/>
      <c r="CD37" s="161"/>
      <c r="CE37" s="161"/>
      <c r="CF37" s="145"/>
      <c r="CG37" s="145"/>
      <c r="CH37" s="145"/>
      <c r="CI37" s="142"/>
    </row>
    <row r="38" spans="1:87" ht="13.5" customHeight="1" thickTop="1">
      <c r="A38" s="80">
        <v>41</v>
      </c>
      <c r="C38" s="93" t="s">
        <v>63</v>
      </c>
      <c r="D38" s="94">
        <f>+SUM(D39:D48)</f>
        <v>335031183.99999994</v>
      </c>
      <c r="E38" s="254">
        <f t="shared" si="0"/>
        <v>9.2403546104193399</v>
      </c>
      <c r="F38" s="94">
        <f>+SUM(F39:F48)</f>
        <v>339742448.66499996</v>
      </c>
      <c r="G38" s="254">
        <f t="shared" si="2"/>
        <v>9.3702940257548946</v>
      </c>
      <c r="H38" s="207">
        <f t="shared" si="3"/>
        <v>-4711264.6650000215</v>
      </c>
      <c r="I38" s="260">
        <f t="shared" si="4"/>
        <v>-1.3867165211508592</v>
      </c>
      <c r="J38" s="94">
        <f>+SUM(J39:J48)</f>
        <v>327626738.99000007</v>
      </c>
      <c r="K38" s="254">
        <f t="shared" si="1"/>
        <v>9.566059896350037</v>
      </c>
      <c r="L38" s="207">
        <f t="shared" si="5"/>
        <v>7404445.0099998713</v>
      </c>
      <c r="M38" s="260">
        <f t="shared" si="6"/>
        <v>2.2600246343830577</v>
      </c>
      <c r="O38" s="81"/>
      <c r="P38" s="215"/>
      <c r="Q38" s="81"/>
      <c r="R38" s="81"/>
      <c r="CD38" s="161"/>
      <c r="CE38" s="161"/>
      <c r="CF38" s="145"/>
      <c r="CG38" s="145"/>
      <c r="CH38" s="145"/>
      <c r="CI38" s="142"/>
    </row>
    <row r="39" spans="1:87" ht="13.5" customHeight="1">
      <c r="B39" s="80">
        <v>411</v>
      </c>
      <c r="C39" s="93" t="s">
        <v>64</v>
      </c>
      <c r="D39" s="154">
        <f>+IF(ISNUMBER(VLOOKUP($B39,'Cental Budget'!$B$16:$K$75,'Public Expenditure'!D$1,FALSE)),VLOOKUP($B39,'Cental Budget'!$B$16:$K$75,'Public Expenditure'!D$1,FALSE),0)+IF(ISNUMBER(VLOOKUP('Public Expenditure'!$B39,'Local Government'!$B$16:$O$75,'Public Expenditure'!D$1,FALSE)),VLOOKUP('Public Expenditure'!$B39,'Local Government'!$B$16:$O$75,'Public Expenditure'!D$1,FALSE),0)</f>
        <v>202576606.13</v>
      </c>
      <c r="E39" s="254">
        <f t="shared" si="0"/>
        <v>5.5871804351694276</v>
      </c>
      <c r="F39" s="154">
        <f>+IF(ISNUMBER(VLOOKUP($B39,'Cental Budget'!$B$16:$K$75,'Public Expenditure'!F$1,FALSE)),VLOOKUP($B39,'Cental Budget'!$B$16:$K$75,'Public Expenditure'!F$1,FALSE),0)+IF(ISNUMBER(VLOOKUP('Public Expenditure'!$B39,'Local Government'!$B$16:$O$75,'Public Expenditure'!F$1,FALSE)),VLOOKUP('Public Expenditure'!$B39,'Local Government'!$B$16:$O$75,'Public Expenditure'!F$1,FALSE),0)</f>
        <v>203906297.505</v>
      </c>
      <c r="G39" s="254">
        <f t="shared" si="2"/>
        <v>5.6238540954559753</v>
      </c>
      <c r="H39" s="209">
        <f t="shared" si="3"/>
        <v>-1329691.375</v>
      </c>
      <c r="I39" s="260">
        <f t="shared" si="4"/>
        <v>-0.65210902815171323</v>
      </c>
      <c r="J39" s="154">
        <f>+IF(ISNUMBER(VLOOKUP($B39,'Cental Budget'!$B$16:$K$75,'Public Expenditure'!J$1,FALSE)),VLOOKUP($B39,'Cental Budget'!$B$16:$K$75,'Public Expenditure'!J$1,FALSE),0)+IF(ISNUMBER(VLOOKUP('Public Expenditure'!$B39,'Local Government'!$B$16:$O$75,'Public Expenditure'!J$1,FALSE)),VLOOKUP('Public Expenditure'!$B39,'Local Government'!$B$16:$O$75,'Public Expenditure'!J$1,FALSE),0)</f>
        <v>203324339.39000008</v>
      </c>
      <c r="K39" s="254">
        <f t="shared" si="1"/>
        <v>5.9366729803146816</v>
      </c>
      <c r="L39" s="209">
        <f t="shared" si="5"/>
        <v>-747733.26000007987</v>
      </c>
      <c r="M39" s="260">
        <f t="shared" si="6"/>
        <v>-0.36775393553146785</v>
      </c>
      <c r="O39" s="81"/>
      <c r="P39" s="215"/>
      <c r="Q39" s="81"/>
      <c r="R39" s="81"/>
      <c r="CD39" s="161"/>
      <c r="CE39" s="161"/>
      <c r="CF39" s="145"/>
      <c r="CG39" s="145"/>
      <c r="CH39" s="145"/>
      <c r="CI39" s="142"/>
    </row>
    <row r="40" spans="1:87" ht="13.5" customHeight="1">
      <c r="B40" s="80">
        <v>412</v>
      </c>
      <c r="C40" s="93" t="s">
        <v>75</v>
      </c>
      <c r="D40" s="154">
        <f>+IF(ISNUMBER(VLOOKUP($B40,'Cental Budget'!$B$16:$K$75,'Public Expenditure'!D$1,FALSE)),VLOOKUP($B40,'Cental Budget'!$B$16:$K$75,'Public Expenditure'!D$1,FALSE),0)+IF(ISNUMBER(VLOOKUP('Public Expenditure'!$B40,'Local Government'!$B$16:$O$75,'Public Expenditure'!D$1,FALSE)),VLOOKUP('Public Expenditure'!$B40,'Local Government'!$B$16:$O$75,'Public Expenditure'!D$1,FALSE),0)</f>
        <v>7564575.4600000018</v>
      </c>
      <c r="E40" s="254">
        <f t="shared" si="0"/>
        <v>0.20863538400555581</v>
      </c>
      <c r="F40" s="154">
        <f>+IF(ISNUMBER(VLOOKUP($B40,'Cental Budget'!$B$16:$K$75,'Public Expenditure'!F$1,FALSE)),VLOOKUP($B40,'Cental Budget'!$B$16:$K$75,'Public Expenditure'!F$1,FALSE),0)+IF(ISNUMBER(VLOOKUP('Public Expenditure'!$B40,'Local Government'!$B$16:$O$75,'Public Expenditure'!F$1,FALSE)),VLOOKUP('Public Expenditure'!$B40,'Local Government'!$B$16:$O$75,'Public Expenditure'!F$1,FALSE),0)</f>
        <v>6725847.2899999991</v>
      </c>
      <c r="G40" s="254">
        <f t="shared" si="2"/>
        <v>0.18550277401976983</v>
      </c>
      <c r="H40" s="209">
        <f t="shared" si="3"/>
        <v>838728.17000000272</v>
      </c>
      <c r="I40" s="260">
        <f t="shared" si="4"/>
        <v>12.470223212576144</v>
      </c>
      <c r="J40" s="154">
        <f>+IF(ISNUMBER(VLOOKUP($B40,'Cental Budget'!$B$16:$K$75,'Public Expenditure'!J$1,FALSE)),VLOOKUP($B40,'Cental Budget'!$B$16:$K$75,'Public Expenditure'!J$1,FALSE),0)+IF(ISNUMBER(VLOOKUP('Public Expenditure'!$B40,'Local Government'!$B$16:$O$75,'Public Expenditure'!J$1,FALSE)),VLOOKUP('Public Expenditure'!$B40,'Local Government'!$B$16:$O$75,'Public Expenditure'!J$1,FALSE),0)</f>
        <v>5467239.3699999964</v>
      </c>
      <c r="K40" s="254">
        <f t="shared" si="1"/>
        <v>0.15963269494526613</v>
      </c>
      <c r="L40" s="209">
        <f t="shared" si="5"/>
        <v>2097336.0900000054</v>
      </c>
      <c r="M40" s="260">
        <f t="shared" si="6"/>
        <v>38.361885186673419</v>
      </c>
      <c r="O40" s="81"/>
      <c r="P40" s="215"/>
      <c r="Q40" s="81"/>
      <c r="R40" s="81"/>
      <c r="CD40" s="161"/>
      <c r="CE40" s="161"/>
      <c r="CF40" s="145"/>
      <c r="CG40" s="145"/>
      <c r="CH40" s="145"/>
      <c r="CI40" s="142"/>
    </row>
    <row r="41" spans="1:87" ht="13.5" customHeight="1">
      <c r="B41" s="80">
        <v>413</v>
      </c>
      <c r="C41" s="93" t="s">
        <v>429</v>
      </c>
      <c r="D41" s="154">
        <f>+IF(ISNUMBER(VLOOKUP($B41,'Cental Budget'!$B$16:$K$75,'Public Expenditure'!D$1,FALSE)),VLOOKUP($B41,'Cental Budget'!$B$16:$K$75,'Public Expenditure'!D$1,FALSE),0)+IF(ISNUMBER(VLOOKUP('Public Expenditure'!$B41,'Local Government'!$B$16:$O$75,'Public Expenditure'!D$1,FALSE)),VLOOKUP('Public Expenditure'!$B41,'Local Government'!$B$16:$O$75,'Public Expenditure'!D$1,FALSE),0)</f>
        <v>12939666.619999997</v>
      </c>
      <c r="E41" s="254">
        <f t="shared" si="0"/>
        <v>0.3568835195633796</v>
      </c>
      <c r="F41" s="154">
        <f>+IF(ISNUMBER(VLOOKUP($B41,'Cental Budget'!$B$16:$K$75,'Public Expenditure'!F$1,FALSE)),VLOOKUP($B41,'Cental Budget'!$B$16:$K$75,'Public Expenditure'!F$1,FALSE),0)+IF(ISNUMBER(VLOOKUP('Public Expenditure'!$B41,'Local Government'!$B$16:$O$75,'Public Expenditure'!F$1,FALSE)),VLOOKUP('Public Expenditure'!$B41,'Local Government'!$B$16:$O$75,'Public Expenditure'!F$1,FALSE),0)</f>
        <v>17101358.219999999</v>
      </c>
      <c r="G41" s="254">
        <f t="shared" si="2"/>
        <v>0.47166539062408502</v>
      </c>
      <c r="H41" s="209">
        <f t="shared" si="3"/>
        <v>-4161691.6000000015</v>
      </c>
      <c r="I41" s="260">
        <f t="shared" si="4"/>
        <v>-24.335444860355665</v>
      </c>
      <c r="J41" s="154">
        <f>+IF(ISNUMBER(VLOOKUP($B41,'Cental Budget'!$B$16:$K$75,'Public Expenditure'!J$1,FALSE)),VLOOKUP($B41,'Cental Budget'!$B$16:$K$75,'Public Expenditure'!J$1,FALSE),0)+IF(ISNUMBER(VLOOKUP('Public Expenditure'!$B41,'Local Government'!$B$16:$O$75,'Public Expenditure'!J$1,FALSE)),VLOOKUP('Public Expenditure'!$B41,'Local Government'!$B$16:$O$75,'Public Expenditure'!J$1,FALSE),0)</f>
        <v>14224588.700000001</v>
      </c>
      <c r="K41" s="254">
        <f t="shared" si="1"/>
        <v>0.41533016482301588</v>
      </c>
      <c r="L41" s="209">
        <f t="shared" si="5"/>
        <v>-1284922.0800000038</v>
      </c>
      <c r="M41" s="260">
        <f t="shared" si="6"/>
        <v>-9.0331053297871762</v>
      </c>
      <c r="O41" s="81"/>
      <c r="P41" s="215"/>
      <c r="Q41" s="81"/>
      <c r="R41" s="81"/>
      <c r="CD41" s="161"/>
      <c r="CE41" s="161"/>
      <c r="CF41" s="145"/>
      <c r="CG41" s="145"/>
      <c r="CH41" s="145"/>
      <c r="CI41" s="142"/>
    </row>
    <row r="42" spans="1:87" ht="13.5" customHeight="1">
      <c r="B42" s="80">
        <v>414</v>
      </c>
      <c r="C42" s="93" t="s">
        <v>430</v>
      </c>
      <c r="D42" s="154">
        <f>+IF(ISNUMBER(VLOOKUP($B42,'Cental Budget'!$B$16:$K$75,'Public Expenditure'!D$1,FALSE)),VLOOKUP($B42,'Cental Budget'!$B$16:$K$75,'Public Expenditure'!D$1,FALSE),0)+IF(ISNUMBER(VLOOKUP('Public Expenditure'!$B42,'Local Government'!$B$16:$O$75,'Public Expenditure'!D$1,FALSE)),VLOOKUP('Public Expenditure'!$B42,'Local Government'!$B$16:$O$75,'Public Expenditure'!D$1,FALSE),0)</f>
        <v>23074880.39000003</v>
      </c>
      <c r="E42" s="254">
        <f t="shared" si="0"/>
        <v>0.63641860095211811</v>
      </c>
      <c r="F42" s="154">
        <f>+IF(ISNUMBER(VLOOKUP($B42,'Cental Budget'!$B$16:$K$75,'Public Expenditure'!F$1,FALSE)),VLOOKUP($B42,'Cental Budget'!$B$16:$K$75,'Public Expenditure'!F$1,FALSE),0)+IF(ISNUMBER(VLOOKUP('Public Expenditure'!$B42,'Local Government'!$B$16:$O$75,'Public Expenditure'!F$1,FALSE)),VLOOKUP('Public Expenditure'!$B42,'Local Government'!$B$16:$O$75,'Public Expenditure'!F$1,FALSE),0)</f>
        <v>23467763.219999999</v>
      </c>
      <c r="G42" s="254">
        <f t="shared" si="2"/>
        <v>0.64725453755420104</v>
      </c>
      <c r="H42" s="209">
        <f t="shared" si="3"/>
        <v>-392882.82999996841</v>
      </c>
      <c r="I42" s="260">
        <f t="shared" si="4"/>
        <v>-1.6741383757662049</v>
      </c>
      <c r="J42" s="154">
        <f>+IF(ISNUMBER(VLOOKUP($B42,'Cental Budget'!$B$16:$K$75,'Public Expenditure'!J$1,FALSE)),VLOOKUP($B42,'Cental Budget'!$B$16:$K$75,'Public Expenditure'!J$1,FALSE),0)+IF(ISNUMBER(VLOOKUP('Public Expenditure'!$B42,'Local Government'!$B$16:$O$75,'Public Expenditure'!J$1,FALSE)),VLOOKUP('Public Expenditure'!$B42,'Local Government'!$B$16:$O$75,'Public Expenditure'!J$1,FALSE),0)</f>
        <v>22918794.970000017</v>
      </c>
      <c r="K42" s="254">
        <f t="shared" si="1"/>
        <v>0.66918398086512088</v>
      </c>
      <c r="L42" s="209">
        <f t="shared" si="5"/>
        <v>156085.42000001296</v>
      </c>
      <c r="M42" s="260">
        <f t="shared" si="6"/>
        <v>0.68103676569523941</v>
      </c>
      <c r="O42" s="81"/>
      <c r="P42" s="215"/>
      <c r="Q42" s="81"/>
      <c r="R42" s="81"/>
      <c r="CD42" s="161"/>
      <c r="CE42" s="161"/>
      <c r="CF42" s="145"/>
      <c r="CG42" s="145"/>
      <c r="CH42" s="145"/>
      <c r="CI42" s="142"/>
    </row>
    <row r="43" spans="1:87" ht="13.5" customHeight="1">
      <c r="B43" s="80">
        <v>415</v>
      </c>
      <c r="C43" s="93" t="s">
        <v>431</v>
      </c>
      <c r="D43" s="154">
        <f>+IF(ISNUMBER(VLOOKUP($B43,'Cental Budget'!$B$16:$K$75,'Public Expenditure'!D$1,FALSE)),VLOOKUP($B43,'Cental Budget'!$B$16:$K$75,'Public Expenditure'!D$1,FALSE),0)+IF(ISNUMBER(VLOOKUP('Public Expenditure'!$B43,'Local Government'!$B$16:$O$75,'Public Expenditure'!D$1,FALSE)),VLOOKUP('Public Expenditure'!$B43,'Local Government'!$B$16:$O$75,'Public Expenditure'!D$1,FALSE),0)</f>
        <v>9811448.1399999987</v>
      </c>
      <c r="E43" s="254">
        <f t="shared" si="0"/>
        <v>0.27060543729964931</v>
      </c>
      <c r="F43" s="154">
        <f>+IF(ISNUMBER(VLOOKUP($B43,'Cental Budget'!$B$16:$K$75,'Public Expenditure'!F$1,FALSE)),VLOOKUP($B43,'Cental Budget'!$B$16:$K$75,'Public Expenditure'!F$1,FALSE),0)+IF(ISNUMBER(VLOOKUP('Public Expenditure'!$B43,'Local Government'!$B$16:$O$75,'Public Expenditure'!F$1,FALSE)),VLOOKUP('Public Expenditure'!$B43,'Local Government'!$B$16:$O$75,'Public Expenditure'!F$1,FALSE),0)</f>
        <v>11666483.985000003</v>
      </c>
      <c r="G43" s="254">
        <f t="shared" si="2"/>
        <v>0.32176840314117799</v>
      </c>
      <c r="H43" s="209">
        <f t="shared" si="3"/>
        <v>-1855035.8450000044</v>
      </c>
      <c r="I43" s="260">
        <f t="shared" si="4"/>
        <v>-15.900556220580995</v>
      </c>
      <c r="J43" s="154">
        <f>+IF(ISNUMBER(VLOOKUP($B43,'Cental Budget'!$B$16:$K$75,'Public Expenditure'!J$1,FALSE)),VLOOKUP($B43,'Cental Budget'!$B$16:$K$75,'Public Expenditure'!J$1,FALSE),0)+IF(ISNUMBER(VLOOKUP('Public Expenditure'!$B43,'Local Government'!$B$16:$O$75,'Public Expenditure'!J$1,FALSE)),VLOOKUP('Public Expenditure'!$B43,'Local Government'!$B$16:$O$75,'Public Expenditure'!J$1,FALSE),0)</f>
        <v>9371205.8499999996</v>
      </c>
      <c r="K43" s="254">
        <f t="shared" si="1"/>
        <v>0.27362087947547548</v>
      </c>
      <c r="L43" s="209">
        <f t="shared" si="5"/>
        <v>440242.28999999911</v>
      </c>
      <c r="M43" s="260">
        <f t="shared" si="6"/>
        <v>4.6978190112001386</v>
      </c>
      <c r="O43" s="81"/>
      <c r="P43" s="215"/>
      <c r="Q43" s="81"/>
      <c r="R43" s="81"/>
      <c r="CD43" s="161"/>
      <c r="CE43" s="161"/>
      <c r="CF43" s="145"/>
      <c r="CG43" s="145"/>
      <c r="CH43" s="145"/>
      <c r="CI43" s="142"/>
    </row>
    <row r="44" spans="1:87" ht="13.5" customHeight="1">
      <c r="B44" s="80">
        <v>416</v>
      </c>
      <c r="C44" s="93" t="s">
        <v>80</v>
      </c>
      <c r="D44" s="154">
        <f>+IF(ISNUMBER(VLOOKUP($B44,'Cental Budget'!$B$16:$K$75,'Public Expenditure'!D$1,FALSE)),VLOOKUP($B44,'Cental Budget'!$B$16:$K$75,'Public Expenditure'!D$1,FALSE),0)+IF(ISNUMBER(VLOOKUP('Public Expenditure'!$B44,'Local Government'!$B$16:$O$75,'Public Expenditure'!D$1,FALSE)),VLOOKUP('Public Expenditure'!$B44,'Local Government'!$B$16:$O$75,'Public Expenditure'!D$1,FALSE),0)</f>
        <v>50932998.330000006</v>
      </c>
      <c r="E44" s="254">
        <f t="shared" si="0"/>
        <v>1.4047616712034072</v>
      </c>
      <c r="F44" s="154">
        <f>+IF(ISNUMBER(VLOOKUP($B44,'Cental Budget'!$B$16:$K$75,'Public Expenditure'!F$1,FALSE)),VLOOKUP($B44,'Cental Budget'!$B$16:$K$75,'Public Expenditure'!F$1,FALSE),0)+IF(ISNUMBER(VLOOKUP('Public Expenditure'!$B44,'Local Government'!$B$16:$O$75,'Public Expenditure'!F$1,FALSE)),VLOOKUP('Public Expenditure'!$B44,'Local Government'!$B$16:$O$75,'Public Expenditure'!F$1,FALSE),0)</f>
        <v>39186452.435000002</v>
      </c>
      <c r="G44" s="254">
        <f t="shared" si="2"/>
        <v>1.0807851140917393</v>
      </c>
      <c r="H44" s="209">
        <f t="shared" si="3"/>
        <v>11746545.895000003</v>
      </c>
      <c r="I44" s="260">
        <f t="shared" si="4"/>
        <v>29.976038056735121</v>
      </c>
      <c r="J44" s="154">
        <f>+IF(ISNUMBER(VLOOKUP($B44,'Cental Budget'!$B$16:$K$75,'Public Expenditure'!J$1,FALSE)),VLOOKUP($B44,'Cental Budget'!$B$16:$K$75,'Public Expenditure'!J$1,FALSE),0)+IF(ISNUMBER(VLOOKUP('Public Expenditure'!$B44,'Local Government'!$B$16:$O$75,'Public Expenditure'!J$1,FALSE)),VLOOKUP('Public Expenditure'!$B44,'Local Government'!$B$16:$O$75,'Public Expenditure'!J$1,FALSE),0)</f>
        <v>44335443.759999998</v>
      </c>
      <c r="K44" s="254">
        <f t="shared" si="1"/>
        <v>1.2945082316750818</v>
      </c>
      <c r="L44" s="209">
        <f t="shared" si="5"/>
        <v>6597554.5700000077</v>
      </c>
      <c r="M44" s="260">
        <f t="shared" si="6"/>
        <v>14.880993648590476</v>
      </c>
      <c r="O44" s="81"/>
      <c r="P44" s="215"/>
      <c r="Q44" s="81"/>
      <c r="R44" s="81"/>
      <c r="CD44" s="161"/>
      <c r="CE44" s="161"/>
      <c r="CF44" s="145"/>
      <c r="CG44" s="145"/>
      <c r="CH44" s="145"/>
      <c r="CI44" s="142"/>
    </row>
    <row r="45" spans="1:87" ht="13.5" customHeight="1">
      <c r="B45" s="80">
        <v>417</v>
      </c>
      <c r="C45" s="93" t="s">
        <v>82</v>
      </c>
      <c r="D45" s="154">
        <f>+IF(ISNUMBER(VLOOKUP($B45,'Cental Budget'!$B$16:$K$75,'Public Expenditure'!D$1,FALSE)),VLOOKUP($B45,'Cental Budget'!$B$16:$K$75,'Public Expenditure'!D$1,FALSE),0)+IF(ISNUMBER(VLOOKUP('Public Expenditure'!$B45,'Local Government'!$B$16:$O$75,'Public Expenditure'!D$1,FALSE)),VLOOKUP('Public Expenditure'!$B45,'Local Government'!$B$16:$O$75,'Public Expenditure'!D$1,FALSE),0)</f>
        <v>4627911.25</v>
      </c>
      <c r="E45" s="254">
        <f t="shared" si="0"/>
        <v>0.12764047974575715</v>
      </c>
      <c r="F45" s="154">
        <f>+IF(ISNUMBER(VLOOKUP($B45,'Cental Budget'!$B$16:$K$75,'Public Expenditure'!F$1,FALSE)),VLOOKUP($B45,'Cental Budget'!$B$16:$K$75,'Public Expenditure'!F$1,FALSE),0)+IF(ISNUMBER(VLOOKUP('Public Expenditure'!$B45,'Local Government'!$B$16:$O$75,'Public Expenditure'!F$1,FALSE)),VLOOKUP('Public Expenditure'!$B45,'Local Government'!$B$16:$O$75,'Public Expenditure'!F$1,FALSE),0)</f>
        <v>4352291.8849999998</v>
      </c>
      <c r="G45" s="254">
        <f t="shared" si="2"/>
        <v>0.12003873760434919</v>
      </c>
      <c r="H45" s="209">
        <f t="shared" si="3"/>
        <v>275619.36500000022</v>
      </c>
      <c r="I45" s="260">
        <f t="shared" si="4"/>
        <v>6.3327408244357741</v>
      </c>
      <c r="J45" s="154">
        <f>+IF(ISNUMBER(VLOOKUP($B45,'Cental Budget'!$B$16:$K$75,'Public Expenditure'!J$1,FALSE)),VLOOKUP($B45,'Cental Budget'!$B$16:$K$75,'Public Expenditure'!J$1,FALSE),0)+IF(ISNUMBER(VLOOKUP('Public Expenditure'!$B45,'Local Government'!$B$16:$O$75,'Public Expenditure'!J$1,FALSE)),VLOOKUP('Public Expenditure'!$B45,'Local Government'!$B$16:$O$75,'Public Expenditure'!J$1,FALSE),0)</f>
        <v>4538409.88</v>
      </c>
      <c r="K45" s="254">
        <f t="shared" si="1"/>
        <v>0.13251269075321689</v>
      </c>
      <c r="L45" s="209">
        <f t="shared" si="5"/>
        <v>89501.370000000112</v>
      </c>
      <c r="M45" s="260">
        <f t="shared" si="6"/>
        <v>1.9720865317700316</v>
      </c>
      <c r="O45" s="81"/>
      <c r="P45" s="215"/>
      <c r="Q45" s="81"/>
      <c r="R45" s="81"/>
      <c r="CD45" s="161"/>
      <c r="CE45" s="161"/>
      <c r="CF45" s="145"/>
      <c r="CG45" s="145"/>
      <c r="CH45" s="145"/>
      <c r="CI45" s="142"/>
    </row>
    <row r="46" spans="1:87" ht="13.5" customHeight="1">
      <c r="B46" s="80">
        <v>418</v>
      </c>
      <c r="C46" s="93" t="s">
        <v>84</v>
      </c>
      <c r="D46" s="154">
        <f>+IF(ISNUMBER(VLOOKUP($B46,'Cental Budget'!$B$16:$K$75,'Public Expenditure'!D$1,FALSE)),VLOOKUP($B46,'Cental Budget'!$B$16:$K$75,'Public Expenditure'!D$1,FALSE),0)+IF(ISNUMBER(VLOOKUP('Public Expenditure'!$B46,'Local Government'!$B$16:$O$75,'Public Expenditure'!D$1,FALSE)),VLOOKUP('Public Expenditure'!$B46,'Local Government'!$B$16:$O$75,'Public Expenditure'!D$1,FALSE),0)</f>
        <v>6360358.4400000004</v>
      </c>
      <c r="E46" s="254">
        <f t="shared" si="0"/>
        <v>0.17542237929402291</v>
      </c>
      <c r="F46" s="154">
        <f>+IF(ISNUMBER(VLOOKUP($B46,'Cental Budget'!$B$16:$K$75,'Public Expenditure'!F$1,FALSE)),VLOOKUP($B46,'Cental Budget'!$B$16:$K$75,'Public Expenditure'!F$1,FALSE),0)+IF(ISNUMBER(VLOOKUP('Public Expenditure'!$B46,'Local Government'!$B$16:$O$75,'Public Expenditure'!F$1,FALSE)),VLOOKUP('Public Expenditure'!$B46,'Local Government'!$B$16:$O$75,'Public Expenditure'!F$1,FALSE),0)</f>
        <v>10791534.369999999</v>
      </c>
      <c r="G46" s="254">
        <f t="shared" si="2"/>
        <v>0.29763678466816473</v>
      </c>
      <c r="H46" s="209">
        <f t="shared" si="3"/>
        <v>-4431175.9299999988</v>
      </c>
      <c r="I46" s="260">
        <f t="shared" si="4"/>
        <v>-41.061593079094273</v>
      </c>
      <c r="J46" s="154">
        <f>+IF(ISNUMBER(VLOOKUP($B46,'Cental Budget'!$B$16:$K$75,'Public Expenditure'!J$1,FALSE)),VLOOKUP($B46,'Cental Budget'!$B$16:$K$75,'Public Expenditure'!J$1,FALSE),0)+IF(ISNUMBER(VLOOKUP('Public Expenditure'!$B46,'Local Government'!$B$16:$O$75,'Public Expenditure'!J$1,FALSE)),VLOOKUP('Public Expenditure'!$B46,'Local Government'!$B$16:$O$75,'Public Expenditure'!J$1,FALSE),0)</f>
        <v>10224510.48</v>
      </c>
      <c r="K46" s="254">
        <f t="shared" si="1"/>
        <v>0.29853570549235303</v>
      </c>
      <c r="L46" s="209">
        <f t="shared" si="5"/>
        <v>-3864152.04</v>
      </c>
      <c r="M46" s="260">
        <f t="shared" si="6"/>
        <v>-37.793027329363163</v>
      </c>
      <c r="O46" s="81"/>
      <c r="P46" s="215"/>
      <c r="Q46" s="81"/>
      <c r="R46" s="81"/>
      <c r="CD46" s="161"/>
      <c r="CE46" s="161"/>
      <c r="CF46" s="145"/>
      <c r="CG46" s="145"/>
      <c r="CH46" s="145"/>
      <c r="CI46" s="142"/>
    </row>
    <row r="47" spans="1:87" ht="13.5" customHeight="1">
      <c r="B47" s="80">
        <v>419</v>
      </c>
      <c r="C47" s="93" t="s">
        <v>86</v>
      </c>
      <c r="D47" s="154">
        <f>+IF(ISNUMBER(VLOOKUP($B47,'Cental Budget'!$B$16:$K$75,'Public Expenditure'!D$1,FALSE)),VLOOKUP($B47,'Cental Budget'!$B$16:$K$75,'Public Expenditure'!D$1,FALSE),0)+IF(ISNUMBER(VLOOKUP('Public Expenditure'!$B47,'Local Government'!$B$16:$O$75,'Public Expenditure'!D$1,FALSE)),VLOOKUP('Public Expenditure'!$B47,'Local Government'!$B$16:$O$75,'Public Expenditure'!D$1,FALSE),0)</f>
        <v>12418504.589999996</v>
      </c>
      <c r="E47" s="254">
        <f t="shared" si="0"/>
        <v>0.34250956813238081</v>
      </c>
      <c r="F47" s="154">
        <f>+IF(ISNUMBER(VLOOKUP($B47,'Cental Budget'!$B$16:$K$75,'Public Expenditure'!F$1,FALSE)),VLOOKUP($B47,'Cental Budget'!$B$16:$K$75,'Public Expenditure'!F$1,FALSE),0)+IF(ISNUMBER(VLOOKUP('Public Expenditure'!$B47,'Local Government'!$B$16:$O$75,'Public Expenditure'!F$1,FALSE)),VLOOKUP('Public Expenditure'!$B47,'Local Government'!$B$16:$O$75,'Public Expenditure'!F$1,FALSE),0)</f>
        <v>15619481.149999995</v>
      </c>
      <c r="G47" s="254">
        <f t="shared" si="2"/>
        <v>0.43079436049379943</v>
      </c>
      <c r="H47" s="209">
        <f t="shared" si="3"/>
        <v>-3200976.5599999987</v>
      </c>
      <c r="I47" s="260">
        <f t="shared" si="4"/>
        <v>-20.493488415266597</v>
      </c>
      <c r="J47" s="154">
        <f>+IF(ISNUMBER(VLOOKUP($B47,'Cental Budget'!$B$16:$K$75,'Public Expenditure'!J$1,FALSE)),VLOOKUP($B47,'Cental Budget'!$B$16:$K$75,'Public Expenditure'!J$1,FALSE),0)+IF(ISNUMBER(VLOOKUP('Public Expenditure'!$B47,'Local Government'!$B$16:$O$75,'Public Expenditure'!J$1,FALSE)),VLOOKUP('Public Expenditure'!$B47,'Local Government'!$B$16:$O$75,'Public Expenditure'!J$1,FALSE),0)</f>
        <v>10266402.280000001</v>
      </c>
      <c r="K47" s="254">
        <f t="shared" si="1"/>
        <v>0.2997588641063334</v>
      </c>
      <c r="L47" s="209">
        <f t="shared" si="5"/>
        <v>2152102.3099999949</v>
      </c>
      <c r="M47" s="260">
        <f t="shared" si="6"/>
        <v>20.962575314163459</v>
      </c>
      <c r="O47" s="81"/>
      <c r="P47" s="215"/>
      <c r="Q47" s="81"/>
      <c r="R47" s="81"/>
      <c r="CD47" s="161"/>
      <c r="CE47" s="161"/>
      <c r="CF47" s="145"/>
      <c r="CG47" s="145"/>
      <c r="CH47" s="145"/>
      <c r="CI47" s="142"/>
    </row>
    <row r="48" spans="1:87" ht="13.5" customHeight="1">
      <c r="B48" s="80">
        <v>441</v>
      </c>
      <c r="C48" s="93" t="s">
        <v>130</v>
      </c>
      <c r="D48" s="154">
        <f>+IF(ISNUMBER(VLOOKUP($B48,'Cental Budget'!$B$16:$K$75,'Public Expenditure'!D$1,FALSE)),VLOOKUP($B48,'Cental Budget'!$B$16:$K$75,'Public Expenditure'!D$1,FALSE),0)+IF(ISNUMBER(VLOOKUP('Public Expenditure'!$B48,'Local Government'!$B$16:$O$75,'Public Expenditure'!D$1,FALSE)),VLOOKUP('Public Expenditure'!$B48,'Local Government'!$B$16:$O$75,'Public Expenditure'!D$1,FALSE),0)</f>
        <v>4724234.6500000022</v>
      </c>
      <c r="E48" s="254">
        <f t="shared" si="0"/>
        <v>0.13029713505364421</v>
      </c>
      <c r="F48" s="154">
        <f>+IF(ISNUMBER(VLOOKUP($B48,'Cental Budget'!$B$16:$K$75,'Public Expenditure'!F$1,FALSE)),VLOOKUP($B48,'Cental Budget'!$B$16:$K$75,'Public Expenditure'!F$1,FALSE),0)+IF(ISNUMBER(VLOOKUP('Public Expenditure'!$B48,'Local Government'!$B$16:$O$75,'Public Expenditure'!F$1,FALSE)),VLOOKUP('Public Expenditure'!$B48,'Local Government'!$B$16:$O$75,'Public Expenditure'!F$1,FALSE),0)</f>
        <v>6924938.6049999986</v>
      </c>
      <c r="G48" s="254">
        <f t="shared" si="2"/>
        <v>0.19099382810163312</v>
      </c>
      <c r="H48" s="209">
        <f>+D48-F48</f>
        <v>-2200703.9549999963</v>
      </c>
      <c r="I48" s="260">
        <f t="shared" si="4"/>
        <v>-31.779400230509296</v>
      </c>
      <c r="J48" s="154">
        <f>+IF(ISNUMBER(VLOOKUP($B48,'Cental Budget'!$B$16:$K$75,'Public Expenditure'!J$1,FALSE)),VLOOKUP($B48,'Cental Budget'!$B$16:$K$75,'Public Expenditure'!J$1,FALSE),0)+IF(ISNUMBER(VLOOKUP('Public Expenditure'!$B48,'Local Government'!$B$16:$O$75,'Public Expenditure'!J$1,FALSE)),VLOOKUP('Public Expenditure'!$B48,'Local Government'!$B$16:$O$75,'Public Expenditure'!J$1,FALSE),0)</f>
        <v>2955804.3099999996</v>
      </c>
      <c r="K48" s="254">
        <f t="shared" si="1"/>
        <v>8.6303703899493447E-2</v>
      </c>
      <c r="L48" s="209">
        <f t="shared" si="5"/>
        <v>1768430.3400000026</v>
      </c>
      <c r="M48" s="260">
        <f t="shared" si="6"/>
        <v>59.829073731880527</v>
      </c>
      <c r="O48" s="81"/>
      <c r="P48" s="215"/>
      <c r="Q48" s="81"/>
      <c r="R48" s="81"/>
      <c r="CD48" s="161"/>
      <c r="CE48" s="161"/>
      <c r="CF48" s="145"/>
      <c r="CG48" s="145"/>
      <c r="CH48" s="145"/>
      <c r="CI48" s="142"/>
    </row>
    <row r="49" spans="1:87" ht="13.5" customHeight="1">
      <c r="A49" s="80">
        <v>42</v>
      </c>
      <c r="B49" s="80" t="s">
        <v>428</v>
      </c>
      <c r="C49" s="93" t="s">
        <v>87</v>
      </c>
      <c r="D49" s="94">
        <f>+IF(ISNUMBER(VLOOKUP($B49,'Cental Budget'!$B$16:$K$75,'Public Expenditure'!D$1,FALSE)),VLOOKUP($B49,'Cental Budget'!$B$16:$K$75,'Public Expenditure'!D$1,FALSE),0)+IF(ISNUMBER(VLOOKUP('Public Expenditure'!$B49,'Local Government'!$B$16:$M$75,'Public Expenditure'!D$1,FALSE)),VLOOKUP('Public Expenditure'!$B49,'Local Government'!$B$16:$M$75,'Public Expenditure'!D$1,FALSE),0)</f>
        <v>243269817.59000006</v>
      </c>
      <c r="E49" s="254">
        <f t="shared" si="0"/>
        <v>6.7095228381595344</v>
      </c>
      <c r="F49" s="94">
        <f>+IF(ISNUMBER(VLOOKUP($B49,'Cental Budget'!$B$16:$K$75,'Public Expenditure'!F$1,FALSE)),VLOOKUP($B49,'Cental Budget'!$B$16:$K$75,'Public Expenditure'!F$1,FALSE),0)+IF(ISNUMBER(VLOOKUP('Public Expenditure'!$B49,'Local Government'!$B$16:$M$75,'Public Expenditure'!F$1,FALSE)),VLOOKUP('Public Expenditure'!$B49,'Local Government'!$B$16:$M$75,'Public Expenditure'!F$1,FALSE),0)</f>
        <v>252526372.13999999</v>
      </c>
      <c r="G49" s="254">
        <f t="shared" si="2"/>
        <v>6.964823988015155</v>
      </c>
      <c r="H49" s="207">
        <f t="shared" si="3"/>
        <v>-9256554.5499999225</v>
      </c>
      <c r="I49" s="260">
        <f t="shared" si="4"/>
        <v>-3.6655793498146352</v>
      </c>
      <c r="J49" s="94">
        <f>+IF(ISNUMBER(VLOOKUP($B49,'Cental Budget'!$B$16:$K$75,'Public Expenditure'!J$1,FALSE)),VLOOKUP($B49,'Cental Budget'!$B$16:$K$75,'Public Expenditure'!J$1,FALSE),0)+IF(ISNUMBER(VLOOKUP('Public Expenditure'!$B49,'Local Government'!$B$16:$M$75,'Public Expenditure'!J$1,FALSE)),VLOOKUP('Public Expenditure'!$B49,'Local Government'!$B$16:$M$75,'Public Expenditure'!J$1,FALSE),0)</f>
        <v>244310201.41999999</v>
      </c>
      <c r="K49" s="254">
        <f t="shared" si="1"/>
        <v>7.1333799777080928</v>
      </c>
      <c r="L49" s="207">
        <f t="shared" si="5"/>
        <v>-1040383.8299999237</v>
      </c>
      <c r="M49" s="260">
        <f t="shared" si="6"/>
        <v>-0.42584543091238913</v>
      </c>
      <c r="O49" s="215"/>
      <c r="P49" s="81"/>
      <c r="Q49" s="81"/>
      <c r="R49" s="81"/>
      <c r="CD49" s="161"/>
      <c r="CE49" s="161"/>
      <c r="CF49" s="145"/>
      <c r="CG49" s="145"/>
      <c r="CH49" s="145"/>
      <c r="CI49" s="142"/>
    </row>
    <row r="50" spans="1:87" ht="13.5" customHeight="1">
      <c r="B50" s="80">
        <v>421</v>
      </c>
      <c r="C50" s="97" t="s">
        <v>89</v>
      </c>
      <c r="D50" s="156">
        <f>+IF(ISNUMBER(VLOOKUP($B50,'Cental Budget'!$B$16:$K$75,'Public Expenditure'!D$1,FALSE)),VLOOKUP($B50,'Cental Budget'!$B$16:$K$75,'Public Expenditure'!D$1,FALSE),0)+IF(ISNUMBER(VLOOKUP('Public Expenditure'!$B50,'Local Government'!$B$16:$O$75,'Public Expenditure'!D$1,FALSE)),VLOOKUP('Public Expenditure'!$B50,'Local Government'!$B$16:$O$75,'Public Expenditure'!D$1,FALSE),0)</f>
        <v>30138460.129999995</v>
      </c>
      <c r="E50" s="253">
        <f t="shared" si="0"/>
        <v>0.8312362320672364</v>
      </c>
      <c r="F50" s="156">
        <f>+IF(ISNUMBER(VLOOKUP($B50,'Cental Budget'!$B$16:$K$75,'Public Expenditure'!F$1,FALSE)),VLOOKUP($B50,'Cental Budget'!$B$16:$K$75,'Public Expenditure'!F$1,FALSE),0)+IF(ISNUMBER(VLOOKUP('Public Expenditure'!$B50,'Local Government'!$B$16:$O$75,'Public Expenditure'!F$1,FALSE)),VLOOKUP('Public Expenditure'!$B50,'Local Government'!$B$16:$O$75,'Public Expenditure'!F$1,FALSE),0)</f>
        <v>30368922.140000001</v>
      </c>
      <c r="G50" s="253">
        <f t="shared" si="2"/>
        <v>0.83759250813445174</v>
      </c>
      <c r="H50" s="210">
        <f t="shared" si="3"/>
        <v>-230462.01000000536</v>
      </c>
      <c r="I50" s="259">
        <f t="shared" si="4"/>
        <v>-0.75887451302216391</v>
      </c>
      <c r="J50" s="156">
        <f>+IF(ISNUMBER(VLOOKUP($B50,'Cental Budget'!$B$16:$K$75,'Public Expenditure'!J$1,FALSE)),VLOOKUP($B50,'Cental Budget'!$B$16:$K$75,'Public Expenditure'!J$1,FALSE),0)+IF(ISNUMBER(VLOOKUP('Public Expenditure'!$B50,'Local Government'!$B$16:$O$75,'Public Expenditure'!J$1,FALSE)),VLOOKUP('Public Expenditure'!$B50,'Local Government'!$B$16:$O$75,'Public Expenditure'!J$1,FALSE),0)</f>
        <v>30631730.419999998</v>
      </c>
      <c r="K50" s="253">
        <f t="shared" si="1"/>
        <v>0.89438660846150075</v>
      </c>
      <c r="L50" s="210">
        <f t="shared" si="5"/>
        <v>-493270.29000000283</v>
      </c>
      <c r="M50" s="259">
        <f t="shared" si="6"/>
        <v>-1.6103245988281998</v>
      </c>
      <c r="O50" s="81"/>
      <c r="P50" s="81"/>
      <c r="Q50" s="81"/>
      <c r="R50" s="81"/>
      <c r="CD50" s="161"/>
      <c r="CE50" s="161"/>
      <c r="CF50" s="145"/>
      <c r="CG50" s="145"/>
      <c r="CH50" s="145"/>
      <c r="CI50" s="142"/>
    </row>
    <row r="51" spans="1:87" ht="13.5" customHeight="1">
      <c r="B51" s="80">
        <v>422</v>
      </c>
      <c r="C51" s="97" t="s">
        <v>91</v>
      </c>
      <c r="D51" s="156">
        <f>+IF(ISNUMBER(VLOOKUP($B51,'Cental Budget'!$B$16:$K$75,'Public Expenditure'!D$1,FALSE)),VLOOKUP($B51,'Cental Budget'!$B$16:$K$75,'Public Expenditure'!D$1,FALSE),0)+IF(ISNUMBER(VLOOKUP('Public Expenditure'!$B51,'Local Government'!$B$16:$O$75,'Public Expenditure'!D$1,FALSE)),VLOOKUP('Public Expenditure'!$B51,'Local Government'!$B$16:$O$75,'Public Expenditure'!D$1,FALSE),0)</f>
        <v>9141831.6400000006</v>
      </c>
      <c r="E51" s="253">
        <f t="shared" si="0"/>
        <v>0.25213702537717031</v>
      </c>
      <c r="F51" s="156">
        <f>+IF(ISNUMBER(VLOOKUP($B51,'Cental Budget'!$B$16:$K$75,'Public Expenditure'!F$1,FALSE)),VLOOKUP($B51,'Cental Budget'!$B$16:$K$75,'Public Expenditure'!F$1,FALSE),0)+IF(ISNUMBER(VLOOKUP('Public Expenditure'!$B51,'Local Government'!$B$16:$O$75,'Public Expenditure'!F$1,FALSE)),VLOOKUP('Public Expenditure'!$B51,'Local Government'!$B$16:$O$75,'Public Expenditure'!F$1,FALSE),0)</f>
        <v>9720000</v>
      </c>
      <c r="G51" s="253">
        <f t="shared" si="2"/>
        <v>0.26808324449367077</v>
      </c>
      <c r="H51" s="210">
        <f t="shared" si="3"/>
        <v>-578168.3599999994</v>
      </c>
      <c r="I51" s="259">
        <f t="shared" si="4"/>
        <v>-5.9482341563785894</v>
      </c>
      <c r="J51" s="156">
        <f>+IF(ISNUMBER(VLOOKUP($B51,'Cental Budget'!$B$16:$K$75,'Public Expenditure'!J$1,FALSE)),VLOOKUP($B51,'Cental Budget'!$B$16:$K$75,'Public Expenditure'!J$1,FALSE),0)+IF(ISNUMBER(VLOOKUP('Public Expenditure'!$B51,'Local Government'!$B$16:$O$75,'Public Expenditure'!J$1,FALSE)),VLOOKUP('Public Expenditure'!$B51,'Local Government'!$B$16:$O$75,'Public Expenditure'!J$1,FALSE),0)</f>
        <v>10029579.359999999</v>
      </c>
      <c r="K51" s="253">
        <f t="shared" si="1"/>
        <v>0.29284409809995543</v>
      </c>
      <c r="L51" s="210">
        <f t="shared" si="5"/>
        <v>-887747.71999999881</v>
      </c>
      <c r="M51" s="259">
        <f t="shared" si="6"/>
        <v>-8.8512956339975517</v>
      </c>
      <c r="O51" s="81"/>
      <c r="P51" s="81"/>
      <c r="Q51" s="81"/>
      <c r="R51" s="81"/>
      <c r="CD51" s="161"/>
      <c r="CE51" s="161"/>
      <c r="CF51" s="145"/>
      <c r="CG51" s="145"/>
      <c r="CH51" s="145"/>
      <c r="CI51" s="142"/>
    </row>
    <row r="52" spans="1:87" ht="13.5" customHeight="1">
      <c r="B52" s="80">
        <v>423</v>
      </c>
      <c r="C52" s="97" t="s">
        <v>93</v>
      </c>
      <c r="D52" s="156">
        <f>+IF(ISNUMBER(VLOOKUP($B52,'Cental Budget'!$B$16:$K$75,'Public Expenditure'!D$1,FALSE)),VLOOKUP($B52,'Cental Budget'!$B$16:$K$75,'Public Expenditure'!D$1,FALSE),0)+IF(ISNUMBER(VLOOKUP('Public Expenditure'!$B52,'Local Government'!$B$16:$O$75,'Public Expenditure'!D$1,FALSE)),VLOOKUP('Public Expenditure'!$B52,'Local Government'!$B$16:$O$75,'Public Expenditure'!D$1,FALSE),0)</f>
        <v>192764290.84000003</v>
      </c>
      <c r="E52" s="253">
        <f t="shared" si="0"/>
        <v>5.3165510813692167</v>
      </c>
      <c r="F52" s="156">
        <f>+IF(ISNUMBER(VLOOKUP($B52,'Cental Budget'!$B$16:$K$75,'Public Expenditure'!F$1,FALSE)),VLOOKUP($B52,'Cental Budget'!$B$16:$K$75,'Public Expenditure'!F$1,FALSE),0)+IF(ISNUMBER(VLOOKUP('Public Expenditure'!$B52,'Local Government'!$B$16:$O$75,'Public Expenditure'!F$1,FALSE)),VLOOKUP('Public Expenditure'!$B52,'Local Government'!$B$16:$O$75,'Public Expenditure'!F$1,FALSE),0)</f>
        <v>201227450</v>
      </c>
      <c r="G52" s="253">
        <f t="shared" si="2"/>
        <v>5.5499699256366162</v>
      </c>
      <c r="H52" s="210">
        <f t="shared" si="3"/>
        <v>-8463159.1599999666</v>
      </c>
      <c r="I52" s="259">
        <f t="shared" si="4"/>
        <v>-4.205767731986839</v>
      </c>
      <c r="J52" s="156">
        <f>+IF(ISNUMBER(VLOOKUP($B52,'Cental Budget'!$B$16:$K$75,'Public Expenditure'!J$1,FALSE)),VLOOKUP($B52,'Cental Budget'!$B$16:$K$75,'Public Expenditure'!J$1,FALSE),0)+IF(ISNUMBER(VLOOKUP('Public Expenditure'!$B52,'Local Government'!$B$16:$O$75,'Public Expenditure'!J$1,FALSE)),VLOOKUP('Public Expenditure'!$B52,'Local Government'!$B$16:$O$75,'Public Expenditure'!J$1,FALSE),0)</f>
        <v>192700401.41999999</v>
      </c>
      <c r="K52" s="253">
        <f t="shared" si="1"/>
        <v>5.6264747734484519</v>
      </c>
      <c r="L52" s="210">
        <f t="shared" si="5"/>
        <v>63889.420000046492</v>
      </c>
      <c r="M52" s="259">
        <f t="shared" si="6"/>
        <v>3.3154793414681194E-2</v>
      </c>
      <c r="O52" s="81"/>
      <c r="P52" s="81"/>
      <c r="Q52" s="81"/>
      <c r="R52" s="81"/>
      <c r="CD52" s="161"/>
      <c r="CE52" s="161"/>
      <c r="CF52" s="145"/>
      <c r="CG52" s="145"/>
      <c r="CH52" s="145"/>
      <c r="CI52" s="142"/>
    </row>
    <row r="53" spans="1:87" ht="13.5" customHeight="1">
      <c r="B53" s="80">
        <v>424</v>
      </c>
      <c r="C53" s="97" t="s">
        <v>95</v>
      </c>
      <c r="D53" s="156">
        <f>+IF(ISNUMBER(VLOOKUP($B53,'Cental Budget'!$B$16:$K$75,'Public Expenditure'!D$1,FALSE)),VLOOKUP($B53,'Cental Budget'!$B$16:$K$75,'Public Expenditure'!D$1,FALSE),0)+IF(ISNUMBER(VLOOKUP('Public Expenditure'!$B53,'Local Government'!$B$16:$O$75,'Public Expenditure'!D$1,FALSE)),VLOOKUP('Public Expenditure'!$B53,'Local Government'!$B$16:$O$75,'Public Expenditure'!D$1,FALSE),0)</f>
        <v>7334639.5800000001</v>
      </c>
      <c r="E53" s="253">
        <f t="shared" si="0"/>
        <v>0.20229361890926903</v>
      </c>
      <c r="F53" s="156">
        <f>+IF(ISNUMBER(VLOOKUP($B53,'Cental Budget'!$B$16:$K$75,'Public Expenditure'!F$1,FALSE)),VLOOKUP($B53,'Cental Budget'!$B$16:$K$75,'Public Expenditure'!F$1,FALSE),0)+IF(ISNUMBER(VLOOKUP('Public Expenditure'!$B53,'Local Government'!$B$16:$O$75,'Public Expenditure'!F$1,FALSE)),VLOOKUP('Public Expenditure'!$B53,'Local Government'!$B$16:$O$75,'Public Expenditure'!F$1,FALSE),0)</f>
        <v>7500000</v>
      </c>
      <c r="G53" s="253">
        <f t="shared" si="2"/>
        <v>0.20685435531919041</v>
      </c>
      <c r="H53" s="210">
        <f t="shared" si="3"/>
        <v>-165360.41999999993</v>
      </c>
      <c r="I53" s="259">
        <f t="shared" si="4"/>
        <v>-2.2048056000000003</v>
      </c>
      <c r="J53" s="156">
        <f>+IF(ISNUMBER(VLOOKUP($B53,'Cental Budget'!$B$16:$K$75,'Public Expenditure'!J$1,FALSE)),VLOOKUP($B53,'Cental Budget'!$B$16:$K$75,'Public Expenditure'!J$1,FALSE),0)+IF(ISNUMBER(VLOOKUP('Public Expenditure'!$B53,'Local Government'!$B$16:$O$75,'Public Expenditure'!J$1,FALSE)),VLOOKUP('Public Expenditure'!$B53,'Local Government'!$B$16:$O$75,'Public Expenditure'!J$1,FALSE),0)</f>
        <v>7335536.0099999998</v>
      </c>
      <c r="K53" s="253">
        <f t="shared" si="1"/>
        <v>0.21418330219266501</v>
      </c>
      <c r="L53" s="210">
        <f t="shared" si="5"/>
        <v>-896.42999999970198</v>
      </c>
      <c r="M53" s="259">
        <f t="shared" si="6"/>
        <v>-1.2220374881650287E-2</v>
      </c>
      <c r="O53" s="81"/>
      <c r="P53" s="81"/>
      <c r="Q53" s="81"/>
      <c r="R53" s="81"/>
      <c r="CD53" s="161"/>
      <c r="CE53" s="161"/>
      <c r="CF53" s="145"/>
      <c r="CG53" s="145"/>
      <c r="CH53" s="145"/>
      <c r="CI53" s="142"/>
    </row>
    <row r="54" spans="1:87" ht="13.5" customHeight="1">
      <c r="B54" s="80">
        <v>425</v>
      </c>
      <c r="C54" s="97" t="s">
        <v>432</v>
      </c>
      <c r="D54" s="156">
        <f>+IF(ISNUMBER(VLOOKUP($B54,'Cental Budget'!$B$16:$K$75,'Public Expenditure'!D$1,FALSE)),VLOOKUP($B54,'Cental Budget'!$B$16:$K$75,'Public Expenditure'!D$1,FALSE),0)+IF(ISNUMBER(VLOOKUP('Public Expenditure'!$B54,'Local Government'!$B$16:$O$75,'Public Expenditure'!D$1,FALSE)),VLOOKUP('Public Expenditure'!$B54,'Local Government'!$B$16:$O$75,'Public Expenditure'!D$1,FALSE),0)</f>
        <v>3890595.3999999994</v>
      </c>
      <c r="E54" s="253">
        <f t="shared" si="0"/>
        <v>0.10730488043664101</v>
      </c>
      <c r="F54" s="156">
        <f>+IF(ISNUMBER(VLOOKUP($B54,'Cental Budget'!$B$16:$K$75,'Public Expenditure'!F$1,FALSE)),VLOOKUP($B54,'Cental Budget'!$B$16:$K$75,'Public Expenditure'!F$1,FALSE),0)+IF(ISNUMBER(VLOOKUP('Public Expenditure'!$B54,'Local Government'!$B$16:$O$75,'Public Expenditure'!F$1,FALSE)),VLOOKUP('Public Expenditure'!$B54,'Local Government'!$B$16:$O$75,'Public Expenditure'!F$1,FALSE),0)</f>
        <v>3709999.9999999991</v>
      </c>
      <c r="G54" s="253">
        <f t="shared" si="2"/>
        <v>0.10232395443122617</v>
      </c>
      <c r="H54" s="210">
        <f t="shared" si="3"/>
        <v>180595.40000000037</v>
      </c>
      <c r="I54" s="259">
        <f t="shared" si="4"/>
        <v>4.867800539083575</v>
      </c>
      <c r="J54" s="156">
        <f>+IF(ISNUMBER(VLOOKUP($B54,'Cental Budget'!$B$16:$K$75,'Public Expenditure'!J$1,FALSE)),VLOOKUP($B54,'Cental Budget'!$B$16:$K$75,'Public Expenditure'!J$1,FALSE),0)+IF(ISNUMBER(VLOOKUP('Public Expenditure'!$B54,'Local Government'!$B$16:$O$75,'Public Expenditure'!J$1,FALSE)),VLOOKUP('Public Expenditure'!$B54,'Local Government'!$B$16:$O$75,'Public Expenditure'!J$1,FALSE),0)</f>
        <v>3612954.2099999995</v>
      </c>
      <c r="K54" s="253">
        <f t="shared" si="1"/>
        <v>0.10549119550551987</v>
      </c>
      <c r="L54" s="210">
        <f t="shared" si="5"/>
        <v>277641.18999999994</v>
      </c>
      <c r="M54" s="259">
        <f t="shared" si="6"/>
        <v>7.684603066142941</v>
      </c>
      <c r="O54" s="81"/>
      <c r="P54" s="81"/>
      <c r="Q54" s="81"/>
      <c r="R54" s="81"/>
      <c r="CD54" s="161"/>
      <c r="CE54" s="161"/>
      <c r="CF54" s="145"/>
      <c r="CG54" s="145"/>
      <c r="CH54" s="145"/>
      <c r="CI54" s="142"/>
    </row>
    <row r="55" spans="1:87" ht="13.5" customHeight="1">
      <c r="A55" s="80">
        <v>43</v>
      </c>
      <c r="C55" s="93" t="s">
        <v>433</v>
      </c>
      <c r="D55" s="94">
        <f>+SUM(D56:D57)</f>
        <v>74297378.380000025</v>
      </c>
      <c r="E55" s="254">
        <f t="shared" si="0"/>
        <v>2.049164840893448</v>
      </c>
      <c r="F55" s="94">
        <f>+SUM(F56:F57)</f>
        <v>77696910.030000001</v>
      </c>
      <c r="G55" s="254">
        <f t="shared" si="2"/>
        <v>2.1429258979398385</v>
      </c>
      <c r="H55" s="207">
        <f t="shared" si="3"/>
        <v>-3399531.6499999762</v>
      </c>
      <c r="I55" s="260">
        <f t="shared" si="4"/>
        <v>-4.3753756084860527</v>
      </c>
      <c r="J55" s="94">
        <f>+SUM(J56:J57)</f>
        <v>59226457.050000012</v>
      </c>
      <c r="K55" s="254">
        <f t="shared" si="1"/>
        <v>1.7292966909095777</v>
      </c>
      <c r="L55" s="207">
        <f t="shared" si="5"/>
        <v>15070921.330000013</v>
      </c>
      <c r="M55" s="260">
        <f t="shared" si="6"/>
        <v>25.446265200832258</v>
      </c>
      <c r="O55" s="212"/>
      <c r="P55" s="81"/>
      <c r="Q55" s="81"/>
      <c r="R55" s="81"/>
      <c r="CD55" s="161"/>
      <c r="CE55" s="161"/>
      <c r="CF55" s="145"/>
      <c r="CG55" s="145"/>
      <c r="CH55" s="145"/>
      <c r="CI55" s="142"/>
    </row>
    <row r="56" spans="1:87" ht="13.5" customHeight="1">
      <c r="A56" s="80">
        <v>999</v>
      </c>
      <c r="B56" s="80">
        <v>431</v>
      </c>
      <c r="C56" s="97" t="s">
        <v>433</v>
      </c>
      <c r="D56" s="156">
        <f>+IF(ISNUMBER(VLOOKUP($B56,'Cental Budget'!$B$16:$K$75,'Public Expenditure'!D$1,FALSE)),VLOOKUP($B56,'Cental Budget'!$B$16:$K$75,'Public Expenditure'!D$1,FALSE),0)+IF(ISNUMBER(VLOOKUP('Public Expenditure'!$B56,'Local Government'!$B$16:$O$75,'Public Expenditure'!D$1,FALSE)),VLOOKUP('Public Expenditure'!$B56,'Local Government'!$B$16:$O$75,'Public Expenditure'!D$1,FALSE),0)-'Local Government'!D75</f>
        <v>68096277.240000024</v>
      </c>
      <c r="E56" s="253">
        <f t="shared" si="0"/>
        <v>1.8781348704156084</v>
      </c>
      <c r="F56" s="156">
        <f>+IF(ISNUMBER(VLOOKUP($B56,'Cental Budget'!$B$16:$K$75,'Public Expenditure'!F$1,FALSE)),VLOOKUP($B56,'Cental Budget'!$B$16:$K$75,'Public Expenditure'!F$1,FALSE),0)+IF(ISNUMBER(VLOOKUP('Public Expenditure'!$B56,'Local Government'!$B$16:$O$75,'Public Expenditure'!F$1,FALSE)),VLOOKUP('Public Expenditure'!$B56,'Local Government'!$B$16:$O$75,'Public Expenditure'!F$1,FALSE),0)-'Local Government'!F75</f>
        <v>71580204.219999999</v>
      </c>
      <c r="G56" s="253">
        <f t="shared" si="2"/>
        <v>1.9742235996725457</v>
      </c>
      <c r="H56" s="210">
        <f t="shared" si="3"/>
        <v>-3483926.9799999744</v>
      </c>
      <c r="I56" s="259">
        <f t="shared" si="4"/>
        <v>-4.8671654655974521</v>
      </c>
      <c r="J56" s="156">
        <f>+IF(ISNUMBER(VLOOKUP($B56,'Cental Budget'!$B$16:$K$75,'Public Expenditure'!J$1,FALSE)),VLOOKUP($B56,'Cental Budget'!$B$16:$K$75,'Public Expenditure'!J$1,FALSE),0)+IF(ISNUMBER(VLOOKUP('Public Expenditure'!$B56,'Local Government'!$B$16:$O$75,'Public Expenditure'!J$1,FALSE)),VLOOKUP('Public Expenditure'!$B56,'Local Government'!$B$16:$O$75,'Public Expenditure'!J$1,FALSE),0)-'Local Government'!J75</f>
        <v>53170312.680000015</v>
      </c>
      <c r="K56" s="253">
        <f t="shared" si="1"/>
        <v>1.5524691219420421</v>
      </c>
      <c r="L56" s="210">
        <f t="shared" si="5"/>
        <v>14925964.56000001</v>
      </c>
      <c r="M56" s="259">
        <f t="shared" si="6"/>
        <v>28.071989438599644</v>
      </c>
      <c r="N56" s="229"/>
      <c r="O56" s="81"/>
      <c r="P56" s="81"/>
      <c r="Q56" s="81"/>
      <c r="R56" s="81"/>
      <c r="CD56" s="161"/>
      <c r="CE56" s="161"/>
      <c r="CF56" s="145"/>
      <c r="CG56" s="145"/>
      <c r="CH56" s="145"/>
      <c r="CI56" s="142"/>
    </row>
    <row r="57" spans="1:87" ht="13.5" customHeight="1" thickBot="1">
      <c r="A57" s="80" t="s">
        <v>428</v>
      </c>
      <c r="B57" s="80">
        <v>432</v>
      </c>
      <c r="C57" s="97" t="s">
        <v>434</v>
      </c>
      <c r="D57" s="156">
        <f>+IF(ISNUMBER(VLOOKUP($B57,'Cental Budget'!$B$16:$K$75,'Public Expenditure'!D$1,FALSE)),VLOOKUP($B57,'Cental Budget'!$B$16:$K$75,'Public Expenditure'!D$1,FALSE),0)+IF(ISNUMBER(VLOOKUP('Public Expenditure'!$B57,'Local Government'!$B$16:$O$75,'Public Expenditure'!D$1,FALSE)),VLOOKUP('Public Expenditure'!$B57,'Local Government'!$B$16:$O$75,'Public Expenditure'!D$1,FALSE),0)</f>
        <v>6201101.1399999997</v>
      </c>
      <c r="E57" s="253">
        <f t="shared" si="0"/>
        <v>0.17102997047783955</v>
      </c>
      <c r="F57" s="156">
        <f>+IF(ISNUMBER(VLOOKUP($B57,'Cental Budget'!$B$16:$K$75,'Public Expenditure'!F$1,FALSE)),VLOOKUP($B57,'Cental Budget'!$B$16:$K$75,'Public Expenditure'!F$1,FALSE),0)+IF(ISNUMBER(VLOOKUP('Public Expenditure'!$B57,'Local Government'!$B$16:$O$75,'Public Expenditure'!F$1,FALSE)),VLOOKUP('Public Expenditure'!$B57,'Local Government'!$B$16:$O$75,'Public Expenditure'!F$1,FALSE),0)</f>
        <v>6116705.8099999996</v>
      </c>
      <c r="G57" s="253">
        <f t="shared" si="2"/>
        <v>0.16870229826729283</v>
      </c>
      <c r="H57" s="210">
        <f t="shared" si="3"/>
        <v>84395.330000000075</v>
      </c>
      <c r="I57" s="259"/>
      <c r="J57" s="156">
        <f>+IF(ISNUMBER(VLOOKUP($B57,'Cental Budget'!$B$16:$K$75,'Public Expenditure'!J$1,FALSE)),VLOOKUP($B57,'Cental Budget'!$B$16:$K$75,'Public Expenditure'!J$1,FALSE),0)+IF(ISNUMBER(VLOOKUP('Public Expenditure'!$B57,'Local Government'!$B$16:$O$75,'Public Expenditure'!J$1,FALSE)),VLOOKUP('Public Expenditure'!$B57,'Local Government'!$B$16:$O$75,'Public Expenditure'!J$1,FALSE),0)</f>
        <v>6056144.3700000001</v>
      </c>
      <c r="K57" s="253">
        <f t="shared" si="1"/>
        <v>0.17682756896753574</v>
      </c>
      <c r="L57" s="210">
        <f t="shared" si="5"/>
        <v>144956.76999999955</v>
      </c>
      <c r="M57" s="259">
        <f t="shared" si="6"/>
        <v>2.3935487852314736</v>
      </c>
      <c r="N57" s="220"/>
      <c r="O57" s="81"/>
      <c r="P57" s="81"/>
      <c r="Q57" s="81"/>
      <c r="R57" s="81"/>
      <c r="CD57" s="161"/>
      <c r="CE57" s="161"/>
      <c r="CF57" s="145"/>
      <c r="CG57" s="145"/>
      <c r="CH57" s="145"/>
      <c r="CI57" s="142"/>
    </row>
    <row r="58" spans="1:87" ht="13.5" customHeight="1" thickTop="1" thickBot="1">
      <c r="B58" s="80">
        <v>44</v>
      </c>
      <c r="C58" s="178" t="s">
        <v>281</v>
      </c>
      <c r="D58" s="177">
        <f>+IF(ISNUMBER(VLOOKUP($B58,'Cental Budget'!$B$16:$K$75,'Public Expenditure'!D$1,FALSE)),VLOOKUP($B58,'Cental Budget'!$B$16:$K$75,'Public Expenditure'!D$1,FALSE),0)+IF(ISNUMBER(VLOOKUP('Public Expenditure'!$B58,'Local Government'!$B$16:$O$75,'Public Expenditure'!D$1,FALSE)),VLOOKUP('Public Expenditure'!$B58,'Local Government'!$B$16:$O$75,'Public Expenditure'!D$1,FALSE),0)</f>
        <v>198949419.43999997</v>
      </c>
      <c r="E58" s="251">
        <f t="shared" si="0"/>
        <v>5.4871405199184533</v>
      </c>
      <c r="F58" s="177">
        <f>+IF(ISNUMBER(VLOOKUP($B58,'Cental Budget'!$B$16:$K$75,'Public Expenditure'!F$1,FALSE)),VLOOKUP($B58,'Cental Budget'!$B$16:$K$75,'Public Expenditure'!F$1,FALSE),0)+IF(ISNUMBER(VLOOKUP('Public Expenditure'!$B58,'Local Government'!$B$16:$O$75,'Public Expenditure'!F$1,FALSE)),VLOOKUP('Public Expenditure'!$B58,'Local Government'!$B$16:$O$75,'Public Expenditure'!F$1,FALSE),0)</f>
        <v>160736457.42000002</v>
      </c>
      <c r="G58" s="251">
        <f t="shared" si="2"/>
        <v>4.4332048367872812</v>
      </c>
      <c r="H58" s="177">
        <f t="shared" si="3"/>
        <v>38212962.019999951</v>
      </c>
      <c r="I58" s="251">
        <f t="shared" si="4"/>
        <v>23.773674394322697</v>
      </c>
      <c r="J58" s="177">
        <f>+IF(ISNUMBER(VLOOKUP($B58,'Cental Budget'!$B$16:$K$75,'Public Expenditure'!J$1,FALSE)),VLOOKUP($B58,'Cental Budget'!$B$16:$K$75,'Public Expenditure'!J$1,FALSE),0)+IF(ISNUMBER(VLOOKUP('Public Expenditure'!$B58,'Local Government'!$B$16:$O$75,'Public Expenditure'!J$1,FALSE)),VLOOKUP('Public Expenditure'!$B58,'Local Government'!$B$16:$O$75,'Public Expenditure'!J$1,FALSE),0)</f>
        <v>41941545.289999999</v>
      </c>
      <c r="K58" s="251">
        <f t="shared" si="1"/>
        <v>1.2246110791398617</v>
      </c>
      <c r="L58" s="177">
        <f t="shared" si="5"/>
        <v>157007874.14999998</v>
      </c>
      <c r="M58" s="251">
        <f t="shared" si="6"/>
        <v>374.34928318541216</v>
      </c>
      <c r="O58" s="212"/>
      <c r="P58" s="81"/>
      <c r="Q58" s="81"/>
      <c r="R58" s="81"/>
      <c r="CD58" s="161"/>
      <c r="CE58" s="161"/>
      <c r="CF58" s="145"/>
      <c r="CG58" s="145"/>
      <c r="CH58" s="145"/>
      <c r="CI58" s="142"/>
    </row>
    <row r="59" spans="1:87" ht="13.5" customHeight="1" thickTop="1">
      <c r="B59" s="80">
        <v>451</v>
      </c>
      <c r="C59" s="93" t="s">
        <v>111</v>
      </c>
      <c r="D59" s="154">
        <f>+IF(ISNUMBER(VLOOKUP($B59,'Cental Budget'!$B$16:$K$75,'Public Expenditure'!D$1,FALSE)),VLOOKUP($B59,'Cental Budget'!$B$16:$K$75,'Public Expenditure'!D$1,FALSE),0)+IF(ISNUMBER(VLOOKUP('Public Expenditure'!$B59,'Local Government'!$B$16:$O$75,'Public Expenditure'!D$1,FALSE)),VLOOKUP('Public Expenditure'!$B59,'Local Government'!$B$16:$O$75,'Public Expenditure'!D$1,FALSE),0)</f>
        <v>1789305.4300000002</v>
      </c>
      <c r="E59" s="254">
        <f t="shared" si="0"/>
        <v>4.9350082825570241E-2</v>
      </c>
      <c r="F59" s="154">
        <f>+IF(ISNUMBER(VLOOKUP($B59,'Cental Budget'!$B$16:$K$75,'Public Expenditure'!F$1,FALSE)),VLOOKUP($B59,'Cental Budget'!$B$16:$K$75,'Public Expenditure'!F$1,FALSE),0)+IF(ISNUMBER(VLOOKUP('Public Expenditure'!$B59,'Local Government'!$B$16:$O$75,'Public Expenditure'!F$1,FALSE)),VLOOKUP('Public Expenditure'!$B59,'Local Government'!$B$16:$O$75,'Public Expenditure'!F$1,FALSE),0)</f>
        <v>1615925.55</v>
      </c>
      <c r="G59" s="254">
        <f t="shared" si="2"/>
        <v>4.4568165051874428E-2</v>
      </c>
      <c r="H59" s="209">
        <f t="shared" si="3"/>
        <v>173379.88000000012</v>
      </c>
      <c r="I59" s="260">
        <f t="shared" si="4"/>
        <v>10.729447281776075</v>
      </c>
      <c r="J59" s="154">
        <f>+IF(ISNUMBER(VLOOKUP($B59,'Cental Budget'!$B$16:$K$75,'Public Expenditure'!J$1,FALSE)),VLOOKUP($B59,'Cental Budget'!$B$16:$K$75,'Public Expenditure'!J$1,FALSE),0)+IF(ISNUMBER(VLOOKUP('Public Expenditure'!$B59,'Local Government'!$B$16:$O$75,'Public Expenditure'!J$1,FALSE)),VLOOKUP('Public Expenditure'!$B59,'Local Government'!$B$16:$O$75,'Public Expenditure'!J$1,FALSE),0)</f>
        <v>1724091.3599999999</v>
      </c>
      <c r="K59" s="254">
        <f t="shared" si="1"/>
        <v>5.0340095156405994E-2</v>
      </c>
      <c r="L59" s="209">
        <f t="shared" si="5"/>
        <v>65214.070000000298</v>
      </c>
      <c r="M59" s="260">
        <f t="shared" si="6"/>
        <v>3.7825182303564446</v>
      </c>
      <c r="O59" s="212"/>
      <c r="P59" s="81"/>
      <c r="Q59" s="81"/>
      <c r="R59" s="81"/>
      <c r="CD59" s="161"/>
      <c r="CE59" s="161"/>
      <c r="CF59" s="145"/>
      <c r="CG59" s="145"/>
      <c r="CH59" s="145"/>
      <c r="CI59" s="142"/>
    </row>
    <row r="60" spans="1:87" ht="13.5" customHeight="1" thickBot="1">
      <c r="B60" s="80">
        <v>47</v>
      </c>
      <c r="C60" s="93" t="s">
        <v>118</v>
      </c>
      <c r="D60" s="154">
        <f>+IF(ISNUMBER(VLOOKUP($B60,'Cental Budget'!$B$16:$K$75,'Public Expenditure'!D$1,FALSE)),VLOOKUP($B60,'Cental Budget'!$B$16:$K$75,'Public Expenditure'!D$1,FALSE),0)+IF(ISNUMBER(VLOOKUP('Public Expenditure'!$B60,'Local Government'!$B$16:$O$75,'Public Expenditure'!D$1,FALSE)),VLOOKUP('Public Expenditure'!$B60,'Local Government'!$B$16:$O$75,'Public Expenditure'!D$1,FALSE),0)</f>
        <v>6629356.2400000002</v>
      </c>
      <c r="E60" s="254">
        <f t="shared" si="0"/>
        <v>0.18284149482752696</v>
      </c>
      <c r="F60" s="154">
        <f>+IF(ISNUMBER(VLOOKUP($B60,'Cental Budget'!$B$16:$K$75,'Public Expenditure'!F$1,FALSE)),VLOOKUP($B60,'Cental Budget'!$B$16:$K$75,'Public Expenditure'!F$1,FALSE),0)+IF(ISNUMBER(VLOOKUP('Public Expenditure'!$B60,'Local Government'!$B$16:$O$75,'Public Expenditure'!F$1,FALSE)),VLOOKUP('Public Expenditure'!$B60,'Local Government'!$B$16:$O$75,'Public Expenditure'!F$1,FALSE),0)</f>
        <v>7739288.3850000007</v>
      </c>
      <c r="G60" s="254">
        <f t="shared" si="2"/>
        <v>0.21345406793446312</v>
      </c>
      <c r="H60" s="209">
        <f t="shared" si="3"/>
        <v>-1109932.1450000005</v>
      </c>
      <c r="I60" s="260">
        <f t="shared" si="4"/>
        <v>-14.341527150625751</v>
      </c>
      <c r="J60" s="154">
        <f>+IF(ISNUMBER(VLOOKUP($B60,'Cental Budget'!$B$16:$K$75,'Public Expenditure'!J$1,FALSE)),VLOOKUP($B60,'Cental Budget'!$B$16:$K$75,'Public Expenditure'!J$1,FALSE),0)+IF(ISNUMBER(VLOOKUP('Public Expenditure'!$B60,'Local Government'!$B$16:$O$75,'Public Expenditure'!J$1,FALSE)),VLOOKUP('Public Expenditure'!$B60,'Local Government'!$B$16:$O$75,'Public Expenditure'!J$1,FALSE),0)</f>
        <v>6352268.8599999994</v>
      </c>
      <c r="K60" s="254">
        <f t="shared" si="1"/>
        <v>0.18547382481603217</v>
      </c>
      <c r="L60" s="209">
        <f t="shared" si="5"/>
        <v>277087.38000000082</v>
      </c>
      <c r="M60" s="260">
        <f t="shared" si="6"/>
        <v>4.3620222334229197</v>
      </c>
      <c r="O60" s="212"/>
      <c r="P60" s="81"/>
      <c r="Q60" s="81"/>
      <c r="R60" s="81"/>
      <c r="CD60" s="161"/>
      <c r="CE60" s="161"/>
      <c r="CF60" s="145"/>
      <c r="CG60" s="145"/>
      <c r="CH60" s="145"/>
      <c r="CI60" s="142"/>
    </row>
    <row r="61" spans="1:87" ht="13.5" customHeight="1" thickTop="1" thickBot="1">
      <c r="B61" s="80">
        <v>462</v>
      </c>
      <c r="C61" s="148" t="s">
        <v>113</v>
      </c>
      <c r="D61" s="163">
        <f>+IF(ISNUMBER(VLOOKUP($B61,'Cental Budget'!$B$16:$K$75,'Public Expenditure'!D$1,FALSE)),VLOOKUP($B61,'Cental Budget'!$B$16:$K$75,'Public Expenditure'!D$1,FALSE),0)+IF(ISNUMBER(VLOOKUP('Public Expenditure'!$B61,'Local Government'!$B$16:$O$75,'Public Expenditure'!D$1,FALSE)),VLOOKUP('Public Expenditure'!$B61,'Local Government'!$B$16:$O$75,'Public Expenditure'!D$1,FALSE),0)</f>
        <v>0</v>
      </c>
      <c r="E61" s="255">
        <f t="shared" si="0"/>
        <v>0</v>
      </c>
      <c r="F61" s="163">
        <f>+IF(ISNUMBER(VLOOKUP($B61,'Cental Budget'!$B$16:$K$75,'Public Expenditure'!F$1,FALSE)),VLOOKUP($B61,'Cental Budget'!$B$16:$K$75,'Public Expenditure'!F$1,FALSE),0)+IF(ISNUMBER(VLOOKUP('Public Expenditure'!$B61,'Local Government'!$B$16:$O$75,'Public Expenditure'!F$1,FALSE)),VLOOKUP('Public Expenditure'!$B61,'Local Government'!$B$16:$O$75,'Public Expenditure'!F$1,FALSE),0)</f>
        <v>0</v>
      </c>
      <c r="G61" s="255">
        <f t="shared" si="2"/>
        <v>0</v>
      </c>
      <c r="H61" s="211">
        <f t="shared" si="3"/>
        <v>0</v>
      </c>
      <c r="I61" s="261"/>
      <c r="J61" s="163">
        <f>+IF(ISNUMBER(VLOOKUP($B61,'Cental Budget'!$B$16:$K$75,'Public Expenditure'!J$1,FALSE)),VLOOKUP($B61,'Cental Budget'!$B$16:$K$75,'Public Expenditure'!J$1,FALSE),0)+IF(ISNUMBER(VLOOKUP('Public Expenditure'!$B61,'Local Government'!$B$16:$O$75,'Public Expenditure'!J$1,FALSE)),VLOOKUP('Public Expenditure'!$B61,'Local Government'!$B$16:$O$75,'Public Expenditure'!J$1,FALSE),0)</f>
        <v>9682767.0700000003</v>
      </c>
      <c r="K61" s="255">
        <f t="shared" si="1"/>
        <v>0.28271785764364282</v>
      </c>
      <c r="L61" s="211">
        <f t="shared" si="5"/>
        <v>-9682767.0700000003</v>
      </c>
      <c r="M61" s="261">
        <f t="shared" si="6"/>
        <v>-100</v>
      </c>
      <c r="O61" s="212"/>
      <c r="P61" s="81"/>
      <c r="Q61" s="81"/>
      <c r="R61" s="81"/>
      <c r="CD61" s="161"/>
      <c r="CE61" s="161"/>
      <c r="CF61" s="145"/>
      <c r="CG61" s="145"/>
      <c r="CH61" s="145"/>
      <c r="CI61" s="142"/>
    </row>
    <row r="62" spans="1:87" ht="13.5" customHeight="1" thickTop="1" thickBot="1">
      <c r="B62" s="80" t="s">
        <v>456</v>
      </c>
      <c r="C62" s="217" t="s">
        <v>116</v>
      </c>
      <c r="D62" s="218">
        <f>+IF(ISNUMBER(VLOOKUP($B62,'Cental Budget'!$B$16:$K$75,'Public Expenditure'!D$1,FALSE)),VLOOKUP($B62,'Cental Budget'!$B$16:$K$75,'Public Expenditure'!D$1,FALSE),0)+IF(ISNUMBER(VLOOKUP('Public Expenditure'!$B62,'Local Government'!$B$16:$O$75,'Public Expenditure'!D$1,FALSE)),VLOOKUP('Public Expenditure'!$B62,'Local Government'!$B$16:$O$75,'Public Expenditure'!D$1,FALSE),0)</f>
        <v>39414968.460000008</v>
      </c>
      <c r="E62" s="256">
        <f>D62/D$11*100</f>
        <v>1.0870877187626033</v>
      </c>
      <c r="F62" s="218">
        <f>+IF(ISNUMBER(VLOOKUP($B62,'Cental Budget'!$B$16:$K$75,'Public Expenditure'!F$1,FALSE)),VLOOKUP($B62,'Cental Budget'!$B$16:$K$75,'Public Expenditure'!F$1,FALSE),0)+IF(ISNUMBER(VLOOKUP('Public Expenditure'!$B62,'Local Government'!$B$16:$O$75,'Public Expenditure'!F$1,FALSE)),VLOOKUP('Public Expenditure'!$B62,'Local Government'!$B$16:$O$75,'Public Expenditure'!F$1,FALSE),0)</f>
        <v>0</v>
      </c>
      <c r="G62" s="256">
        <f>F62/D$11*100</f>
        <v>0</v>
      </c>
      <c r="H62" s="219">
        <f>+D62-F62</f>
        <v>39414968.460000008</v>
      </c>
      <c r="I62" s="262"/>
      <c r="J62" s="218">
        <f>+IF(ISNUMBER(VLOOKUP($B62,'Cental Budget'!$B$16:$K$75,'Public Expenditure'!J$1,FALSE)),VLOOKUP($B62,'Cental Budget'!$B$16:$K$75,'Public Expenditure'!J$1,FALSE),0)+IF(ISNUMBER(VLOOKUP('Public Expenditure'!$B62,'Local Government'!$B$16:$O$75,'Public Expenditure'!J$1,FALSE)),VLOOKUP('Public Expenditure'!$B62,'Local Government'!$B$16:$O$75,'Public Expenditure'!J$1,FALSE),0)</f>
        <v>19213317.640000001</v>
      </c>
      <c r="K62" s="256">
        <f>J62/J$11*100</f>
        <v>0.56099129124332137</v>
      </c>
      <c r="L62" s="219">
        <f>+D62-J62</f>
        <v>20201650.820000008</v>
      </c>
      <c r="M62" s="262">
        <f>+D62/J62*100-100</f>
        <v>105.14400062768132</v>
      </c>
      <c r="O62" s="81"/>
      <c r="P62" s="81"/>
      <c r="Q62" s="81"/>
      <c r="R62" s="81"/>
      <c r="CD62" s="161"/>
      <c r="CE62" s="161"/>
      <c r="CF62" s="145"/>
      <c r="CG62" s="145"/>
      <c r="CH62" s="145"/>
      <c r="CI62" s="142"/>
    </row>
    <row r="63" spans="1:87" ht="13.5" customHeight="1" thickTop="1" thickBot="1">
      <c r="B63" s="80">
        <v>990</v>
      </c>
      <c r="C63" s="147" t="s">
        <v>152</v>
      </c>
      <c r="D63" s="154">
        <f>+IF(ISNUMBER(VLOOKUP($B63,'Cental Budget'!$B$16:$K$75,'Public Expenditure'!D$1,FALSE)),VLOOKUP($B63,'Cental Budget'!$B$16:$K$75,'Public Expenditure'!D$1,FALSE),0)+IF(ISNUMBER(VLOOKUP('Public Expenditure'!$B63,'Local Government'!$B$16:$O$75,'Public Expenditure'!D$1,FALSE)),VLOOKUP('Public Expenditure'!$B63,'Local Government'!$B$16:$O$75,'Public Expenditure'!D$1,FALSE),0)</f>
        <v>0</v>
      </c>
      <c r="E63" s="254">
        <f t="shared" si="0"/>
        <v>0</v>
      </c>
      <c r="F63" s="154">
        <f>+IF(ISNUMBER(VLOOKUP($B63,'Cental Budget'!$B$16:$K$75,'Public Expenditure'!F$1,FALSE)),VLOOKUP($B63,'Cental Budget'!$B$16:$K$75,'Public Expenditure'!F$1,FALSE),0)+IF(ISNUMBER(VLOOKUP('Public Expenditure'!$B63,'Local Government'!$B$16:$O$75,'Public Expenditure'!F$1,FALSE)),VLOOKUP('Public Expenditure'!$B63,'Local Government'!$B$16:$O$75,'Public Expenditure'!F$1,FALSE),0)</f>
        <v>140276.0704445625</v>
      </c>
      <c r="G63" s="254">
        <f t="shared" si="2"/>
        <v>3.8688954824692423E-3</v>
      </c>
      <c r="H63" s="209">
        <f t="shared" si="3"/>
        <v>-140276.0704445625</v>
      </c>
      <c r="I63" s="260"/>
      <c r="J63" s="154">
        <f>+IF(ISNUMBER(VLOOKUP($B63,'Cental Budget'!$B$16:$K$75,'Public Expenditure'!J$1,FALSE)),VLOOKUP($B63,'Cental Budget'!$B$16:$K$75,'Public Expenditure'!J$1,FALSE),0)+IF(ISNUMBER(VLOOKUP('Public Expenditure'!$B63,'Local Government'!$B$16:$O$75,'Public Expenditure'!J$1,FALSE)),VLOOKUP('Public Expenditure'!$B63,'Local Government'!$B$16:$O$75,'Public Expenditure'!J$1,FALSE),0)</f>
        <v>0</v>
      </c>
      <c r="K63" s="254">
        <f t="shared" si="1"/>
        <v>0</v>
      </c>
      <c r="L63" s="209">
        <f t="shared" si="5"/>
        <v>0</v>
      </c>
      <c r="M63" s="260" t="e">
        <f t="shared" si="6"/>
        <v>#DIV/0!</v>
      </c>
      <c r="O63" s="81"/>
      <c r="P63" s="81"/>
      <c r="Q63" s="81"/>
      <c r="R63" s="81"/>
      <c r="CD63" s="161"/>
      <c r="CE63" s="161"/>
      <c r="CF63" s="145"/>
      <c r="CG63" s="145"/>
      <c r="CH63" s="145"/>
      <c r="CI63" s="142"/>
    </row>
    <row r="64" spans="1:87" ht="13.5" customHeight="1" thickTop="1" thickBot="1">
      <c r="C64" s="178" t="s">
        <v>132</v>
      </c>
      <c r="D64" s="173">
        <f>+D16-D36</f>
        <v>-214903027.39000022</v>
      </c>
      <c r="E64" s="251">
        <f t="shared" si="0"/>
        <v>-5.9271502915867753</v>
      </c>
      <c r="F64" s="173">
        <f>+F16-F36</f>
        <v>-169193345.37841129</v>
      </c>
      <c r="G64" s="251">
        <f t="shared" si="2"/>
        <v>-4.6664507176731194</v>
      </c>
      <c r="H64" s="173">
        <f t="shared" si="3"/>
        <v>-45709682.011588931</v>
      </c>
      <c r="I64" s="251">
        <f t="shared" si="4"/>
        <v>27.016241040305928</v>
      </c>
      <c r="J64" s="173">
        <f>+J16-J36-J63</f>
        <v>-44939161.450000167</v>
      </c>
      <c r="K64" s="251">
        <f>J64/J$11*100</f>
        <v>-1.3121356072697334</v>
      </c>
      <c r="L64" s="173">
        <f t="shared" si="5"/>
        <v>-169963865.94000006</v>
      </c>
      <c r="M64" s="251">
        <f t="shared" si="6"/>
        <v>378.20880598562974</v>
      </c>
      <c r="O64" s="212"/>
      <c r="P64" s="212"/>
      <c r="Q64" s="81"/>
      <c r="R64" s="81"/>
      <c r="CD64" s="161"/>
      <c r="CE64" s="161"/>
      <c r="CF64" s="145"/>
      <c r="CG64" s="145"/>
      <c r="CH64" s="145"/>
      <c r="CI64" s="142"/>
    </row>
    <row r="65" spans="2:87" ht="13.5" customHeight="1" thickTop="1" thickBot="1">
      <c r="C65" s="178" t="s">
        <v>133</v>
      </c>
      <c r="D65" s="173">
        <f>+D64+D44</f>
        <v>-163970029.06000021</v>
      </c>
      <c r="E65" s="251">
        <f t="shared" si="0"/>
        <v>-4.5223886203833681</v>
      </c>
      <c r="F65" s="173">
        <f>+F64+F44</f>
        <v>-130006892.94341129</v>
      </c>
      <c r="G65" s="251">
        <f t="shared" si="2"/>
        <v>-3.5856656035813796</v>
      </c>
      <c r="H65" s="173">
        <f t="shared" si="3"/>
        <v>-33963136.11658892</v>
      </c>
      <c r="I65" s="251">
        <f t="shared" si="4"/>
        <v>26.124104151440818</v>
      </c>
      <c r="J65" s="173">
        <f>+J64+J44</f>
        <v>-603717.69000016898</v>
      </c>
      <c r="K65" s="251">
        <f t="shared" si="1"/>
        <v>-1.7627375594651856E-2</v>
      </c>
      <c r="L65" s="173">
        <f t="shared" si="5"/>
        <v>-163366311.37000003</v>
      </c>
      <c r="M65" s="251">
        <f t="shared" si="6"/>
        <v>27060.050430186056</v>
      </c>
      <c r="O65" s="212"/>
      <c r="P65" s="81"/>
      <c r="Q65" s="81"/>
      <c r="R65" s="81"/>
      <c r="CD65" s="161"/>
      <c r="CE65" s="161"/>
      <c r="CF65" s="145"/>
      <c r="CG65" s="145"/>
      <c r="CH65" s="145"/>
      <c r="CI65" s="142"/>
    </row>
    <row r="66" spans="2:87" ht="13.5" customHeight="1" thickTop="1" thickBot="1">
      <c r="C66" s="178" t="s">
        <v>0</v>
      </c>
      <c r="D66" s="173">
        <f>+SUM(D67:D69)</f>
        <v>156966175.88</v>
      </c>
      <c r="E66" s="251">
        <f t="shared" si="0"/>
        <v>4.3292182824768073</v>
      </c>
      <c r="F66" s="173">
        <f>+SUM(F67:F69)</f>
        <v>226492969.51499999</v>
      </c>
      <c r="G66" s="251">
        <f t="shared" si="2"/>
        <v>6.2468076257805825</v>
      </c>
      <c r="H66" s="173">
        <f t="shared" si="3"/>
        <v>-69526793.63499999</v>
      </c>
      <c r="I66" s="251">
        <f t="shared" si="4"/>
        <v>-30.69710895834028</v>
      </c>
      <c r="J66" s="173">
        <f>+SUM(J67:J69)</f>
        <v>139456213.82999998</v>
      </c>
      <c r="K66" s="251">
        <f t="shared" si="1"/>
        <v>4.0718486486437131</v>
      </c>
      <c r="L66" s="173">
        <f t="shared" si="5"/>
        <v>17509962.050000012</v>
      </c>
      <c r="M66" s="251">
        <f t="shared" si="6"/>
        <v>12.555885154995678</v>
      </c>
      <c r="O66" s="81"/>
      <c r="P66" s="81"/>
      <c r="Q66" s="81"/>
      <c r="R66" s="81"/>
      <c r="CD66" s="161"/>
      <c r="CE66" s="161"/>
      <c r="CF66" s="145"/>
      <c r="CG66" s="145"/>
      <c r="CH66" s="145"/>
      <c r="CI66" s="142"/>
    </row>
    <row r="67" spans="2:87" ht="13.5" customHeight="1" thickTop="1">
      <c r="B67" s="80">
        <v>4611</v>
      </c>
      <c r="C67" s="97" t="s">
        <v>135</v>
      </c>
      <c r="D67" s="156">
        <f>+IF(ISNUMBER(VLOOKUP($B67,'Cental Budget'!$B$16:$K$75,'Public Expenditure'!D$1,FALSE)),VLOOKUP($B67,'Cental Budget'!$B$16:$K$75,'Public Expenditure'!D$1,FALSE),0)+IF(ISNUMBER(VLOOKUP('Public Expenditure'!$B67,'Local Government'!$B$16:$O$75,'Public Expenditure'!D$1,FALSE)),VLOOKUP('Public Expenditure'!$B67,'Local Government'!$B$16:$O$75,'Public Expenditure'!D$1,FALSE),0)</f>
        <v>44710855.43</v>
      </c>
      <c r="E67" s="253">
        <f t="shared" si="0"/>
        <v>1.2331513567656232</v>
      </c>
      <c r="F67" s="156">
        <f>+IF(ISNUMBER(VLOOKUP($B67,'Cental Budget'!$B$16:$K$75,'Public Expenditure'!F$1,FALSE)),VLOOKUP($B67,'Cental Budget'!$B$16:$K$75,'Public Expenditure'!F$1,FALSE),0)+IF(ISNUMBER(VLOOKUP('Public Expenditure'!$B67,'Local Government'!$B$16:$O$75,'Public Expenditure'!F$1,FALSE)),VLOOKUP('Public Expenditure'!$B67,'Local Government'!$B$16:$O$75,'Public Expenditure'!F$1,FALSE),0)</f>
        <v>27943399.200000003</v>
      </c>
      <c r="G67" s="253">
        <f t="shared" si="2"/>
        <v>0.77069517692570422</v>
      </c>
      <c r="H67" s="210">
        <f t="shared" si="3"/>
        <v>16767456.229999997</v>
      </c>
      <c r="I67" s="259">
        <f t="shared" si="4"/>
        <v>60.005069927211991</v>
      </c>
      <c r="J67" s="156">
        <f>+IF(ISNUMBER(VLOOKUP($B67,'Cental Budget'!$B$16:$K$75,'Public Expenditure'!J$1,FALSE)),VLOOKUP($B67,'Cental Budget'!$B$16:$K$75,'Public Expenditure'!J$1,FALSE),0)+IF(ISNUMBER(VLOOKUP('Public Expenditure'!$B67,'Local Government'!$B$16:$O$75,'Public Expenditure'!J$1,FALSE)),VLOOKUP('Public Expenditure'!$B67,'Local Government'!$B$16:$O$75,'Public Expenditure'!J$1,FALSE),0)</f>
        <v>56461938.239999995</v>
      </c>
      <c r="K67" s="253">
        <f t="shared" si="1"/>
        <v>1.6485781494298066</v>
      </c>
      <c r="L67" s="210">
        <f t="shared" si="5"/>
        <v>-11751082.809999995</v>
      </c>
      <c r="M67" s="259">
        <f t="shared" si="6"/>
        <v>-20.812397123262471</v>
      </c>
      <c r="O67" s="81"/>
      <c r="P67" s="81"/>
      <c r="Q67" s="81"/>
      <c r="R67" s="81"/>
      <c r="CD67" s="161"/>
      <c r="CE67" s="161"/>
      <c r="CF67" s="145"/>
      <c r="CG67" s="145"/>
      <c r="CH67" s="145"/>
      <c r="CI67" s="142"/>
    </row>
    <row r="68" spans="2:87" ht="13.5" customHeight="1">
      <c r="B68" s="80">
        <v>4612</v>
      </c>
      <c r="C68" s="97" t="s">
        <v>137</v>
      </c>
      <c r="D68" s="156">
        <f>+IF(ISNUMBER(VLOOKUP($B68,'Cental Budget'!$B$16:$K$75,'Public Expenditure'!D$1,FALSE)),VLOOKUP($B68,'Cental Budget'!$B$16:$K$75,'Public Expenditure'!D$1,FALSE),0)+IF(ISNUMBER(VLOOKUP('Public Expenditure'!$B68,'Local Government'!$B$16:$O$75,'Public Expenditure'!D$1,FALSE)),VLOOKUP('Public Expenditure'!$B68,'Local Government'!$B$16:$O$75,'Public Expenditure'!D$1,FALSE),0)</f>
        <v>92457112.63000001</v>
      </c>
      <c r="E68" s="253">
        <f t="shared" si="0"/>
        <v>2.5500208570336573</v>
      </c>
      <c r="F68" s="156">
        <f>+IF(ISNUMBER(VLOOKUP($B68,'Cental Budget'!$B$16:$K$75,'Public Expenditure'!F$1,FALSE)),VLOOKUP($B68,'Cental Budget'!$B$16:$K$75,'Public Expenditure'!F$1,FALSE),0)+IF(ISNUMBER(VLOOKUP('Public Expenditure'!$B68,'Local Government'!$B$16:$O$75,'Public Expenditure'!F$1,FALSE)),VLOOKUP('Public Expenditure'!$B68,'Local Government'!$B$16:$O$75,'Public Expenditure'!F$1,FALSE),0)</f>
        <v>160027348.39499998</v>
      </c>
      <c r="G68" s="253">
        <f t="shared" si="2"/>
        <v>4.4136471980916268</v>
      </c>
      <c r="H68" s="210">
        <f t="shared" si="3"/>
        <v>-67570235.764999971</v>
      </c>
      <c r="I68" s="259">
        <f t="shared" si="4"/>
        <v>-42.224180080903714</v>
      </c>
      <c r="J68" s="156">
        <f>+IF(ISNUMBER(VLOOKUP($B68,'Cental Budget'!$B$16:$K$75,'Public Expenditure'!J$1,FALSE)),VLOOKUP($B68,'Cental Budget'!$B$16:$K$75,'Public Expenditure'!J$1,FALSE),0)+IF(ISNUMBER(VLOOKUP('Public Expenditure'!$B68,'Local Government'!$B$16:$O$75,'Public Expenditure'!J$1,FALSE)),VLOOKUP('Public Expenditure'!$B68,'Local Government'!$B$16:$O$75,'Public Expenditure'!J$1,FALSE),0)</f>
        <v>61591620.219999999</v>
      </c>
      <c r="K68" s="253">
        <f t="shared" si="1"/>
        <v>1.7983548288949258</v>
      </c>
      <c r="L68" s="210">
        <f t="shared" si="5"/>
        <v>30865492.410000011</v>
      </c>
      <c r="M68" s="259">
        <f t="shared" si="6"/>
        <v>50.113136007383986</v>
      </c>
      <c r="O68" s="81"/>
      <c r="P68" s="81"/>
      <c r="Q68" s="81"/>
      <c r="R68" s="81"/>
      <c r="CD68" s="161"/>
      <c r="CE68" s="161"/>
      <c r="CF68" s="145"/>
      <c r="CG68" s="145"/>
      <c r="CH68" s="145"/>
      <c r="CI68" s="142"/>
    </row>
    <row r="69" spans="2:87" ht="13.5" customHeight="1" thickBot="1">
      <c r="B69" s="80" t="s">
        <v>457</v>
      </c>
      <c r="C69" s="97" t="s">
        <v>116</v>
      </c>
      <c r="D69" s="156">
        <f>+IF(ISNUMBER(VLOOKUP($B69,'Cental Budget'!$B$16:$K$75,'Public Expenditure'!D$1,FALSE)),VLOOKUP($B69,'Cental Budget'!$B$16:$K$75,'Public Expenditure'!D$1,FALSE),0)+IF(ISNUMBER(VLOOKUP('Public Expenditure'!$B69,'Local Government'!$B$16:$O$75,'Public Expenditure'!D$1,FALSE)),VLOOKUP('Public Expenditure'!$B69,'Local Government'!$B$16:$O$75,'Public Expenditure'!D$1,FALSE),0)</f>
        <v>19798207.82</v>
      </c>
      <c r="E69" s="253">
        <f t="shared" si="0"/>
        <v>0.54604606867752725</v>
      </c>
      <c r="F69" s="156">
        <f>+IF(ISNUMBER(VLOOKUP($B69,'Cental Budget'!$B$16:$K$75,'Public Expenditure'!F$1,FALSE)),VLOOKUP($B69,'Cental Budget'!$B$16:$K$75,'Public Expenditure'!F$1,FALSE),0)+IF(ISNUMBER(VLOOKUP('Public Expenditure'!$B69,'Local Government'!$B$16:$O$75,'Public Expenditure'!F$1,FALSE)),VLOOKUP('Public Expenditure'!$B69,'Local Government'!$B$16:$O$75,'Public Expenditure'!F$1,FALSE),0)</f>
        <v>38522221.920000002</v>
      </c>
      <c r="G69" s="253">
        <f t="shared" si="2"/>
        <v>1.0624652507632515</v>
      </c>
      <c r="H69" s="210">
        <f t="shared" si="3"/>
        <v>-18724014.100000001</v>
      </c>
      <c r="I69" s="259">
        <f t="shared" si="4"/>
        <v>-48.605747972909242</v>
      </c>
      <c r="J69" s="156">
        <f>+IF(ISNUMBER(VLOOKUP($B69,'Cental Budget'!$B$16:$K$75,'Public Expenditure'!J$1,FALSE)),VLOOKUP($B69,'Cental Budget'!$B$16:$K$75,'Public Expenditure'!J$1,FALSE),0)+IF(ISNUMBER(VLOOKUP('Public Expenditure'!$B69,'Local Government'!$B$16:$O$75,'Public Expenditure'!J$1,FALSE)),VLOOKUP('Public Expenditure'!$B69,'Local Government'!$B$16:$O$75,'Public Expenditure'!J$1,FALSE),0)</f>
        <v>21402655.370000001</v>
      </c>
      <c r="K69" s="253">
        <f t="shared" si="1"/>
        <v>0.62491567031898121</v>
      </c>
      <c r="L69" s="210">
        <f t="shared" si="5"/>
        <v>-1604447.5500000007</v>
      </c>
      <c r="M69" s="259">
        <f t="shared" si="6"/>
        <v>-7.4964882733613791</v>
      </c>
      <c r="O69" s="81"/>
      <c r="P69" s="81"/>
      <c r="Q69" s="81"/>
      <c r="R69" s="81"/>
      <c r="CD69" s="161"/>
      <c r="CE69" s="161"/>
      <c r="CF69" s="145"/>
      <c r="CG69" s="145"/>
      <c r="CH69" s="145"/>
      <c r="CI69" s="142"/>
    </row>
    <row r="70" spans="2:87" ht="13.5" customHeight="1" thickTop="1" thickBot="1">
      <c r="C70" s="178" t="s">
        <v>141</v>
      </c>
      <c r="D70" s="173">
        <f>+D64-D66</f>
        <v>-371869203.27000022</v>
      </c>
      <c r="E70" s="251">
        <f t="shared" si="0"/>
        <v>-10.256368574063583</v>
      </c>
      <c r="F70" s="173">
        <f>+F64-F66</f>
        <v>-395686314.89341128</v>
      </c>
      <c r="G70" s="251">
        <f t="shared" si="2"/>
        <v>-10.9132583434537</v>
      </c>
      <c r="H70" s="173">
        <f t="shared" si="3"/>
        <v>23817111.623411059</v>
      </c>
      <c r="I70" s="251">
        <f t="shared" si="4"/>
        <v>-6.0191901329281166</v>
      </c>
      <c r="J70" s="173">
        <f>+J64-J66</f>
        <v>-184395375.28000015</v>
      </c>
      <c r="K70" s="251">
        <f t="shared" si="1"/>
        <v>-5.3839842559134468</v>
      </c>
      <c r="L70" s="173">
        <f t="shared" si="5"/>
        <v>-187473827.99000007</v>
      </c>
      <c r="M70" s="251">
        <f t="shared" si="6"/>
        <v>101.66948477168981</v>
      </c>
      <c r="O70" s="81"/>
      <c r="P70" s="81"/>
      <c r="Q70" s="81"/>
      <c r="R70" s="81"/>
      <c r="CD70" s="161"/>
      <c r="CE70" s="161"/>
      <c r="CF70" s="145"/>
      <c r="CG70" s="145"/>
      <c r="CH70" s="145"/>
      <c r="CI70" s="142"/>
    </row>
    <row r="71" spans="2:87" ht="13.5" customHeight="1" thickTop="1" thickBot="1">
      <c r="C71" s="178" t="s">
        <v>121</v>
      </c>
      <c r="D71" s="173">
        <f>+SUM(D72:D75)</f>
        <v>371869203.27000022</v>
      </c>
      <c r="E71" s="251">
        <f t="shared" si="0"/>
        <v>10.256368574063583</v>
      </c>
      <c r="F71" s="173">
        <f>+SUM(F72:F75)</f>
        <v>395686314.89341128</v>
      </c>
      <c r="G71" s="251">
        <f t="shared" si="2"/>
        <v>10.9132583434537</v>
      </c>
      <c r="H71" s="173">
        <f t="shared" si="3"/>
        <v>-23817111.623411059</v>
      </c>
      <c r="I71" s="251">
        <f t="shared" si="4"/>
        <v>-6.0191901329281166</v>
      </c>
      <c r="J71" s="173">
        <f>+SUM(J72:J75)</f>
        <v>184395375.28000015</v>
      </c>
      <c r="K71" s="251">
        <f t="shared" si="1"/>
        <v>5.3839842559134468</v>
      </c>
      <c r="L71" s="173">
        <f t="shared" si="5"/>
        <v>187473827.99000007</v>
      </c>
      <c r="M71" s="251">
        <f t="shared" si="6"/>
        <v>101.66948477168981</v>
      </c>
      <c r="O71" s="81"/>
      <c r="P71" s="81"/>
      <c r="Q71" s="81"/>
      <c r="R71" s="81"/>
      <c r="CD71" s="161"/>
      <c r="CE71" s="161"/>
      <c r="CF71" s="145"/>
      <c r="CG71" s="145"/>
      <c r="CH71" s="145"/>
      <c r="CI71" s="142"/>
    </row>
    <row r="72" spans="2:87" ht="13.5" customHeight="1" thickTop="1">
      <c r="B72" s="80">
        <v>7511</v>
      </c>
      <c r="C72" s="97" t="s">
        <v>144</v>
      </c>
      <c r="D72" s="156">
        <f>+IF(ISNUMBER(VLOOKUP($B72,'Cental Budget'!$B$16:$K$75,'Public Expenditure'!D$1,FALSE)),VLOOKUP($B72,'Cental Budget'!$B$16:$K$75,'Public Expenditure'!D$1,FALSE),0)+IF(ISNUMBER(VLOOKUP('Public Expenditure'!$B72,'Local Government'!$B$16:$O$75,'Public Expenditure'!D$1,FALSE)),VLOOKUP('Public Expenditure'!$B72,'Local Government'!$B$16:$O$75,'Public Expenditure'!D$1,FALSE),0)</f>
        <v>37662722.399999999</v>
      </c>
      <c r="E72" s="253">
        <f t="shared" si="0"/>
        <v>1.0387597548823508</v>
      </c>
      <c r="F72" s="156">
        <f>+IF(ISNUMBER(VLOOKUP($B72,'Cental Budget'!$B$16:$K$75,'Public Expenditure'!F$1,FALSE)),VLOOKUP($B72,'Cental Budget'!$B$16:$K$75,'Public Expenditure'!F$1,FALSE),0)+IF(ISNUMBER(VLOOKUP('Public Expenditure'!$B72,'Local Government'!$B$16:$O$75,'Public Expenditure'!F$1,FALSE)),VLOOKUP('Public Expenditure'!$B72,'Local Government'!$B$16:$O$75,'Public Expenditure'!F$1,FALSE),0)</f>
        <v>1061347.33</v>
      </c>
      <c r="G72" s="253">
        <f t="shared" si="2"/>
        <v>2.9272575695585876E-2</v>
      </c>
      <c r="H72" s="210">
        <f t="shared" si="3"/>
        <v>36601375.07</v>
      </c>
      <c r="I72" s="259">
        <f t="shared" si="4"/>
        <v>3448.5765437408686</v>
      </c>
      <c r="J72" s="156">
        <f>+IF(ISNUMBER(VLOOKUP($B72,'Cental Budget'!$B$16:$K$75,'Public Expenditure'!J$1,FALSE)),VLOOKUP($B72,'Cental Budget'!$B$16:$K$75,'Public Expenditure'!J$1,FALSE),0)+IF(ISNUMBER(VLOOKUP('Public Expenditure'!$B72,'Local Government'!$B$16:$O$75,'Public Expenditure'!J$1,FALSE)),VLOOKUP('Public Expenditure'!$B72,'Local Government'!$B$16:$O$75,'Public Expenditure'!J$1,FALSE),0)</f>
        <v>99461598.609999999</v>
      </c>
      <c r="K72" s="253">
        <f t="shared" si="1"/>
        <v>2.9040841190896396</v>
      </c>
      <c r="L72" s="210">
        <f t="shared" si="5"/>
        <v>-61798876.210000001</v>
      </c>
      <c r="M72" s="259">
        <f t="shared" si="6"/>
        <v>-62.133403317113647</v>
      </c>
      <c r="O72" s="81"/>
      <c r="P72" s="81"/>
      <c r="Q72" s="81"/>
      <c r="R72" s="81"/>
      <c r="CD72" s="161"/>
      <c r="CE72" s="161"/>
      <c r="CF72" s="145"/>
      <c r="CG72" s="145"/>
      <c r="CH72" s="145"/>
      <c r="CI72" s="142"/>
    </row>
    <row r="73" spans="2:87" ht="13.5" customHeight="1">
      <c r="B73" s="80">
        <v>7512</v>
      </c>
      <c r="C73" s="97" t="s">
        <v>122</v>
      </c>
      <c r="D73" s="156">
        <f>+IF(ISNUMBER(VLOOKUP($B73,'Cental Budget'!$B$16:$K$75,'Public Expenditure'!D$1,FALSE)),VLOOKUP($B73,'Cental Budget'!$B$16:$K$75,'Public Expenditure'!D$1,FALSE),0)+IF(ISNUMBER(VLOOKUP('Public Expenditure'!$B73,'Local Government'!$B$16:$O$75,'Public Expenditure'!D$1,FALSE)),VLOOKUP('Public Expenditure'!$B73,'Local Government'!$B$16:$O$75,'Public Expenditure'!D$1,FALSE),0)</f>
        <v>501104837.69000006</v>
      </c>
      <c r="E73" s="253">
        <f t="shared" si="0"/>
        <v>13.820762419692334</v>
      </c>
      <c r="F73" s="156">
        <f>+IF(ISNUMBER(VLOOKUP($B73,'Cental Budget'!$B$16:$K$75,'Public Expenditure'!F$1,FALSE)),VLOOKUP($B73,'Cental Budget'!$B$16:$K$75,'Public Expenditure'!F$1,FALSE),0)+IF(ISNUMBER(VLOOKUP('Public Expenditure'!$B73,'Local Government'!$B$16:$O$75,'Public Expenditure'!F$1,FALSE)),VLOOKUP('Public Expenditure'!$B73,'Local Government'!$B$16:$O$75,'Public Expenditure'!F$1,FALSE),0)</f>
        <v>317865692.31830853</v>
      </c>
      <c r="G73" s="253">
        <f t="shared" si="2"/>
        <v>8.7669203816789132</v>
      </c>
      <c r="H73" s="210">
        <f t="shared" si="3"/>
        <v>183239145.37169152</v>
      </c>
      <c r="I73" s="259">
        <f t="shared" si="4"/>
        <v>57.646719919744299</v>
      </c>
      <c r="J73" s="156">
        <f>+IF(ISNUMBER(VLOOKUP($B73,'Cental Budget'!$B$16:$K$75,'Public Expenditure'!J$1,FALSE)),VLOOKUP($B73,'Cental Budget'!$B$16:$K$75,'Public Expenditure'!J$1,FALSE),0)+IF(ISNUMBER(VLOOKUP('Public Expenditure'!$B73,'Local Government'!$B$16:$O$75,'Public Expenditure'!J$1,FALSE)),VLOOKUP('Public Expenditure'!$B73,'Local Government'!$B$16:$O$75,'Public Expenditure'!J$1,FALSE),0)</f>
        <v>197968221.31999996</v>
      </c>
      <c r="K73" s="253">
        <f t="shared" si="1"/>
        <v>5.7802848099611381</v>
      </c>
      <c r="L73" s="210">
        <f t="shared" si="5"/>
        <v>303136616.37000012</v>
      </c>
      <c r="M73" s="259">
        <f t="shared" si="6"/>
        <v>153.12387733180861</v>
      </c>
      <c r="O73" s="81"/>
      <c r="P73" s="81"/>
      <c r="Q73" s="81"/>
      <c r="R73" s="81"/>
      <c r="CD73" s="161"/>
      <c r="CE73" s="161"/>
      <c r="CF73" s="145"/>
      <c r="CG73" s="145"/>
      <c r="CH73" s="145"/>
      <c r="CI73" s="142"/>
    </row>
    <row r="74" spans="2:87" ht="13.5" customHeight="1" thickBot="1">
      <c r="B74" s="80">
        <v>72</v>
      </c>
      <c r="C74" s="103" t="s">
        <v>329</v>
      </c>
      <c r="D74" s="156">
        <f>+IF(ISNUMBER(VLOOKUP($B74,'Cental Budget'!$B$16:$K$75,'Public Expenditure'!D$1,FALSE)),VLOOKUP($B74,'Cental Budget'!$B$16:$K$75,'Public Expenditure'!D$1,FALSE),0)+IF(ISNUMBER(VLOOKUP('Public Expenditure'!$B74,'Local Government'!$B$16:$O$75,'Public Expenditure'!D$1,FALSE)),VLOOKUP('Public Expenditure'!$B74,'Local Government'!$B$16:$O$75,'Public Expenditure'!D$1,FALSE),0)</f>
        <v>4792333.07</v>
      </c>
      <c r="E74" s="257">
        <f t="shared" si="0"/>
        <v>0.13217532902262488</v>
      </c>
      <c r="F74" s="156">
        <f>+IF(ISNUMBER(VLOOKUP($B74,'Cental Budget'!$B$16:$K$75,'Public Expenditure'!F$1,FALSE)),VLOOKUP($B74,'Cental Budget'!$B$16:$K$75,'Public Expenditure'!F$1,FALSE),0)+IF(ISNUMBER(VLOOKUP('Public Expenditure'!$B74,'Local Government'!$B$16:$O$75,'Public Expenditure'!F$1,FALSE)),VLOOKUP('Public Expenditure'!$B74,'Local Government'!$B$16:$O$75,'Public Expenditure'!F$1,FALSE),0)</f>
        <v>1646522.97</v>
      </c>
      <c r="G74" s="257">
        <f t="shared" si="2"/>
        <v>4.5412059663678492E-2</v>
      </c>
      <c r="H74" s="210">
        <f t="shared" si="3"/>
        <v>3145810.1000000006</v>
      </c>
      <c r="I74" s="259">
        <f t="shared" si="4"/>
        <v>191.05777188155474</v>
      </c>
      <c r="J74" s="156">
        <f>+IF(ISNUMBER(VLOOKUP($B74,'Cental Budget'!$B$16:$K$75,'Public Expenditure'!J$1,FALSE)),VLOOKUP($B74,'Cental Budget'!$B$16:$K$75,'Public Expenditure'!J$1,FALSE),0)+IF(ISNUMBER(VLOOKUP('Public Expenditure'!$B74,'Local Government'!$B$16:$O$75,'Public Expenditure'!J$1,FALSE)),VLOOKUP('Public Expenditure'!$B74,'Local Government'!$B$16:$O$75,'Public Expenditure'!J$1,FALSE),0)</f>
        <v>2139177.56</v>
      </c>
      <c r="K74" s="257">
        <f t="shared" si="1"/>
        <v>6.2459800231728098E-2</v>
      </c>
      <c r="L74" s="210">
        <f t="shared" si="5"/>
        <v>2653155.5100000002</v>
      </c>
      <c r="M74" s="259">
        <f t="shared" si="6"/>
        <v>124.02689517741575</v>
      </c>
      <c r="O74" s="81"/>
      <c r="P74" s="81"/>
      <c r="Q74" s="81"/>
      <c r="R74" s="81"/>
      <c r="CD74" s="161"/>
      <c r="CE74" s="161"/>
      <c r="CF74" s="145"/>
      <c r="CG74" s="145"/>
      <c r="CH74" s="145"/>
      <c r="CI74" s="142"/>
    </row>
    <row r="75" spans="2:87" ht="13.5" customHeight="1" thickTop="1" thickBot="1">
      <c r="C75" s="148" t="s">
        <v>125</v>
      </c>
      <c r="D75" s="149">
        <f>-D70-SUM(D72:D74)</f>
        <v>-171690689.88999987</v>
      </c>
      <c r="E75" s="255">
        <f t="shared" si="0"/>
        <v>-4.7353289295337291</v>
      </c>
      <c r="F75" s="149">
        <f>-F70-SUM(F72:F74)</f>
        <v>75112752.275102735</v>
      </c>
      <c r="G75" s="255">
        <f t="shared" si="2"/>
        <v>2.0716533264155239</v>
      </c>
      <c r="H75" s="208">
        <f t="shared" si="3"/>
        <v>-246803442.1651026</v>
      </c>
      <c r="I75" s="261">
        <f t="shared" si="4"/>
        <v>-328.57728506762408</v>
      </c>
      <c r="J75" s="149">
        <f>-J70-SUM(J72:J74)</f>
        <v>-115173622.2099998</v>
      </c>
      <c r="K75" s="255">
        <f t="shared" si="1"/>
        <v>-3.3628444733690595</v>
      </c>
      <c r="L75" s="208">
        <f t="shared" si="5"/>
        <v>-56517067.680000067</v>
      </c>
      <c r="M75" s="261">
        <f t="shared" si="6"/>
        <v>49.071190603826523</v>
      </c>
      <c r="O75" s="81"/>
      <c r="P75" s="81"/>
      <c r="Q75" s="81"/>
      <c r="R75" s="81"/>
      <c r="CD75" s="161"/>
      <c r="CE75" s="161"/>
      <c r="CF75" s="145"/>
      <c r="CG75" s="145"/>
      <c r="CH75" s="145"/>
      <c r="CI75" s="142"/>
    </row>
    <row r="76" spans="2:87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 t="s">
        <v>428</v>
      </c>
      <c r="O76" s="81"/>
      <c r="P76" s="81"/>
      <c r="Q76" s="81"/>
      <c r="R76" s="81"/>
    </row>
    <row r="77" spans="2:87">
      <c r="D77" s="80">
        <f>+D68/D66*100</f>
        <v>58.90257064087686</v>
      </c>
    </row>
    <row r="81" spans="4:10">
      <c r="D81" s="102"/>
      <c r="F81" s="102"/>
      <c r="J81" s="102"/>
    </row>
    <row r="82" spans="4:10">
      <c r="D82" s="102"/>
      <c r="F82" s="102"/>
      <c r="J82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9" t="s">
        <v>437</v>
      </c>
    </row>
    <row r="3" spans="2:7" ht="55.5" thickTop="1" thickBot="1">
      <c r="B3" s="30" t="s">
        <v>394</v>
      </c>
      <c r="C3" s="31" t="s">
        <v>395</v>
      </c>
      <c r="D3" s="32" t="s">
        <v>396</v>
      </c>
      <c r="G3" s="29" t="s">
        <v>397</v>
      </c>
    </row>
    <row r="4" spans="2:7" ht="16.5" thickTop="1" thickBot="1">
      <c r="B4" s="33">
        <v>7</v>
      </c>
      <c r="C4" s="34" t="s">
        <v>398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399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305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306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400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313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401</v>
      </c>
      <c r="D36" s="43" t="e">
        <f>+D37+D38+D41</f>
        <v>#REF!</v>
      </c>
    </row>
    <row r="37" spans="2:4">
      <c r="B37" s="51">
        <v>7200</v>
      </c>
      <c r="C37" s="48" t="s">
        <v>402</v>
      </c>
      <c r="D37" s="46" t="e">
        <f>+#REF!</f>
        <v>#REF!</v>
      </c>
    </row>
    <row r="38" spans="2:4" hidden="1">
      <c r="B38" s="52">
        <v>721</v>
      </c>
      <c r="C38" s="48" t="s">
        <v>403</v>
      </c>
      <c r="D38" s="46"/>
    </row>
    <row r="39" spans="2:4" hidden="1">
      <c r="B39" s="51">
        <v>7211</v>
      </c>
      <c r="C39" s="48" t="s">
        <v>404</v>
      </c>
      <c r="D39" s="46"/>
    </row>
    <row r="40" spans="2:4" hidden="1">
      <c r="B40" s="51">
        <v>7213</v>
      </c>
      <c r="C40" s="48" t="s">
        <v>405</v>
      </c>
      <c r="D40" s="46"/>
    </row>
    <row r="41" spans="2:4" hidden="1">
      <c r="B41" s="52">
        <v>722</v>
      </c>
      <c r="C41" s="48" t="s">
        <v>406</v>
      </c>
      <c r="D41" s="46">
        <v>0</v>
      </c>
    </row>
    <row r="42" spans="2:4" hidden="1">
      <c r="B42" s="44">
        <v>7221</v>
      </c>
      <c r="C42" s="48" t="s">
        <v>407</v>
      </c>
      <c r="D42" s="46"/>
    </row>
    <row r="43" spans="2:4" hidden="1">
      <c r="B43" s="44">
        <v>7222</v>
      </c>
      <c r="C43" s="48" t="s">
        <v>408</v>
      </c>
      <c r="D43" s="46"/>
    </row>
    <row r="44" spans="2:4">
      <c r="B44" s="49">
        <v>73</v>
      </c>
      <c r="C44" s="50" t="s">
        <v>409</v>
      </c>
      <c r="D44" s="43" t="e">
        <f>+D45</f>
        <v>#REF!</v>
      </c>
    </row>
    <row r="45" spans="2:4">
      <c r="B45" s="52">
        <v>731</v>
      </c>
      <c r="C45" s="45" t="s">
        <v>409</v>
      </c>
      <c r="D45" s="46" t="e">
        <f>+#REF!</f>
        <v>#REF!</v>
      </c>
    </row>
    <row r="46" spans="2:4" ht="27" hidden="1">
      <c r="B46" s="51">
        <v>7311</v>
      </c>
      <c r="C46" s="48" t="s">
        <v>410</v>
      </c>
      <c r="D46" s="46"/>
    </row>
    <row r="47" spans="2:4" hidden="1">
      <c r="B47" s="52">
        <v>7312</v>
      </c>
      <c r="C47" s="48" t="s">
        <v>411</v>
      </c>
      <c r="D47" s="46"/>
    </row>
    <row r="48" spans="2:4" hidden="1">
      <c r="B48" s="52">
        <v>7313</v>
      </c>
      <c r="C48" s="48" t="s">
        <v>412</v>
      </c>
      <c r="D48" s="46"/>
    </row>
    <row r="49" spans="2:4" hidden="1">
      <c r="B49" s="52">
        <v>7314</v>
      </c>
      <c r="C49" s="48" t="s">
        <v>413</v>
      </c>
      <c r="D49" s="46"/>
    </row>
    <row r="50" spans="2:4" hidden="1">
      <c r="B50" s="52">
        <v>732</v>
      </c>
      <c r="C50" s="45" t="s">
        <v>414</v>
      </c>
      <c r="D50" s="46"/>
    </row>
    <row r="51" spans="2:4" hidden="1">
      <c r="B51" s="44">
        <v>7321</v>
      </c>
      <c r="C51" s="48" t="s">
        <v>415</v>
      </c>
      <c r="D51" s="46"/>
    </row>
    <row r="52" spans="2:4">
      <c r="B52" s="49">
        <v>74</v>
      </c>
      <c r="C52" s="50" t="s">
        <v>416</v>
      </c>
      <c r="D52" s="43" t="e">
        <f>+D53</f>
        <v>#REF!</v>
      </c>
    </row>
    <row r="53" spans="2:4">
      <c r="B53" s="52">
        <v>741</v>
      </c>
      <c r="C53" s="48" t="s">
        <v>416</v>
      </c>
      <c r="D53" s="46" t="e">
        <f>+#REF!</f>
        <v>#REF!</v>
      </c>
    </row>
    <row r="54" spans="2:4" hidden="1">
      <c r="B54" s="44">
        <v>7411</v>
      </c>
      <c r="C54" s="48" t="s">
        <v>417</v>
      </c>
      <c r="D54" s="46">
        <v>0</v>
      </c>
    </row>
    <row r="55" spans="2:4">
      <c r="B55" s="49">
        <v>75</v>
      </c>
      <c r="C55" s="50" t="s">
        <v>111</v>
      </c>
      <c r="D55" s="43" t="e">
        <f>+D56</f>
        <v>#REF!</v>
      </c>
    </row>
    <row r="56" spans="2:4">
      <c r="B56" s="53">
        <v>751</v>
      </c>
      <c r="C56" s="54" t="s">
        <v>111</v>
      </c>
      <c r="D56" s="55" t="e">
        <f>+D57+D58</f>
        <v>#REF!</v>
      </c>
    </row>
    <row r="57" spans="2:4">
      <c r="B57" s="51">
        <v>7511</v>
      </c>
      <c r="C57" s="48" t="s">
        <v>144</v>
      </c>
      <c r="D57" s="46" t="e">
        <f>+#REF!</f>
        <v>#REF!</v>
      </c>
    </row>
    <row r="58" spans="2:4" ht="15.75" thickBot="1">
      <c r="B58" s="56">
        <v>7512</v>
      </c>
      <c r="C58" s="57" t="s">
        <v>122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127</v>
      </c>
      <c r="E3" s="60" t="s">
        <v>396</v>
      </c>
    </row>
    <row r="4" spans="4:7" ht="16.5" thickTop="1" thickBot="1">
      <c r="D4" s="61" t="s">
        <v>418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419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420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126</v>
      </c>
      <c r="E8" s="72" t="e">
        <f>+#REF!</f>
        <v>#REF!</v>
      </c>
      <c r="G8" s="65"/>
    </row>
    <row r="9" spans="4:7" ht="16.5" thickBot="1">
      <c r="D9" s="73" t="s">
        <v>421</v>
      </c>
      <c r="E9" s="74" t="e">
        <f>+#REF!</f>
        <v>#REF!</v>
      </c>
      <c r="G9" s="65"/>
    </row>
    <row r="10" spans="4:7" ht="16.5" thickTop="1" thickBot="1">
      <c r="D10" s="67" t="s">
        <v>422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423</v>
      </c>
      <c r="E11" s="62" t="e">
        <f>+#REF!</f>
        <v>#REF!</v>
      </c>
      <c r="G11" s="65"/>
    </row>
    <row r="12" spans="4:7" ht="16.5" thickTop="1" thickBot="1">
      <c r="D12" s="67" t="s">
        <v>424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158</v>
      </c>
      <c r="E13" s="72" t="e">
        <f>+#REF!</f>
        <v>#REF!</v>
      </c>
      <c r="G13" s="65"/>
    </row>
    <row r="14" spans="4:7" ht="16.5" thickTop="1" thickBot="1">
      <c r="D14" s="77" t="s">
        <v>159</v>
      </c>
      <c r="E14" s="72" t="e">
        <f>+#REF!</f>
        <v>#REF!</v>
      </c>
      <c r="G14" s="65"/>
    </row>
    <row r="15" spans="4:7" ht="16.5" thickTop="1" thickBot="1">
      <c r="D15" s="78" t="s">
        <v>160</v>
      </c>
      <c r="E15" s="72" t="e">
        <f>+#REF!</f>
        <v>#REF!</v>
      </c>
      <c r="G15" s="65"/>
    </row>
    <row r="16" spans="4:7" ht="15.75" hidden="1" thickBot="1">
      <c r="D16" s="68" t="s">
        <v>113</v>
      </c>
      <c r="E16" s="64">
        <v>0</v>
      </c>
      <c r="G16" s="65"/>
    </row>
    <row r="17" spans="4:7" ht="16.5" thickTop="1" thickBot="1">
      <c r="D17" s="67" t="s">
        <v>425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426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144</v>
      </c>
      <c r="E19" s="72" t="e">
        <f>+#REF!</f>
        <v>#REF!</v>
      </c>
      <c r="G19" s="65"/>
    </row>
    <row r="20" spans="4:7" ht="16.5" thickTop="1" thickBot="1">
      <c r="D20" s="77" t="s">
        <v>122</v>
      </c>
      <c r="E20" s="72" t="e">
        <f>+#REF!</f>
        <v>#REF!</v>
      </c>
      <c r="G20" s="65"/>
    </row>
    <row r="21" spans="4:7" ht="16.5" thickTop="1" thickBot="1">
      <c r="D21" s="77" t="s">
        <v>123</v>
      </c>
      <c r="E21" s="72" t="e">
        <f>+#REF!</f>
        <v>#REF!</v>
      </c>
      <c r="G21" s="65"/>
    </row>
    <row r="22" spans="4:7" ht="15.75" thickTop="1">
      <c r="D22" s="77" t="s">
        <v>124</v>
      </c>
      <c r="E22" s="72" t="e">
        <f>+#REF!</f>
        <v>#REF!</v>
      </c>
      <c r="G22" s="65"/>
    </row>
    <row r="23" spans="4:7" ht="15.75" thickBot="1">
      <c r="D23" s="78" t="s">
        <v>161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C324" workbookViewId="0">
      <selection activeCell="G429" sqref="G429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251</v>
      </c>
    </row>
    <row r="3" spans="1:3">
      <c r="B3" s="346" t="s">
        <v>196</v>
      </c>
      <c r="C3" s="346"/>
    </row>
    <row r="5" spans="1:3" ht="15" customHeight="1">
      <c r="B5" s="11" t="s">
        <v>199</v>
      </c>
      <c r="C5" s="11" t="s">
        <v>197</v>
      </c>
    </row>
    <row r="6" spans="1:3">
      <c r="B6" s="11" t="s">
        <v>200</v>
      </c>
      <c r="C6" s="11" t="s">
        <v>198</v>
      </c>
    </row>
    <row r="8" spans="1:3">
      <c r="B8" s="11" t="s">
        <v>208</v>
      </c>
      <c r="C8" s="11" t="s">
        <v>365</v>
      </c>
    </row>
    <row r="9" spans="1:3">
      <c r="B9" s="11" t="s">
        <v>206</v>
      </c>
      <c r="C9" s="11" t="s">
        <v>207</v>
      </c>
    </row>
    <row r="10" spans="1:3">
      <c r="B10" s="11" t="s">
        <v>213</v>
      </c>
      <c r="C10" s="11" t="s">
        <v>215</v>
      </c>
    </row>
    <row r="11" spans="1:3">
      <c r="B11" s="11" t="s">
        <v>214</v>
      </c>
      <c r="C11" s="11" t="s">
        <v>212</v>
      </c>
    </row>
    <row r="12" spans="1:3">
      <c r="B12" s="11" t="s">
        <v>216</v>
      </c>
      <c r="C12" s="11" t="s">
        <v>217</v>
      </c>
    </row>
    <row r="13" spans="1:3">
      <c r="B13" s="11" t="s">
        <v>211</v>
      </c>
      <c r="C13" s="11" t="s">
        <v>366</v>
      </c>
    </row>
    <row r="14" spans="1:3">
      <c r="B14" s="11" t="s">
        <v>367</v>
      </c>
      <c r="C14" s="11" t="s">
        <v>368</v>
      </c>
    </row>
    <row r="15" spans="1:3">
      <c r="B15" s="11" t="s">
        <v>209</v>
      </c>
      <c r="C15" s="11" t="s">
        <v>210</v>
      </c>
    </row>
    <row r="16" spans="1:3">
      <c r="B16" s="11" t="s">
        <v>201</v>
      </c>
      <c r="C16" s="11" t="s">
        <v>202</v>
      </c>
    </row>
    <row r="17" spans="2:3" ht="15" customHeight="1">
      <c r="B17" s="11" t="s">
        <v>203</v>
      </c>
      <c r="C17" s="11" t="s">
        <v>290</v>
      </c>
    </row>
    <row r="18" spans="2:3">
      <c r="B18" s="11" t="s">
        <v>369</v>
      </c>
      <c r="C18" s="11" t="s">
        <v>370</v>
      </c>
    </row>
    <row r="19" spans="2:3">
      <c r="B19" s="11" t="s">
        <v>291</v>
      </c>
      <c r="C19" s="11" t="s">
        <v>292</v>
      </c>
    </row>
    <row r="21" spans="2:3">
      <c r="B21" s="11" t="s">
        <v>221</v>
      </c>
      <c r="C21" s="11" t="s">
        <v>222</v>
      </c>
    </row>
    <row r="22" spans="2:3">
      <c r="B22" s="11" t="s">
        <v>204</v>
      </c>
      <c r="C22" s="11" t="s">
        <v>205</v>
      </c>
    </row>
    <row r="24" spans="2:3">
      <c r="B24" s="11" t="s">
        <v>331</v>
      </c>
    </row>
    <row r="25" spans="2:3">
      <c r="B25" s="11" t="s">
        <v>220</v>
      </c>
    </row>
    <row r="27" spans="2:3">
      <c r="B27" s="12" t="s">
        <v>172</v>
      </c>
    </row>
    <row r="28" spans="2:3">
      <c r="B28" s="12" t="s">
        <v>171</v>
      </c>
    </row>
    <row r="30" spans="2:3">
      <c r="B30" s="11" t="s">
        <v>218</v>
      </c>
    </row>
    <row r="31" spans="2:3">
      <c r="B31" s="11" t="s">
        <v>219</v>
      </c>
    </row>
    <row r="37" spans="2:20">
      <c r="B37" s="346" t="s">
        <v>244</v>
      </c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</row>
    <row r="40" spans="2:20" ht="12.75" customHeight="1">
      <c r="B40" s="345" t="s">
        <v>239</v>
      </c>
      <c r="C40" s="345"/>
      <c r="D40" s="350" t="s">
        <v>245</v>
      </c>
      <c r="E40" s="350"/>
      <c r="F40" s="345" t="s">
        <v>240</v>
      </c>
      <c r="G40" s="345"/>
      <c r="H40" s="345"/>
      <c r="I40" s="2" t="s">
        <v>241</v>
      </c>
      <c r="J40" s="345" t="s">
        <v>242</v>
      </c>
      <c r="K40" s="345"/>
      <c r="L40" s="345"/>
      <c r="M40" s="345" t="s">
        <v>243</v>
      </c>
      <c r="N40" s="345"/>
      <c r="O40" s="345"/>
      <c r="P40" s="345"/>
    </row>
    <row r="41" spans="2:20">
      <c r="B41" s="345"/>
      <c r="C41" s="345"/>
      <c r="D41" s="350"/>
      <c r="E41" s="350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48" t="s">
        <v>223</v>
      </c>
      <c r="C42" s="15" t="s">
        <v>224</v>
      </c>
      <c r="D42" s="351" t="s">
        <v>181</v>
      </c>
      <c r="E42" s="16" t="s">
        <v>182</v>
      </c>
      <c r="F42" s="351" t="s">
        <v>247</v>
      </c>
      <c r="G42" s="351"/>
      <c r="H42" s="351"/>
      <c r="I42" s="17" t="s">
        <v>248</v>
      </c>
      <c r="J42" s="352" t="s">
        <v>249</v>
      </c>
      <c r="K42" s="352"/>
      <c r="L42" s="352"/>
      <c r="M42" s="351" t="s">
        <v>250</v>
      </c>
      <c r="N42" s="351"/>
      <c r="O42" s="351"/>
      <c r="P42" s="351"/>
    </row>
    <row r="43" spans="2:20">
      <c r="B43" s="348"/>
      <c r="C43" s="18" t="s">
        <v>225</v>
      </c>
      <c r="D43" s="351"/>
      <c r="E43" s="16" t="s">
        <v>183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48"/>
      <c r="C44" s="15" t="s">
        <v>226</v>
      </c>
      <c r="D44" s="351"/>
      <c r="E44" s="16" t="s">
        <v>184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48"/>
      <c r="C45" s="15" t="s">
        <v>227</v>
      </c>
      <c r="D45" s="351"/>
      <c r="E45" s="17" t="s">
        <v>185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48"/>
      <c r="C46" s="15" t="s">
        <v>228</v>
      </c>
      <c r="D46" s="351"/>
      <c r="E46" s="17" t="s">
        <v>186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48"/>
      <c r="C47" s="15" t="s">
        <v>229</v>
      </c>
      <c r="D47" s="351"/>
      <c r="E47" s="16" t="s">
        <v>187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48"/>
      <c r="C48" s="15" t="s">
        <v>230</v>
      </c>
      <c r="D48" s="351"/>
      <c r="E48" s="17" t="s">
        <v>188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48"/>
      <c r="C49" s="19" t="s">
        <v>231</v>
      </c>
      <c r="D49" s="351"/>
      <c r="E49" s="16" t="s">
        <v>246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48"/>
      <c r="C50" s="15" t="s">
        <v>232</v>
      </c>
      <c r="D50" s="351"/>
      <c r="E50" s="17" t="s">
        <v>189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48"/>
      <c r="C51" s="15" t="s">
        <v>379</v>
      </c>
      <c r="D51" s="351"/>
      <c r="E51" s="17" t="s">
        <v>380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49" t="s">
        <v>233</v>
      </c>
      <c r="C52" s="20" t="s">
        <v>234</v>
      </c>
      <c r="D52" s="351" t="s">
        <v>190</v>
      </c>
      <c r="E52" s="17" t="s">
        <v>191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49"/>
      <c r="C53" s="20" t="s">
        <v>235</v>
      </c>
      <c r="D53" s="351"/>
      <c r="E53" s="17" t="s">
        <v>192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49"/>
      <c r="C54" s="20" t="s">
        <v>236</v>
      </c>
      <c r="D54" s="351"/>
      <c r="E54" s="17" t="s">
        <v>374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49"/>
      <c r="C55" s="20" t="s">
        <v>375</v>
      </c>
      <c r="D55" s="351"/>
      <c r="E55" s="20" t="s">
        <v>377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49"/>
      <c r="C56" s="20" t="s">
        <v>80</v>
      </c>
      <c r="D56" s="351"/>
      <c r="E56" s="17" t="s">
        <v>193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49"/>
      <c r="C57" s="20" t="s">
        <v>237</v>
      </c>
      <c r="D57" s="351"/>
      <c r="E57" s="17" t="s">
        <v>194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49"/>
      <c r="C58" s="20" t="s">
        <v>376</v>
      </c>
      <c r="D58" s="351"/>
      <c r="E58" s="17" t="s">
        <v>378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49"/>
      <c r="C59" s="20" t="s">
        <v>238</v>
      </c>
      <c r="D59" s="351"/>
      <c r="E59" s="17" t="s">
        <v>195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333</v>
      </c>
      <c r="D60" s="11" t="s">
        <v>332</v>
      </c>
    </row>
    <row r="62" spans="2:20">
      <c r="B62" s="346" t="s">
        <v>252</v>
      </c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</row>
    <row r="66" spans="2:22">
      <c r="B66" s="11" t="s">
        <v>371</v>
      </c>
    </row>
    <row r="67" spans="2:22">
      <c r="B67" s="11" t="s">
        <v>372</v>
      </c>
      <c r="M67" s="11" t="s">
        <v>338</v>
      </c>
      <c r="O67" s="11" t="s">
        <v>381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337</v>
      </c>
      <c r="N68" s="22"/>
      <c r="O68" s="23" t="s">
        <v>382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127</v>
      </c>
      <c r="C70" s="6" t="s">
        <v>263</v>
      </c>
      <c r="D70" s="6" t="s">
        <v>150</v>
      </c>
      <c r="E70" s="6" t="s">
        <v>263</v>
      </c>
      <c r="F70" s="6" t="s">
        <v>150</v>
      </c>
      <c r="G70" s="6" t="s">
        <v>263</v>
      </c>
      <c r="H70" s="6" t="s">
        <v>150</v>
      </c>
      <c r="I70" s="6" t="s">
        <v>263</v>
      </c>
      <c r="J70" s="6" t="s">
        <v>150</v>
      </c>
      <c r="K70" s="6" t="s">
        <v>263</v>
      </c>
      <c r="L70" s="6" t="s">
        <v>150</v>
      </c>
      <c r="M70" s="6" t="s">
        <v>263</v>
      </c>
      <c r="N70" s="6" t="s">
        <v>150</v>
      </c>
      <c r="O70" s="6" t="s">
        <v>263</v>
      </c>
      <c r="P70" s="6" t="s">
        <v>150</v>
      </c>
      <c r="Q70" s="6" t="s">
        <v>263</v>
      </c>
      <c r="R70" s="6" t="s">
        <v>150</v>
      </c>
      <c r="S70" s="6" t="s">
        <v>263</v>
      </c>
      <c r="T70" s="6" t="s">
        <v>150</v>
      </c>
      <c r="U70" s="6" t="s">
        <v>263</v>
      </c>
      <c r="V70" s="3" t="s">
        <v>150</v>
      </c>
    </row>
    <row r="71" spans="2:22">
      <c r="B71" s="5" t="s">
        <v>253</v>
      </c>
      <c r="C71" s="6" t="s">
        <v>263</v>
      </c>
      <c r="D71" s="6" t="s">
        <v>166</v>
      </c>
      <c r="E71" s="6" t="s">
        <v>263</v>
      </c>
      <c r="F71" s="6" t="s">
        <v>166</v>
      </c>
      <c r="G71" s="6" t="s">
        <v>263</v>
      </c>
      <c r="H71" s="6" t="s">
        <v>166</v>
      </c>
      <c r="I71" s="6" t="s">
        <v>263</v>
      </c>
      <c r="J71" s="6" t="s">
        <v>166</v>
      </c>
      <c r="K71" s="6" t="s">
        <v>263</v>
      </c>
      <c r="L71" s="6" t="s">
        <v>166</v>
      </c>
      <c r="M71" s="6" t="s">
        <v>263</v>
      </c>
      <c r="N71" s="6" t="s">
        <v>166</v>
      </c>
      <c r="O71" s="6" t="s">
        <v>263</v>
      </c>
      <c r="P71" s="6" t="s">
        <v>166</v>
      </c>
      <c r="Q71" s="6" t="s">
        <v>263</v>
      </c>
      <c r="R71" s="6" t="s">
        <v>166</v>
      </c>
      <c r="S71" s="6" t="s">
        <v>263</v>
      </c>
      <c r="T71" s="6" t="s">
        <v>166</v>
      </c>
      <c r="U71" s="6" t="s">
        <v>263</v>
      </c>
      <c r="V71" s="3" t="s">
        <v>166</v>
      </c>
    </row>
    <row r="72" spans="2:22">
      <c r="B72" s="7" t="s">
        <v>128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167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69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254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175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168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169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255</v>
      </c>
      <c r="C103" s="12" t="s">
        <v>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62</v>
      </c>
      <c r="C104" s="12" t="s">
        <v>340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126</v>
      </c>
      <c r="C105" s="12" t="s">
        <v>170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63</v>
      </c>
      <c r="C106" s="12" t="s">
        <v>341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64</v>
      </c>
      <c r="C107" s="12" t="s">
        <v>65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66</v>
      </c>
      <c r="C108" s="12" t="s">
        <v>67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68</v>
      </c>
      <c r="C109" s="12" t="s">
        <v>69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70</v>
      </c>
      <c r="C110" s="12" t="s">
        <v>71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72</v>
      </c>
      <c r="C111" s="12" t="s">
        <v>73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129</v>
      </c>
      <c r="C112" s="12" t="s">
        <v>179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75</v>
      </c>
      <c r="C113" s="12" t="s">
        <v>76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77</v>
      </c>
      <c r="C114" s="12" t="s">
        <v>78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79</v>
      </c>
      <c r="C115" s="12" t="s">
        <v>151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80</v>
      </c>
      <c r="C116" s="12" t="s">
        <v>81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82</v>
      </c>
      <c r="C117" s="12" t="s">
        <v>83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84</v>
      </c>
      <c r="C118" s="12" t="s">
        <v>85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86</v>
      </c>
      <c r="C119" s="12" t="s">
        <v>342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130</v>
      </c>
      <c r="C120" s="12" t="s">
        <v>180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87</v>
      </c>
      <c r="C121" s="12" t="s">
        <v>88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89</v>
      </c>
      <c r="C122" s="12" t="s">
        <v>90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91</v>
      </c>
      <c r="C123" s="12" t="s">
        <v>92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93</v>
      </c>
      <c r="C124" s="12" t="s">
        <v>94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95</v>
      </c>
      <c r="C125" s="12" t="s">
        <v>96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97</v>
      </c>
      <c r="C126" s="12" t="s">
        <v>98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100</v>
      </c>
      <c r="C127" s="12" t="s">
        <v>101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102</v>
      </c>
      <c r="C128" s="12" t="s">
        <v>103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104</v>
      </c>
      <c r="C129" s="12" t="s">
        <v>105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106</v>
      </c>
      <c r="C130" s="12" t="s">
        <v>107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108</v>
      </c>
      <c r="C131" s="12" t="s">
        <v>173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109</v>
      </c>
      <c r="C132" s="12" t="s">
        <v>174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131</v>
      </c>
      <c r="C133" s="12" t="s">
        <v>176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111</v>
      </c>
      <c r="C134" s="12" t="s">
        <v>112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118</v>
      </c>
      <c r="C135" s="12" t="s">
        <v>119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152</v>
      </c>
      <c r="C136" s="12" t="s">
        <v>177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132</v>
      </c>
      <c r="C137" s="12" t="s">
        <v>120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133</v>
      </c>
      <c r="C138" s="12" t="s">
        <v>178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134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135</v>
      </c>
      <c r="C140" s="12" t="s">
        <v>136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137</v>
      </c>
      <c r="C141" s="12" t="s">
        <v>138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116</v>
      </c>
      <c r="C142" s="12" t="s">
        <v>139</v>
      </c>
    </row>
    <row r="143" spans="2:20">
      <c r="B143" s="9" t="s">
        <v>113</v>
      </c>
      <c r="C143" s="12" t="s">
        <v>140</v>
      </c>
    </row>
    <row r="144" spans="2:20">
      <c r="B144" s="9" t="s">
        <v>141</v>
      </c>
      <c r="C144" s="12" t="s">
        <v>142</v>
      </c>
    </row>
    <row r="145" spans="2:22">
      <c r="B145" s="9" t="s">
        <v>121</v>
      </c>
      <c r="C145" s="12" t="s">
        <v>143</v>
      </c>
    </row>
    <row r="146" spans="2:22">
      <c r="B146" s="9" t="s">
        <v>144</v>
      </c>
      <c r="C146" s="12" t="s">
        <v>145</v>
      </c>
    </row>
    <row r="147" spans="2:22">
      <c r="B147" s="9" t="s">
        <v>122</v>
      </c>
      <c r="C147" s="12" t="s">
        <v>146</v>
      </c>
    </row>
    <row r="148" spans="2:22">
      <c r="B148" s="9" t="s">
        <v>123</v>
      </c>
      <c r="C148" s="12" t="s">
        <v>147</v>
      </c>
    </row>
    <row r="149" spans="2:22">
      <c r="B149" s="9" t="s">
        <v>329</v>
      </c>
      <c r="C149" s="12" t="s">
        <v>148</v>
      </c>
    </row>
    <row r="150" spans="2:22">
      <c r="B150" s="9" t="s">
        <v>125</v>
      </c>
      <c r="C150" s="12" t="s">
        <v>149</v>
      </c>
    </row>
    <row r="151" spans="2:22">
      <c r="B151" s="11" t="s">
        <v>266</v>
      </c>
      <c r="C151" s="11" t="s">
        <v>267</v>
      </c>
    </row>
    <row r="154" spans="2:22">
      <c r="B154" s="346" t="s">
        <v>256</v>
      </c>
      <c r="C154" s="346"/>
      <c r="D154" s="346"/>
      <c r="E154" s="346"/>
      <c r="F154" s="346"/>
      <c r="G154" s="346"/>
      <c r="H154" s="346"/>
      <c r="I154" s="346"/>
      <c r="J154" s="346"/>
      <c r="K154" s="346"/>
      <c r="L154" s="346"/>
      <c r="M154" s="346"/>
      <c r="N154" s="346"/>
      <c r="O154" s="346"/>
      <c r="P154" s="346"/>
      <c r="Q154" s="346"/>
      <c r="R154" s="346"/>
      <c r="S154" s="346"/>
      <c r="T154" s="346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259</v>
      </c>
      <c r="C159" s="11" t="s">
        <v>263</v>
      </c>
      <c r="D159" s="11" t="s">
        <v>153</v>
      </c>
      <c r="E159" s="11" t="s">
        <v>263</v>
      </c>
      <c r="F159" s="11" t="s">
        <v>153</v>
      </c>
      <c r="G159" s="11" t="s">
        <v>263</v>
      </c>
      <c r="H159" s="11" t="s">
        <v>153</v>
      </c>
      <c r="I159" s="11" t="s">
        <v>263</v>
      </c>
      <c r="J159" s="11" t="s">
        <v>153</v>
      </c>
      <c r="K159" s="11" t="s">
        <v>263</v>
      </c>
      <c r="L159" s="11" t="s">
        <v>153</v>
      </c>
      <c r="M159" s="11" t="s">
        <v>263</v>
      </c>
      <c r="N159" s="11" t="s">
        <v>153</v>
      </c>
      <c r="O159" s="11" t="s">
        <v>263</v>
      </c>
      <c r="P159" s="11" t="s">
        <v>153</v>
      </c>
      <c r="Q159" s="11" t="s">
        <v>263</v>
      </c>
      <c r="R159" s="11" t="s">
        <v>153</v>
      </c>
      <c r="S159" s="11" t="s">
        <v>263</v>
      </c>
      <c r="T159" s="11" t="s">
        <v>153</v>
      </c>
      <c r="U159" s="11" t="s">
        <v>263</v>
      </c>
      <c r="V159" s="1" t="s">
        <v>153</v>
      </c>
    </row>
    <row r="160" spans="2:22">
      <c r="B160" s="11" t="s">
        <v>258</v>
      </c>
      <c r="C160" s="11" t="s">
        <v>263</v>
      </c>
      <c r="D160" s="11" t="s">
        <v>257</v>
      </c>
      <c r="E160" s="11" t="s">
        <v>263</v>
      </c>
      <c r="F160" s="11" t="s">
        <v>257</v>
      </c>
      <c r="G160" s="11" t="s">
        <v>263</v>
      </c>
      <c r="H160" s="11" t="s">
        <v>257</v>
      </c>
      <c r="I160" s="11" t="s">
        <v>263</v>
      </c>
      <c r="J160" s="11" t="s">
        <v>257</v>
      </c>
      <c r="K160" s="11" t="s">
        <v>263</v>
      </c>
      <c r="L160" s="11" t="s">
        <v>257</v>
      </c>
      <c r="M160" s="11" t="s">
        <v>263</v>
      </c>
      <c r="N160" s="11" t="s">
        <v>257</v>
      </c>
      <c r="O160" s="11" t="s">
        <v>263</v>
      </c>
      <c r="P160" s="11" t="s">
        <v>257</v>
      </c>
      <c r="Q160" s="11" t="s">
        <v>263</v>
      </c>
      <c r="R160" s="11" t="s">
        <v>257</v>
      </c>
      <c r="S160" s="11" t="s">
        <v>263</v>
      </c>
      <c r="T160" s="11" t="s">
        <v>257</v>
      </c>
      <c r="U160" s="11" t="s">
        <v>263</v>
      </c>
      <c r="V160" s="1" t="s">
        <v>257</v>
      </c>
    </row>
    <row r="161" spans="2:3">
      <c r="B161" s="11" t="s">
        <v>261</v>
      </c>
      <c r="C161" s="11" t="s">
        <v>260</v>
      </c>
    </row>
    <row r="162" spans="2:3">
      <c r="B162" s="11" t="s">
        <v>128</v>
      </c>
      <c r="C162" s="11" t="s">
        <v>1</v>
      </c>
    </row>
    <row r="163" spans="2:3">
      <c r="B163" s="11" t="s">
        <v>2</v>
      </c>
      <c r="C163" s="11" t="s">
        <v>167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264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175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268</v>
      </c>
    </row>
    <row r="181" spans="2:3">
      <c r="B181" s="11" t="s">
        <v>36</v>
      </c>
      <c r="C181" s="11" t="s">
        <v>273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168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162</v>
      </c>
      <c r="C186" s="11" t="s">
        <v>278</v>
      </c>
    </row>
    <row r="187" spans="2:3">
      <c r="B187" s="11" t="s">
        <v>44</v>
      </c>
      <c r="C187" s="11" t="s">
        <v>277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269</v>
      </c>
    </row>
    <row r="191" spans="2:3">
      <c r="B191" s="11" t="s">
        <v>50</v>
      </c>
      <c r="C191" s="11" t="s">
        <v>169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255</v>
      </c>
      <c r="C198" s="11" t="s">
        <v>61</v>
      </c>
    </row>
    <row r="199" spans="2:3">
      <c r="B199" s="11" t="s">
        <v>123</v>
      </c>
      <c r="C199" s="11" t="s">
        <v>147</v>
      </c>
    </row>
    <row r="200" spans="2:3">
      <c r="B200" s="11" t="s">
        <v>62</v>
      </c>
      <c r="C200" s="11" t="s">
        <v>340</v>
      </c>
    </row>
    <row r="201" spans="2:3">
      <c r="B201" s="11" t="s">
        <v>262</v>
      </c>
      <c r="C201" s="11" t="s">
        <v>270</v>
      </c>
    </row>
    <row r="202" spans="2:3">
      <c r="B202" s="11" t="s">
        <v>63</v>
      </c>
      <c r="C202" s="11" t="s">
        <v>341</v>
      </c>
    </row>
    <row r="203" spans="2:3">
      <c r="B203" s="11" t="s">
        <v>64</v>
      </c>
      <c r="C203" s="11" t="s">
        <v>65</v>
      </c>
    </row>
    <row r="204" spans="2:3">
      <c r="B204" s="11" t="s">
        <v>66</v>
      </c>
      <c r="C204" s="11" t="s">
        <v>67</v>
      </c>
    </row>
    <row r="205" spans="2:3">
      <c r="B205" s="11" t="s">
        <v>68</v>
      </c>
      <c r="C205" s="11" t="s">
        <v>69</v>
      </c>
    </row>
    <row r="206" spans="2:3">
      <c r="B206" s="11" t="s">
        <v>70</v>
      </c>
      <c r="C206" s="11" t="s">
        <v>71</v>
      </c>
    </row>
    <row r="207" spans="2:3">
      <c r="B207" s="11" t="s">
        <v>72</v>
      </c>
      <c r="C207" s="11" t="s">
        <v>73</v>
      </c>
    </row>
    <row r="208" spans="2:3">
      <c r="B208" s="11" t="s">
        <v>74</v>
      </c>
      <c r="C208" s="11" t="s">
        <v>271</v>
      </c>
    </row>
    <row r="209" spans="2:3">
      <c r="B209" s="11" t="s">
        <v>75</v>
      </c>
      <c r="C209" s="11" t="s">
        <v>76</v>
      </c>
    </row>
    <row r="210" spans="2:3">
      <c r="B210" s="11" t="s">
        <v>77</v>
      </c>
      <c r="C210" s="11" t="s">
        <v>78</v>
      </c>
    </row>
    <row r="211" spans="2:3">
      <c r="B211" s="11" t="s">
        <v>79</v>
      </c>
      <c r="C211" s="11" t="s">
        <v>272</v>
      </c>
    </row>
    <row r="212" spans="2:3">
      <c r="B212" s="11" t="s">
        <v>80</v>
      </c>
      <c r="C212" s="11" t="s">
        <v>81</v>
      </c>
    </row>
    <row r="213" spans="2:3">
      <c r="B213" s="11" t="s">
        <v>82</v>
      </c>
      <c r="C213" s="11" t="s">
        <v>83</v>
      </c>
    </row>
    <row r="214" spans="2:3">
      <c r="B214" s="11" t="s">
        <v>84</v>
      </c>
      <c r="C214" s="11" t="s">
        <v>85</v>
      </c>
    </row>
    <row r="215" spans="2:3">
      <c r="B215" s="11" t="s">
        <v>86</v>
      </c>
      <c r="C215" s="11" t="s">
        <v>342</v>
      </c>
    </row>
    <row r="216" spans="2:3">
      <c r="B216" s="11" t="s">
        <v>87</v>
      </c>
      <c r="C216" s="11" t="s">
        <v>88</v>
      </c>
    </row>
    <row r="217" spans="2:3">
      <c r="B217" s="11" t="s">
        <v>89</v>
      </c>
      <c r="C217" s="11" t="s">
        <v>90</v>
      </c>
    </row>
    <row r="218" spans="2:3">
      <c r="B218" s="11" t="s">
        <v>91</v>
      </c>
      <c r="C218" s="11" t="s">
        <v>92</v>
      </c>
    </row>
    <row r="219" spans="2:3">
      <c r="B219" s="11" t="s">
        <v>93</v>
      </c>
      <c r="C219" s="11" t="s">
        <v>94</v>
      </c>
    </row>
    <row r="220" spans="2:3">
      <c r="B220" s="11" t="s">
        <v>95</v>
      </c>
      <c r="C220" s="11" t="s">
        <v>96</v>
      </c>
    </row>
    <row r="221" spans="2:3">
      <c r="B221" s="11" t="s">
        <v>97</v>
      </c>
      <c r="C221" s="11" t="s">
        <v>98</v>
      </c>
    </row>
    <row r="222" spans="2:3">
      <c r="B222" s="11" t="s">
        <v>99</v>
      </c>
      <c r="C222" s="11" t="s">
        <v>101</v>
      </c>
    </row>
    <row r="223" spans="2:3">
      <c r="B223" s="11" t="s">
        <v>102</v>
      </c>
      <c r="C223" s="11" t="s">
        <v>103</v>
      </c>
    </row>
    <row r="224" spans="2:3">
      <c r="B224" s="11" t="s">
        <v>104</v>
      </c>
      <c r="C224" s="11" t="s">
        <v>105</v>
      </c>
    </row>
    <row r="225" spans="2:3">
      <c r="B225" s="11" t="s">
        <v>106</v>
      </c>
      <c r="C225" s="11" t="s">
        <v>107</v>
      </c>
    </row>
    <row r="226" spans="2:3">
      <c r="B226" s="11" t="s">
        <v>108</v>
      </c>
      <c r="C226" s="12" t="s">
        <v>173</v>
      </c>
    </row>
    <row r="227" spans="2:3">
      <c r="B227" s="11" t="s">
        <v>109</v>
      </c>
      <c r="C227" s="12" t="s">
        <v>174</v>
      </c>
    </row>
    <row r="228" spans="2:3">
      <c r="B228" s="11" t="s">
        <v>163</v>
      </c>
      <c r="C228" s="11" t="s">
        <v>343</v>
      </c>
    </row>
    <row r="229" spans="2:3">
      <c r="B229" s="11" t="s">
        <v>110</v>
      </c>
      <c r="C229" s="12" t="s">
        <v>176</v>
      </c>
    </row>
    <row r="230" spans="2:3">
      <c r="B230" s="11" t="s">
        <v>111</v>
      </c>
      <c r="C230" s="11" t="s">
        <v>112</v>
      </c>
    </row>
    <row r="231" spans="2:3">
      <c r="B231" s="11" t="s">
        <v>113</v>
      </c>
      <c r="C231" s="11" t="s">
        <v>114</v>
      </c>
    </row>
    <row r="232" spans="2:3">
      <c r="B232" s="11" t="s">
        <v>115</v>
      </c>
      <c r="C232" s="11" t="s">
        <v>117</v>
      </c>
    </row>
    <row r="233" spans="2:3">
      <c r="B233" s="11" t="s">
        <v>118</v>
      </c>
      <c r="C233" s="11" t="s">
        <v>119</v>
      </c>
    </row>
    <row r="234" spans="2:3">
      <c r="B234" s="11" t="s">
        <v>152</v>
      </c>
      <c r="C234" s="12" t="s">
        <v>177</v>
      </c>
    </row>
    <row r="235" spans="2:3">
      <c r="B235" s="11" t="s">
        <v>265</v>
      </c>
      <c r="C235" s="11" t="s">
        <v>287</v>
      </c>
    </row>
    <row r="236" spans="2:3">
      <c r="B236" s="11" t="s">
        <v>133</v>
      </c>
      <c r="C236" s="12" t="s">
        <v>178</v>
      </c>
    </row>
    <row r="237" spans="2:3">
      <c r="B237" s="11" t="s">
        <v>0</v>
      </c>
      <c r="C237" s="12" t="s">
        <v>134</v>
      </c>
    </row>
    <row r="238" spans="2:3">
      <c r="B238" s="11" t="s">
        <v>158</v>
      </c>
      <c r="C238" s="12" t="s">
        <v>136</v>
      </c>
    </row>
    <row r="239" spans="2:3">
      <c r="B239" s="11" t="s">
        <v>159</v>
      </c>
      <c r="C239" s="12" t="s">
        <v>138</v>
      </c>
    </row>
    <row r="240" spans="2:3">
      <c r="B240" s="11" t="s">
        <v>160</v>
      </c>
      <c r="C240" s="12" t="s">
        <v>139</v>
      </c>
    </row>
    <row r="241" spans="2:21">
      <c r="B241" s="11" t="s">
        <v>113</v>
      </c>
      <c r="C241" s="12" t="s">
        <v>140</v>
      </c>
    </row>
    <row r="242" spans="2:21">
      <c r="B242" s="11" t="s">
        <v>141</v>
      </c>
      <c r="C242" s="12" t="s">
        <v>142</v>
      </c>
    </row>
    <row r="243" spans="2:21">
      <c r="B243" s="11" t="s">
        <v>121</v>
      </c>
      <c r="C243" s="12" t="s">
        <v>143</v>
      </c>
    </row>
    <row r="244" spans="2:21">
      <c r="B244" s="11" t="s">
        <v>144</v>
      </c>
      <c r="C244" s="12" t="s">
        <v>145</v>
      </c>
    </row>
    <row r="245" spans="2:21">
      <c r="B245" s="11" t="s">
        <v>122</v>
      </c>
      <c r="C245" s="12" t="s">
        <v>146</v>
      </c>
    </row>
    <row r="246" spans="2:21">
      <c r="B246" s="11" t="s">
        <v>124</v>
      </c>
      <c r="C246" s="12" t="s">
        <v>148</v>
      </c>
    </row>
    <row r="247" spans="2:21">
      <c r="B247" s="11" t="s">
        <v>123</v>
      </c>
      <c r="C247" s="5" t="s">
        <v>147</v>
      </c>
    </row>
    <row r="248" spans="2:21">
      <c r="B248" s="11" t="s">
        <v>164</v>
      </c>
      <c r="C248" s="5" t="s">
        <v>275</v>
      </c>
    </row>
    <row r="249" spans="2:21">
      <c r="B249" s="11" t="s">
        <v>165</v>
      </c>
      <c r="C249" s="5" t="s">
        <v>276</v>
      </c>
    </row>
    <row r="250" spans="2:21">
      <c r="B250" s="11" t="s">
        <v>266</v>
      </c>
      <c r="C250" s="11" t="s">
        <v>274</v>
      </c>
    </row>
    <row r="253" spans="2:21">
      <c r="B253" s="346" t="s">
        <v>279</v>
      </c>
      <c r="C253" s="346"/>
      <c r="D253" s="346"/>
      <c r="E253" s="346"/>
      <c r="F253" s="346"/>
      <c r="G253" s="346"/>
      <c r="H253" s="346"/>
      <c r="I253" s="346"/>
      <c r="J253" s="346"/>
      <c r="K253" s="346"/>
      <c r="L253" s="346"/>
      <c r="M253" s="346"/>
      <c r="N253" s="346"/>
      <c r="O253" s="346"/>
      <c r="P253" s="346"/>
      <c r="Q253" s="346"/>
      <c r="R253" s="346"/>
      <c r="S253" s="346"/>
      <c r="T253" s="346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235</v>
      </c>
      <c r="C257" s="11" t="s">
        <v>263</v>
      </c>
      <c r="D257" s="11" t="s">
        <v>153</v>
      </c>
      <c r="E257" s="11" t="s">
        <v>263</v>
      </c>
      <c r="F257" s="11" t="s">
        <v>153</v>
      </c>
      <c r="G257" s="11" t="s">
        <v>263</v>
      </c>
      <c r="H257" s="11" t="s">
        <v>153</v>
      </c>
      <c r="I257" s="11" t="s">
        <v>263</v>
      </c>
      <c r="J257" s="11" t="s">
        <v>153</v>
      </c>
      <c r="K257" s="11" t="s">
        <v>263</v>
      </c>
      <c r="L257" s="11" t="s">
        <v>153</v>
      </c>
      <c r="M257" s="11" t="s">
        <v>263</v>
      </c>
      <c r="N257" s="11" t="s">
        <v>153</v>
      </c>
      <c r="O257" s="11" t="s">
        <v>263</v>
      </c>
      <c r="P257" s="11" t="s">
        <v>153</v>
      </c>
      <c r="Q257" s="11" t="s">
        <v>263</v>
      </c>
      <c r="R257" s="11" t="s">
        <v>153</v>
      </c>
      <c r="S257" s="11" t="s">
        <v>263</v>
      </c>
      <c r="T257" s="11" t="s">
        <v>153</v>
      </c>
      <c r="U257" s="11" t="s">
        <v>263</v>
      </c>
      <c r="V257" s="1" t="s">
        <v>153</v>
      </c>
    </row>
    <row r="258" spans="2:22">
      <c r="B258" s="11" t="s">
        <v>192</v>
      </c>
      <c r="C258" s="11" t="s">
        <v>263</v>
      </c>
      <c r="D258" s="11" t="s">
        <v>257</v>
      </c>
      <c r="E258" s="11" t="s">
        <v>263</v>
      </c>
      <c r="F258" s="11" t="s">
        <v>257</v>
      </c>
      <c r="G258" s="11" t="s">
        <v>263</v>
      </c>
      <c r="H258" s="11" t="s">
        <v>257</v>
      </c>
      <c r="I258" s="11" t="s">
        <v>263</v>
      </c>
      <c r="J258" s="11" t="s">
        <v>257</v>
      </c>
      <c r="K258" s="11" t="s">
        <v>263</v>
      </c>
      <c r="L258" s="11" t="s">
        <v>257</v>
      </c>
      <c r="M258" s="11" t="s">
        <v>263</v>
      </c>
      <c r="N258" s="11" t="s">
        <v>257</v>
      </c>
      <c r="O258" s="11" t="s">
        <v>263</v>
      </c>
      <c r="P258" s="11" t="s">
        <v>257</v>
      </c>
      <c r="Q258" s="11" t="s">
        <v>263</v>
      </c>
      <c r="R258" s="11" t="s">
        <v>257</v>
      </c>
      <c r="S258" s="11" t="s">
        <v>263</v>
      </c>
      <c r="T258" s="11" t="s">
        <v>257</v>
      </c>
      <c r="U258" s="11" t="s">
        <v>263</v>
      </c>
      <c r="V258" s="1" t="s">
        <v>257</v>
      </c>
    </row>
    <row r="259" spans="2:22">
      <c r="B259" s="11" t="s">
        <v>128</v>
      </c>
      <c r="C259" s="11" t="s">
        <v>1</v>
      </c>
    </row>
    <row r="260" spans="2:22">
      <c r="B260" s="11" t="s">
        <v>2</v>
      </c>
      <c r="C260" s="11" t="s">
        <v>167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282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168</v>
      </c>
    </row>
    <row r="276" spans="2:3">
      <c r="B276" s="11" t="s">
        <v>53</v>
      </c>
      <c r="C276" s="11" t="s">
        <v>54</v>
      </c>
    </row>
    <row r="277" spans="2:3">
      <c r="B277" s="7" t="s">
        <v>255</v>
      </c>
      <c r="C277" s="11" t="s">
        <v>61</v>
      </c>
    </row>
    <row r="278" spans="2:3">
      <c r="B278" s="11" t="s">
        <v>235</v>
      </c>
      <c r="C278" s="11" t="s">
        <v>283</v>
      </c>
    </row>
    <row r="279" spans="2:3">
      <c r="B279" s="11" t="s">
        <v>280</v>
      </c>
      <c r="C279" s="11" t="s">
        <v>284</v>
      </c>
    </row>
    <row r="280" spans="2:3">
      <c r="B280" s="11" t="s">
        <v>63</v>
      </c>
      <c r="C280" s="11" t="s">
        <v>341</v>
      </c>
    </row>
    <row r="281" spans="2:3">
      <c r="B281" s="11" t="s">
        <v>64</v>
      </c>
      <c r="C281" s="11" t="s">
        <v>65</v>
      </c>
    </row>
    <row r="282" spans="2:3">
      <c r="B282" s="11" t="s">
        <v>66</v>
      </c>
      <c r="C282" s="11" t="s">
        <v>67</v>
      </c>
    </row>
    <row r="283" spans="2:3">
      <c r="B283" s="11" t="s">
        <v>68</v>
      </c>
      <c r="C283" s="11" t="s">
        <v>69</v>
      </c>
    </row>
    <row r="284" spans="2:3">
      <c r="B284" s="11" t="s">
        <v>70</v>
      </c>
      <c r="C284" s="11" t="s">
        <v>71</v>
      </c>
    </row>
    <row r="285" spans="2:3">
      <c r="B285" s="11" t="s">
        <v>72</v>
      </c>
      <c r="C285" s="11" t="s">
        <v>73</v>
      </c>
    </row>
    <row r="286" spans="2:3">
      <c r="B286" s="11" t="s">
        <v>154</v>
      </c>
      <c r="C286" s="11" t="s">
        <v>271</v>
      </c>
    </row>
    <row r="287" spans="2:3">
      <c r="B287" s="11" t="s">
        <v>75</v>
      </c>
      <c r="C287" s="11" t="s">
        <v>76</v>
      </c>
    </row>
    <row r="288" spans="2:3">
      <c r="B288" s="11" t="s">
        <v>77</v>
      </c>
      <c r="C288" s="11" t="s">
        <v>78</v>
      </c>
    </row>
    <row r="289" spans="2:3">
      <c r="B289" s="11" t="s">
        <v>79</v>
      </c>
      <c r="C289" s="11" t="s">
        <v>272</v>
      </c>
    </row>
    <row r="290" spans="2:3">
      <c r="B290" s="11" t="s">
        <v>80</v>
      </c>
      <c r="C290" s="11" t="s">
        <v>81</v>
      </c>
    </row>
    <row r="291" spans="2:3">
      <c r="B291" s="11" t="s">
        <v>82</v>
      </c>
      <c r="C291" s="11" t="s">
        <v>83</v>
      </c>
    </row>
    <row r="292" spans="2:3">
      <c r="B292" s="11" t="s">
        <v>84</v>
      </c>
      <c r="C292" s="11" t="s">
        <v>85</v>
      </c>
    </row>
    <row r="293" spans="2:3">
      <c r="B293" s="11" t="s">
        <v>86</v>
      </c>
      <c r="C293" s="11" t="s">
        <v>342</v>
      </c>
    </row>
    <row r="294" spans="2:3">
      <c r="B294" s="11" t="s">
        <v>155</v>
      </c>
      <c r="C294" s="11" t="s">
        <v>344</v>
      </c>
    </row>
    <row r="295" spans="2:3">
      <c r="B295" s="11" t="s">
        <v>87</v>
      </c>
      <c r="C295" s="11" t="s">
        <v>88</v>
      </c>
    </row>
    <row r="296" spans="2:3">
      <c r="B296" s="11" t="s">
        <v>89</v>
      </c>
      <c r="C296" s="11" t="s">
        <v>90</v>
      </c>
    </row>
    <row r="297" spans="2:3">
      <c r="B297" s="11" t="s">
        <v>91</v>
      </c>
      <c r="C297" s="11" t="s">
        <v>92</v>
      </c>
    </row>
    <row r="298" spans="2:3">
      <c r="B298" s="11" t="s">
        <v>93</v>
      </c>
      <c r="C298" s="11" t="s">
        <v>94</v>
      </c>
    </row>
    <row r="299" spans="2:3">
      <c r="B299" s="11" t="s">
        <v>95</v>
      </c>
      <c r="C299" s="11" t="s">
        <v>96</v>
      </c>
    </row>
    <row r="300" spans="2:3">
      <c r="B300" s="11" t="s">
        <v>97</v>
      </c>
      <c r="C300" s="11" t="s">
        <v>98</v>
      </c>
    </row>
    <row r="301" spans="2:3">
      <c r="B301" s="11" t="s">
        <v>156</v>
      </c>
      <c r="C301" s="11" t="s">
        <v>101</v>
      </c>
    </row>
    <row r="302" spans="2:3">
      <c r="B302" s="11" t="s">
        <v>102</v>
      </c>
      <c r="C302" s="11" t="s">
        <v>103</v>
      </c>
    </row>
    <row r="303" spans="2:3">
      <c r="B303" s="11" t="s">
        <v>104</v>
      </c>
      <c r="C303" s="11" t="s">
        <v>105</v>
      </c>
    </row>
    <row r="304" spans="2:3">
      <c r="B304" s="11" t="s">
        <v>109</v>
      </c>
      <c r="C304" s="12" t="s">
        <v>174</v>
      </c>
    </row>
    <row r="305" spans="2:3">
      <c r="B305" s="11" t="s">
        <v>106</v>
      </c>
      <c r="C305" s="11" t="s">
        <v>107</v>
      </c>
    </row>
    <row r="306" spans="2:3">
      <c r="B306" s="11" t="s">
        <v>281</v>
      </c>
      <c r="C306" s="11" t="s">
        <v>343</v>
      </c>
    </row>
    <row r="307" spans="2:3">
      <c r="B307" s="11" t="s">
        <v>110</v>
      </c>
      <c r="C307" s="11" t="s">
        <v>285</v>
      </c>
    </row>
    <row r="308" spans="2:3">
      <c r="B308" s="11" t="s">
        <v>157</v>
      </c>
      <c r="C308" s="11" t="s">
        <v>286</v>
      </c>
    </row>
    <row r="309" spans="2:3">
      <c r="B309" s="11" t="s">
        <v>111</v>
      </c>
      <c r="C309" s="11" t="s">
        <v>112</v>
      </c>
    </row>
    <row r="310" spans="2:3">
      <c r="B310" s="11" t="s">
        <v>113</v>
      </c>
      <c r="C310" s="11" t="s">
        <v>114</v>
      </c>
    </row>
    <row r="311" spans="2:3">
      <c r="B311" s="11" t="s">
        <v>116</v>
      </c>
      <c r="C311" s="11" t="s">
        <v>117</v>
      </c>
    </row>
    <row r="312" spans="2:3">
      <c r="B312" s="11" t="s">
        <v>118</v>
      </c>
      <c r="C312" s="11" t="s">
        <v>119</v>
      </c>
    </row>
    <row r="313" spans="2:3">
      <c r="B313" s="11" t="s">
        <v>152</v>
      </c>
      <c r="C313" s="12" t="s">
        <v>177</v>
      </c>
    </row>
    <row r="314" spans="2:3">
      <c r="B314" s="11" t="s">
        <v>265</v>
      </c>
      <c r="C314" s="11" t="s">
        <v>287</v>
      </c>
    </row>
    <row r="315" spans="2:3">
      <c r="B315" s="11" t="s">
        <v>133</v>
      </c>
      <c r="C315" s="12" t="s">
        <v>178</v>
      </c>
    </row>
    <row r="316" spans="2:3">
      <c r="B316" s="11" t="s">
        <v>0</v>
      </c>
      <c r="C316" s="12" t="s">
        <v>134</v>
      </c>
    </row>
    <row r="317" spans="2:3">
      <c r="B317" s="11" t="s">
        <v>158</v>
      </c>
      <c r="C317" s="12" t="s">
        <v>136</v>
      </c>
    </row>
    <row r="318" spans="2:3">
      <c r="B318" s="11" t="s">
        <v>159</v>
      </c>
      <c r="C318" s="12" t="s">
        <v>138</v>
      </c>
    </row>
    <row r="319" spans="2:3">
      <c r="B319" s="11" t="s">
        <v>116</v>
      </c>
      <c r="C319" s="12" t="s">
        <v>139</v>
      </c>
    </row>
    <row r="320" spans="2:3">
      <c r="B320" s="11" t="s">
        <v>113</v>
      </c>
      <c r="C320" s="12" t="s">
        <v>140</v>
      </c>
    </row>
    <row r="321" spans="2:20">
      <c r="B321" s="11" t="s">
        <v>141</v>
      </c>
      <c r="C321" s="12" t="s">
        <v>142</v>
      </c>
    </row>
    <row r="322" spans="2:20">
      <c r="B322" s="11" t="s">
        <v>121</v>
      </c>
      <c r="C322" s="12" t="s">
        <v>288</v>
      </c>
    </row>
    <row r="323" spans="2:20">
      <c r="B323" s="11" t="s">
        <v>144</v>
      </c>
      <c r="C323" s="12" t="s">
        <v>145</v>
      </c>
    </row>
    <row r="324" spans="2:20">
      <c r="B324" s="11" t="s">
        <v>122</v>
      </c>
      <c r="C324" s="12" t="s">
        <v>146</v>
      </c>
    </row>
    <row r="325" spans="2:20">
      <c r="B325" s="11" t="s">
        <v>123</v>
      </c>
      <c r="C325" s="5" t="s">
        <v>147</v>
      </c>
    </row>
    <row r="326" spans="2:20">
      <c r="B326" s="11" t="s">
        <v>124</v>
      </c>
      <c r="C326" s="12" t="s">
        <v>289</v>
      </c>
    </row>
    <row r="327" spans="2:20">
      <c r="B327" s="11" t="s">
        <v>161</v>
      </c>
      <c r="C327" s="12" t="s">
        <v>149</v>
      </c>
    </row>
    <row r="328" spans="2:20">
      <c r="B328" s="11" t="s">
        <v>266</v>
      </c>
      <c r="C328" s="11" t="s">
        <v>274</v>
      </c>
    </row>
    <row r="331" spans="2:20">
      <c r="B331" s="346" t="s">
        <v>315</v>
      </c>
      <c r="C331" s="346"/>
      <c r="D331" s="346"/>
      <c r="E331" s="346"/>
      <c r="F331" s="346"/>
      <c r="G331" s="346"/>
      <c r="H331" s="346"/>
      <c r="I331" s="346"/>
      <c r="J331" s="346"/>
      <c r="K331" s="346"/>
      <c r="L331" s="346"/>
      <c r="M331" s="346"/>
      <c r="N331" s="346"/>
      <c r="O331" s="346"/>
      <c r="P331" s="346"/>
      <c r="Q331" s="346"/>
      <c r="R331" s="346"/>
      <c r="S331" s="346"/>
      <c r="T331" s="346"/>
    </row>
    <row r="334" spans="2:20">
      <c r="C334" s="11">
        <v>2013</v>
      </c>
    </row>
    <row r="335" spans="2:20">
      <c r="B335" s="11" t="s">
        <v>385</v>
      </c>
      <c r="C335" s="11" t="s">
        <v>293</v>
      </c>
      <c r="D335" s="11" t="s">
        <v>294</v>
      </c>
      <c r="E335" s="11" t="s">
        <v>295</v>
      </c>
      <c r="F335" s="11" t="s">
        <v>296</v>
      </c>
      <c r="G335" s="11" t="s">
        <v>297</v>
      </c>
      <c r="H335" s="11" t="s">
        <v>298</v>
      </c>
      <c r="I335" s="11" t="s">
        <v>299</v>
      </c>
      <c r="J335" s="11" t="s">
        <v>300</v>
      </c>
      <c r="K335" s="11" t="s">
        <v>301</v>
      </c>
      <c r="L335" s="11" t="s">
        <v>302</v>
      </c>
      <c r="M335" s="11" t="s">
        <v>303</v>
      </c>
      <c r="N335" s="11" t="s">
        <v>304</v>
      </c>
      <c r="O335" s="11" t="s">
        <v>384</v>
      </c>
    </row>
    <row r="336" spans="2:20">
      <c r="B336" s="11" t="s">
        <v>386</v>
      </c>
      <c r="C336" s="11" t="s">
        <v>316</v>
      </c>
      <c r="D336" s="11" t="s">
        <v>317</v>
      </c>
      <c r="E336" s="11" t="s">
        <v>318</v>
      </c>
      <c r="F336" s="11" t="s">
        <v>296</v>
      </c>
      <c r="G336" s="11" t="s">
        <v>319</v>
      </c>
      <c r="H336" s="11" t="s">
        <v>320</v>
      </c>
      <c r="I336" s="11" t="s">
        <v>321</v>
      </c>
      <c r="J336" s="11" t="s">
        <v>322</v>
      </c>
      <c r="K336" s="11" t="s">
        <v>323</v>
      </c>
      <c r="L336" s="11" t="s">
        <v>324</v>
      </c>
      <c r="M336" s="11" t="s">
        <v>325</v>
      </c>
      <c r="N336" s="11" t="s">
        <v>326</v>
      </c>
      <c r="O336" s="11" t="s">
        <v>383</v>
      </c>
    </row>
    <row r="337" spans="2:3">
      <c r="B337" s="11" t="s">
        <v>128</v>
      </c>
      <c r="C337" s="11" t="s">
        <v>1</v>
      </c>
    </row>
    <row r="338" spans="2:3">
      <c r="B338" s="11" t="s">
        <v>2</v>
      </c>
      <c r="C338" s="11" t="s">
        <v>167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305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306</v>
      </c>
      <c r="C343" s="11" t="s">
        <v>13</v>
      </c>
    </row>
    <row r="344" spans="2:3">
      <c r="B344" s="11" t="s">
        <v>307</v>
      </c>
      <c r="C344" s="11" t="s">
        <v>15</v>
      </c>
    </row>
    <row r="345" spans="2:3">
      <c r="B345" s="11" t="s">
        <v>16</v>
      </c>
      <c r="C345" s="11" t="s">
        <v>18</v>
      </c>
    </row>
    <row r="346" spans="2:3">
      <c r="B346" s="11" t="s">
        <v>19</v>
      </c>
      <c r="C346" s="11" t="s">
        <v>20</v>
      </c>
    </row>
    <row r="347" spans="2:3">
      <c r="B347" s="11" t="s">
        <v>308</v>
      </c>
      <c r="C347" s="11" t="s">
        <v>22</v>
      </c>
    </row>
    <row r="348" spans="2:3">
      <c r="B348" s="11" t="s">
        <v>309</v>
      </c>
      <c r="C348" s="11" t="s">
        <v>24</v>
      </c>
    </row>
    <row r="349" spans="2:3">
      <c r="B349" s="11" t="s">
        <v>310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175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168</v>
      </c>
    </row>
    <row r="357" spans="2:3">
      <c r="B357" s="11" t="s">
        <v>328</v>
      </c>
      <c r="C357" s="11" t="s">
        <v>41</v>
      </c>
    </row>
    <row r="358" spans="2:3">
      <c r="B358" s="11" t="s">
        <v>311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312</v>
      </c>
      <c r="C360" s="11" t="s">
        <v>48</v>
      </c>
    </row>
    <row r="361" spans="2:3">
      <c r="B361" s="11" t="s">
        <v>313</v>
      </c>
      <c r="C361" s="11" t="s">
        <v>169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314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255</v>
      </c>
      <c r="C368" s="11" t="s">
        <v>61</v>
      </c>
    </row>
    <row r="369" spans="2:3">
      <c r="B369" s="11" t="s">
        <v>62</v>
      </c>
      <c r="C369" s="11" t="s">
        <v>340</v>
      </c>
    </row>
    <row r="370" spans="2:3">
      <c r="B370" s="11" t="s">
        <v>126</v>
      </c>
      <c r="C370" s="11" t="s">
        <v>170</v>
      </c>
    </row>
    <row r="371" spans="2:3">
      <c r="B371" s="11" t="s">
        <v>63</v>
      </c>
      <c r="C371" s="11" t="s">
        <v>341</v>
      </c>
    </row>
    <row r="372" spans="2:3">
      <c r="B372" s="11" t="s">
        <v>64</v>
      </c>
      <c r="C372" s="11" t="s">
        <v>65</v>
      </c>
    </row>
    <row r="373" spans="2:3">
      <c r="B373" s="11" t="s">
        <v>66</v>
      </c>
      <c r="C373" s="11" t="s">
        <v>67</v>
      </c>
    </row>
    <row r="374" spans="2:3">
      <c r="B374" s="11" t="s">
        <v>68</v>
      </c>
      <c r="C374" s="11" t="s">
        <v>69</v>
      </c>
    </row>
    <row r="375" spans="2:3">
      <c r="B375" s="11" t="s">
        <v>70</v>
      </c>
      <c r="C375" s="11" t="s">
        <v>71</v>
      </c>
    </row>
    <row r="376" spans="2:3">
      <c r="B376" s="11" t="s">
        <v>72</v>
      </c>
      <c r="C376" s="11" t="s">
        <v>73</v>
      </c>
    </row>
    <row r="377" spans="2:3">
      <c r="B377" s="11" t="s">
        <v>129</v>
      </c>
      <c r="C377" s="11" t="s">
        <v>179</v>
      </c>
    </row>
    <row r="378" spans="2:3">
      <c r="B378" s="11" t="s">
        <v>75</v>
      </c>
      <c r="C378" s="11" t="s">
        <v>76</v>
      </c>
    </row>
    <row r="379" spans="2:3">
      <c r="B379" s="11" t="s">
        <v>77</v>
      </c>
      <c r="C379" s="11" t="s">
        <v>78</v>
      </c>
    </row>
    <row r="380" spans="2:3">
      <c r="B380" s="11" t="s">
        <v>79</v>
      </c>
      <c r="C380" s="11" t="s">
        <v>151</v>
      </c>
    </row>
    <row r="381" spans="2:3">
      <c r="B381" s="11" t="s">
        <v>80</v>
      </c>
      <c r="C381" s="11" t="s">
        <v>81</v>
      </c>
    </row>
    <row r="382" spans="2:3">
      <c r="B382" s="11" t="s">
        <v>82</v>
      </c>
      <c r="C382" s="11" t="s">
        <v>83</v>
      </c>
    </row>
    <row r="383" spans="2:3">
      <c r="B383" s="11" t="s">
        <v>84</v>
      </c>
      <c r="C383" s="11" t="s">
        <v>85</v>
      </c>
    </row>
    <row r="384" spans="2:3">
      <c r="B384" s="11" t="s">
        <v>86</v>
      </c>
      <c r="C384" s="11" t="s">
        <v>342</v>
      </c>
    </row>
    <row r="385" spans="2:3">
      <c r="B385" s="11" t="s">
        <v>130</v>
      </c>
      <c r="C385" s="11" t="s">
        <v>180</v>
      </c>
    </row>
    <row r="386" spans="2:3">
      <c r="B386" s="11" t="s">
        <v>87</v>
      </c>
      <c r="C386" s="11" t="s">
        <v>88</v>
      </c>
    </row>
    <row r="387" spans="2:3">
      <c r="B387" s="11" t="s">
        <v>89</v>
      </c>
      <c r="C387" s="11" t="s">
        <v>90</v>
      </c>
    </row>
    <row r="388" spans="2:3">
      <c r="B388" s="11" t="s">
        <v>91</v>
      </c>
      <c r="C388" s="11" t="s">
        <v>92</v>
      </c>
    </row>
    <row r="389" spans="2:3">
      <c r="B389" s="11" t="s">
        <v>93</v>
      </c>
      <c r="C389" s="11" t="s">
        <v>94</v>
      </c>
    </row>
    <row r="390" spans="2:3">
      <c r="B390" s="11" t="s">
        <v>95</v>
      </c>
      <c r="C390" s="11" t="s">
        <v>96</v>
      </c>
    </row>
    <row r="391" spans="2:3">
      <c r="B391" s="11" t="s">
        <v>97</v>
      </c>
      <c r="C391" s="11" t="s">
        <v>98</v>
      </c>
    </row>
    <row r="392" spans="2:3">
      <c r="B392" s="11" t="s">
        <v>100</v>
      </c>
      <c r="C392" s="11" t="s">
        <v>101</v>
      </c>
    </row>
    <row r="393" spans="2:3">
      <c r="B393" s="11" t="s">
        <v>102</v>
      </c>
      <c r="C393" s="11" t="s">
        <v>103</v>
      </c>
    </row>
    <row r="394" spans="2:3">
      <c r="B394" s="11" t="s">
        <v>104</v>
      </c>
      <c r="C394" s="11" t="s">
        <v>105</v>
      </c>
    </row>
    <row r="395" spans="2:3">
      <c r="B395" s="11" t="s">
        <v>106</v>
      </c>
      <c r="C395" s="11" t="s">
        <v>107</v>
      </c>
    </row>
    <row r="396" spans="2:3">
      <c r="B396" s="11" t="s">
        <v>108</v>
      </c>
      <c r="C396" s="11" t="s">
        <v>173</v>
      </c>
    </row>
    <row r="397" spans="2:3">
      <c r="B397" s="11" t="s">
        <v>109</v>
      </c>
      <c r="C397" s="11" t="s">
        <v>174</v>
      </c>
    </row>
    <row r="398" spans="2:3">
      <c r="B398" s="11" t="s">
        <v>131</v>
      </c>
      <c r="C398" s="11" t="s">
        <v>373</v>
      </c>
    </row>
    <row r="399" spans="2:3">
      <c r="B399" s="11" t="s">
        <v>111</v>
      </c>
      <c r="C399" s="11" t="s">
        <v>112</v>
      </c>
    </row>
    <row r="400" spans="2:3">
      <c r="B400" s="11" t="s">
        <v>118</v>
      </c>
      <c r="C400" s="11" t="s">
        <v>119</v>
      </c>
    </row>
    <row r="401" spans="2:3">
      <c r="B401" s="11" t="s">
        <v>152</v>
      </c>
      <c r="C401" s="11" t="s">
        <v>177</v>
      </c>
    </row>
    <row r="402" spans="2:3">
      <c r="B402" s="11" t="s">
        <v>132</v>
      </c>
      <c r="C402" s="11" t="s">
        <v>120</v>
      </c>
    </row>
    <row r="403" spans="2:3">
      <c r="B403" s="11" t="s">
        <v>133</v>
      </c>
      <c r="C403" s="11" t="s">
        <v>178</v>
      </c>
    </row>
    <row r="404" spans="2:3">
      <c r="B404" s="11" t="s">
        <v>0</v>
      </c>
      <c r="C404" s="11" t="s">
        <v>134</v>
      </c>
    </row>
    <row r="405" spans="2:3">
      <c r="B405" s="11" t="s">
        <v>135</v>
      </c>
      <c r="C405" s="11" t="s">
        <v>136</v>
      </c>
    </row>
    <row r="406" spans="2:3">
      <c r="B406" s="11" t="s">
        <v>137</v>
      </c>
      <c r="C406" s="11" t="s">
        <v>138</v>
      </c>
    </row>
    <row r="407" spans="2:3">
      <c r="B407" s="11" t="s">
        <v>116</v>
      </c>
      <c r="C407" s="11" t="s">
        <v>139</v>
      </c>
    </row>
    <row r="408" spans="2:3">
      <c r="B408" s="11" t="s">
        <v>113</v>
      </c>
      <c r="C408" s="11" t="s">
        <v>140</v>
      </c>
    </row>
    <row r="409" spans="2:3">
      <c r="B409" s="11" t="s">
        <v>141</v>
      </c>
      <c r="C409" s="11" t="s">
        <v>142</v>
      </c>
    </row>
    <row r="410" spans="2:3">
      <c r="B410" s="11" t="s">
        <v>121</v>
      </c>
      <c r="C410" s="11" t="s">
        <v>143</v>
      </c>
    </row>
    <row r="411" spans="2:3">
      <c r="B411" s="11" t="s">
        <v>144</v>
      </c>
      <c r="C411" s="11" t="s">
        <v>145</v>
      </c>
    </row>
    <row r="412" spans="2:3">
      <c r="B412" s="11" t="s">
        <v>122</v>
      </c>
      <c r="C412" s="11" t="s">
        <v>146</v>
      </c>
    </row>
    <row r="413" spans="2:3">
      <c r="B413" s="11" t="s">
        <v>123</v>
      </c>
      <c r="C413" s="11" t="s">
        <v>147</v>
      </c>
    </row>
    <row r="414" spans="2:3">
      <c r="B414" s="11" t="s">
        <v>329</v>
      </c>
      <c r="C414" s="11" t="s">
        <v>148</v>
      </c>
    </row>
    <row r="415" spans="2:3">
      <c r="B415" s="11" t="s">
        <v>125</v>
      </c>
      <c r="C415" s="11" t="s">
        <v>149</v>
      </c>
    </row>
    <row r="416" spans="2:3">
      <c r="B416" s="11" t="s">
        <v>266</v>
      </c>
      <c r="C416" s="11" t="s">
        <v>267</v>
      </c>
    </row>
    <row r="419" spans="2:23">
      <c r="B419" s="346" t="s">
        <v>387</v>
      </c>
      <c r="C419" s="347"/>
      <c r="D419" s="347"/>
      <c r="E419" s="347"/>
      <c r="F419" s="347"/>
      <c r="G419" s="347"/>
      <c r="H419" s="347"/>
      <c r="I419" s="347"/>
      <c r="J419" s="347"/>
      <c r="K419" s="347"/>
      <c r="L419" s="347"/>
      <c r="M419" s="347"/>
      <c r="N419" s="347"/>
      <c r="O419" s="347"/>
      <c r="P419" s="347"/>
      <c r="Q419" s="347"/>
      <c r="R419" s="347"/>
      <c r="S419" s="347"/>
      <c r="T419" s="347"/>
    </row>
    <row r="421" spans="2:23">
      <c r="B421" s="11" t="s">
        <v>327</v>
      </c>
    </row>
    <row r="422" spans="2:23">
      <c r="B422" s="11" t="s">
        <v>334</v>
      </c>
      <c r="O422" s="1"/>
    </row>
    <row r="424" spans="2:23">
      <c r="B424" s="11" t="s">
        <v>389</v>
      </c>
    </row>
    <row r="425" spans="2:23">
      <c r="B425" s="11" t="s">
        <v>389</v>
      </c>
    </row>
    <row r="427" spans="2:23">
      <c r="B427" s="346" t="s">
        <v>330</v>
      </c>
      <c r="C427" s="346"/>
      <c r="D427" s="346"/>
      <c r="E427" s="346"/>
      <c r="F427" s="346"/>
      <c r="G427" s="346"/>
      <c r="H427" s="346"/>
      <c r="I427" s="346"/>
      <c r="J427" s="346"/>
      <c r="K427" s="346"/>
      <c r="L427" s="346"/>
      <c r="M427" s="346"/>
      <c r="N427" s="346"/>
      <c r="O427" s="346"/>
      <c r="P427" s="346"/>
      <c r="Q427" s="346"/>
      <c r="R427" s="346"/>
      <c r="S427" s="346"/>
      <c r="T427" s="346"/>
    </row>
    <row r="429" spans="2:23">
      <c r="B429" s="11" t="s">
        <v>335</v>
      </c>
      <c r="C429" s="11" t="s">
        <v>240</v>
      </c>
      <c r="D429" s="11" t="s">
        <v>388</v>
      </c>
      <c r="E429" s="27" t="s">
        <v>390</v>
      </c>
      <c r="F429" s="27" t="s">
        <v>391</v>
      </c>
    </row>
    <row r="430" spans="2:23">
      <c r="B430" s="11" t="s">
        <v>336</v>
      </c>
      <c r="C430" s="11" t="s">
        <v>339</v>
      </c>
      <c r="D430" s="11" t="s">
        <v>388</v>
      </c>
      <c r="E430" s="27" t="s">
        <v>390</v>
      </c>
      <c r="F430" s="27" t="s">
        <v>392</v>
      </c>
      <c r="W430" s="28"/>
    </row>
    <row r="432" spans="2:23">
      <c r="B432" s="346" t="s">
        <v>345</v>
      </c>
      <c r="C432" s="346"/>
      <c r="D432" s="346"/>
      <c r="E432" s="346"/>
      <c r="F432" s="346"/>
      <c r="G432" s="346"/>
      <c r="H432" s="346"/>
      <c r="I432" s="346"/>
      <c r="J432" s="346"/>
      <c r="K432" s="346"/>
      <c r="L432" s="346"/>
      <c r="M432" s="346"/>
      <c r="N432" s="346"/>
      <c r="O432" s="346"/>
      <c r="P432" s="346"/>
      <c r="Q432" s="346"/>
      <c r="R432" s="346"/>
      <c r="S432" s="346"/>
      <c r="T432" s="346"/>
    </row>
    <row r="435" spans="2:6">
      <c r="B435" s="11" t="s">
        <v>353</v>
      </c>
      <c r="C435" s="11" t="s">
        <v>354</v>
      </c>
    </row>
    <row r="437" spans="2:6">
      <c r="B437" s="11" t="s">
        <v>346</v>
      </c>
      <c r="C437" s="11" t="s">
        <v>345</v>
      </c>
    </row>
    <row r="438" spans="2:6">
      <c r="B438" s="11" t="s">
        <v>347</v>
      </c>
      <c r="C438" s="11" t="s">
        <v>355</v>
      </c>
    </row>
    <row r="439" spans="2:6">
      <c r="B439" s="11" t="s">
        <v>348</v>
      </c>
      <c r="C439" s="11" t="s">
        <v>356</v>
      </c>
    </row>
    <row r="441" spans="2:6">
      <c r="B441" s="11" t="s">
        <v>357</v>
      </c>
      <c r="C441" s="11" t="s">
        <v>349</v>
      </c>
      <c r="D441" s="11" t="s">
        <v>350</v>
      </c>
      <c r="E441" s="11" t="s">
        <v>351</v>
      </c>
      <c r="F441" s="11" t="s">
        <v>352</v>
      </c>
    </row>
    <row r="442" spans="2:6">
      <c r="B442" s="11" t="s">
        <v>358</v>
      </c>
      <c r="C442" s="11" t="s">
        <v>359</v>
      </c>
      <c r="D442" s="11" t="s">
        <v>360</v>
      </c>
      <c r="E442" s="11" t="s">
        <v>361</v>
      </c>
      <c r="F442" s="11" t="s">
        <v>362</v>
      </c>
    </row>
    <row r="443" spans="2:6">
      <c r="B443" s="11" t="s">
        <v>363</v>
      </c>
    </row>
    <row r="444" spans="2:6">
      <c r="B444" s="11" t="s">
        <v>364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81" t="s">
        <v>293</v>
      </c>
      <c r="E4" s="181" t="s">
        <v>294</v>
      </c>
      <c r="F4" s="181" t="s">
        <v>295</v>
      </c>
      <c r="G4" s="181" t="s">
        <v>296</v>
      </c>
      <c r="H4" s="181" t="s">
        <v>297</v>
      </c>
      <c r="I4" s="181" t="s">
        <v>298</v>
      </c>
      <c r="J4" s="181" t="s">
        <v>299</v>
      </c>
      <c r="K4" s="181" t="s">
        <v>300</v>
      </c>
      <c r="L4" s="181" t="s">
        <v>301</v>
      </c>
      <c r="M4" s="181" t="s">
        <v>302</v>
      </c>
      <c r="N4" s="181" t="s">
        <v>303</v>
      </c>
      <c r="O4" s="181" t="s">
        <v>304</v>
      </c>
    </row>
    <row r="5" spans="3:16">
      <c r="C5" s="181" t="s">
        <v>438</v>
      </c>
      <c r="D5" s="182">
        <v>62425293.156965584</v>
      </c>
      <c r="E5" s="182">
        <v>79762187.59852089</v>
      </c>
      <c r="F5" s="182">
        <v>89318688.151918903</v>
      </c>
      <c r="G5" s="182">
        <v>106294081.27535464</v>
      </c>
      <c r="H5" s="182">
        <v>97189661.825924918</v>
      </c>
      <c r="I5" s="182">
        <v>105191801.34506513</v>
      </c>
      <c r="J5" s="182">
        <v>123272889.17858437</v>
      </c>
      <c r="K5" s="182">
        <v>125579133.65326507</v>
      </c>
      <c r="L5" s="182">
        <v>121047897.33843082</v>
      </c>
      <c r="M5" s="182">
        <v>114789505.85515907</v>
      </c>
      <c r="N5" s="182">
        <v>97406301.479715049</v>
      </c>
      <c r="O5" s="182">
        <v>145778958.57826602</v>
      </c>
      <c r="P5" s="182">
        <f>+SUM(D5:O5)</f>
        <v>1268056399.4371705</v>
      </c>
    </row>
    <row r="6" spans="3:16">
      <c r="C6" s="181" t="s">
        <v>439</v>
      </c>
      <c r="D6" s="182">
        <v>70632268.589999989</v>
      </c>
      <c r="E6" s="182">
        <v>81381758.450000018</v>
      </c>
      <c r="F6" s="182">
        <v>100495765.61000001</v>
      </c>
      <c r="G6" s="182">
        <v>107356417.33534782</v>
      </c>
      <c r="H6" s="182">
        <v>98816734.644163221</v>
      </c>
      <c r="I6" s="182">
        <v>107147051.5707173</v>
      </c>
      <c r="J6" s="182">
        <v>125666748.8575906</v>
      </c>
      <c r="K6" s="182">
        <v>127890096.38694921</v>
      </c>
      <c r="L6" s="182">
        <v>123465322.33433203</v>
      </c>
      <c r="M6" s="182">
        <v>117130344.73943919</v>
      </c>
      <c r="N6" s="182">
        <v>99294843.070796907</v>
      </c>
      <c r="O6" s="182">
        <v>149056317.49743444</v>
      </c>
      <c r="P6" s="182">
        <f>+SUM(D6:O6)</f>
        <v>1308333669.0867708</v>
      </c>
    </row>
    <row r="7" spans="3:16">
      <c r="C7" s="181" t="s">
        <v>440</v>
      </c>
      <c r="D7" s="182">
        <v>54757461.979999989</v>
      </c>
      <c r="E7" s="182">
        <v>75673443.909999996</v>
      </c>
      <c r="F7" s="182">
        <v>88296245.580000013</v>
      </c>
      <c r="G7" s="182">
        <v>103948239.19999999</v>
      </c>
      <c r="H7" s="182">
        <v>93997829.679999992</v>
      </c>
      <c r="I7" s="182">
        <v>99561632.659999996</v>
      </c>
      <c r="J7" s="182">
        <v>122021331.04999998</v>
      </c>
      <c r="K7" s="182">
        <v>125053427.64999999</v>
      </c>
      <c r="L7" s="182">
        <v>116342017.78000002</v>
      </c>
      <c r="M7" s="182">
        <v>117283627.60000001</v>
      </c>
      <c r="N7" s="182">
        <v>95781753.159999996</v>
      </c>
      <c r="O7" s="182">
        <v>142429369.22999999</v>
      </c>
      <c r="P7" s="182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16">
        <v>3335894492.1291356</v>
      </c>
      <c r="D3" s="316"/>
      <c r="E3" s="309">
        <v>3516156889.9792166</v>
      </c>
      <c r="F3" s="310"/>
      <c r="G3" s="310"/>
      <c r="H3" s="311"/>
    </row>
    <row r="4" spans="2:13" ht="13.5" thickTop="1">
      <c r="E4" s="83"/>
      <c r="F4" s="83"/>
      <c r="G4" s="82"/>
      <c r="H4" s="82"/>
    </row>
    <row r="5" spans="2:13" ht="13.5" thickBot="1">
      <c r="E5" s="164"/>
      <c r="F5" s="164"/>
      <c r="G5" s="164"/>
      <c r="H5" s="164"/>
    </row>
    <row r="6" spans="2:13" ht="13.5" thickTop="1">
      <c r="B6" t="s">
        <v>127</v>
      </c>
      <c r="C6" s="307">
        <v>2013</v>
      </c>
      <c r="D6" s="308"/>
      <c r="E6" s="307" t="s">
        <v>393</v>
      </c>
      <c r="F6" s="308"/>
      <c r="G6" s="307" t="s">
        <v>427</v>
      </c>
      <c r="H6" s="308"/>
      <c r="I6" s="307" t="s">
        <v>441</v>
      </c>
      <c r="J6" s="308"/>
    </row>
    <row r="7" spans="2:13" ht="13.5" thickBot="1">
      <c r="C7" s="88" t="str">
        <f>+E7</f>
        <v>mil. €</v>
      </c>
      <c r="D7" s="89" t="str">
        <f>+F7</f>
        <v>% BDP</v>
      </c>
      <c r="E7" s="88" t="s">
        <v>263</v>
      </c>
      <c r="F7" s="89" t="s">
        <v>150</v>
      </c>
      <c r="G7" s="88" t="s">
        <v>263</v>
      </c>
      <c r="H7" s="89" t="s">
        <v>150</v>
      </c>
      <c r="I7" s="184" t="s">
        <v>263</v>
      </c>
      <c r="J7" s="184" t="s">
        <v>442</v>
      </c>
    </row>
    <row r="8" spans="2:13" ht="14.25" thickTop="1" thickBot="1">
      <c r="B8" s="90" t="s">
        <v>128</v>
      </c>
      <c r="C8" s="165">
        <f>C9+C17+C22+C27+C34+C39</f>
        <v>1235146379.48</v>
      </c>
      <c r="D8" s="92">
        <f>C8/C$3*100</f>
        <v>37.025942588839719</v>
      </c>
      <c r="E8" s="165">
        <f>+E9+E17+E22+E27+E34+E39+E40</f>
        <v>1276056399.4371703</v>
      </c>
      <c r="F8" s="92">
        <f>E8/E$3*100</f>
        <v>36.291224748071834</v>
      </c>
      <c r="G8" s="162">
        <f>+G9+G17+G22+G27+G34+G39+G40</f>
        <v>1316333669.0867703</v>
      </c>
      <c r="H8" s="92">
        <f>G8/E$3*100</f>
        <v>37.436716002014087</v>
      </c>
      <c r="I8" s="162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4">
        <f>SUM(C10:C16)</f>
        <v>755696459.51000011</v>
      </c>
      <c r="D9" s="95">
        <f t="shared" ref="D9:D72" si="0">C9/C$3*100</f>
        <v>22.653488031261944</v>
      </c>
      <c r="E9" s="154">
        <f>+SUM(E10:E16)</f>
        <v>797828901.35953081</v>
      </c>
      <c r="F9" s="96">
        <f t="shared" ref="F9:F73" si="1">E9/E$3*100</f>
        <v>22.690366963808792</v>
      </c>
      <c r="G9" s="154">
        <f>+SUM(G10:G16)</f>
        <v>819077478.06873</v>
      </c>
      <c r="H9" s="96">
        <f t="shared" ref="H9:H72" si="2">G9/E$3*100</f>
        <v>23.294679495190881</v>
      </c>
      <c r="I9" s="154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5">
        <v>95618433.909999996</v>
      </c>
      <c r="D10" s="98">
        <f t="shared" si="0"/>
        <v>2.8663506635358695</v>
      </c>
      <c r="E10" s="155">
        <v>96011654.614494905</v>
      </c>
      <c r="F10" s="98">
        <f t="shared" si="1"/>
        <v>2.7305850568875618</v>
      </c>
      <c r="G10" s="156">
        <v>96781150.729929999</v>
      </c>
      <c r="H10" s="98">
        <f t="shared" si="2"/>
        <v>2.7524696354064582</v>
      </c>
      <c r="I10" s="156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6">
        <v>40638726.390000008</v>
      </c>
      <c r="D11" s="98">
        <f t="shared" si="0"/>
        <v>1.2182257708055488</v>
      </c>
      <c r="E11" s="156">
        <v>44395641.531501003</v>
      </c>
      <c r="F11" s="98">
        <f t="shared" si="1"/>
        <v>1.2626183336137604</v>
      </c>
      <c r="G11" s="156">
        <v>50018934.706970006</v>
      </c>
      <c r="H11" s="98">
        <f t="shared" si="2"/>
        <v>1.4225455880401758</v>
      </c>
      <c r="I11" s="156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6">
        <v>1440565.3199999998</v>
      </c>
      <c r="D12" s="98">
        <f t="shared" si="0"/>
        <v>4.318377944503151E-2</v>
      </c>
      <c r="E12" s="156">
        <v>1544536.6728920399</v>
      </c>
      <c r="F12" s="98">
        <f t="shared" si="1"/>
        <v>4.3926841754241781E-2</v>
      </c>
      <c r="G12" s="156">
        <v>1489198.0023599996</v>
      </c>
      <c r="H12" s="98">
        <f t="shared" si="2"/>
        <v>4.2353002125818169E-2</v>
      </c>
      <c r="I12" s="156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5">
        <v>429195069.32999998</v>
      </c>
      <c r="D13" s="98">
        <f t="shared" si="0"/>
        <v>12.865966544885122</v>
      </c>
      <c r="E13" s="155">
        <v>455945630.52919102</v>
      </c>
      <c r="F13" s="98">
        <f t="shared" si="1"/>
        <v>12.967158315051353</v>
      </c>
      <c r="G13" s="156">
        <v>473642045.78458995</v>
      </c>
      <c r="H13" s="98">
        <f t="shared" si="2"/>
        <v>13.470446871538474</v>
      </c>
      <c r="I13" s="156">
        <f t="shared" si="3"/>
        <v>17696415.255398929</v>
      </c>
      <c r="J13" s="98">
        <f t="shared" si="4"/>
        <v>3.8812555862986784</v>
      </c>
      <c r="L13" s="156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6">
        <v>161445470.17000002</v>
      </c>
      <c r="D14" s="98">
        <f t="shared" si="0"/>
        <v>4.8396455748502225</v>
      </c>
      <c r="E14" s="156">
        <v>171111988.52539012</v>
      </c>
      <c r="F14" s="98">
        <f t="shared" si="1"/>
        <v>4.8664491909631922</v>
      </c>
      <c r="G14" s="156">
        <v>169158715.98390999</v>
      </c>
      <c r="H14" s="98">
        <f t="shared" si="2"/>
        <v>4.8108978432105705</v>
      </c>
      <c r="I14" s="156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6">
        <v>22269382.640000001</v>
      </c>
      <c r="D15" s="98">
        <f t="shared" si="0"/>
        <v>0.66756855447746977</v>
      </c>
      <c r="E15" s="156">
        <v>23735353.696558259</v>
      </c>
      <c r="F15" s="98">
        <f t="shared" si="1"/>
        <v>0.67503682114419394</v>
      </c>
      <c r="G15" s="156">
        <v>22781578.440719999</v>
      </c>
      <c r="H15" s="98">
        <f t="shared" si="2"/>
        <v>0.64791131776985811</v>
      </c>
      <c r="I15" s="156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6">
        <v>5088811.75</v>
      </c>
      <c r="D16" s="98">
        <f t="shared" si="0"/>
        <v>0.15254714326267749</v>
      </c>
      <c r="E16" s="156">
        <v>5084095.7895035082</v>
      </c>
      <c r="F16" s="98">
        <f t="shared" si="1"/>
        <v>0.14459240439449103</v>
      </c>
      <c r="G16" s="156">
        <v>5205854.4202499995</v>
      </c>
      <c r="H16" s="98">
        <f t="shared" si="2"/>
        <v>0.14805523709952459</v>
      </c>
      <c r="I16" s="156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6">
        <f>SUM(C18:C21)</f>
        <v>398494284.19</v>
      </c>
      <c r="D17" s="96">
        <f t="shared" si="0"/>
        <v>11.94565011364196</v>
      </c>
      <c r="E17" s="154">
        <f>+SUM(E18:E21)</f>
        <v>397823173.70918262</v>
      </c>
      <c r="F17" s="96">
        <f t="shared" si="1"/>
        <v>11.314147410286179</v>
      </c>
      <c r="G17" s="154">
        <f>+SUM(G18:G21)</f>
        <v>417559652.73636997</v>
      </c>
      <c r="H17" s="96">
        <f t="shared" si="2"/>
        <v>11.87545566940951</v>
      </c>
      <c r="I17" s="154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6">
        <v>241949355.72999999</v>
      </c>
      <c r="D18" s="98">
        <f t="shared" si="0"/>
        <v>7.2529079172277937</v>
      </c>
      <c r="E18" s="156">
        <v>234882396.70208701</v>
      </c>
      <c r="F18" s="98">
        <f t="shared" si="1"/>
        <v>6.6800886323213922</v>
      </c>
      <c r="G18" s="156">
        <v>254875867.28178996</v>
      </c>
      <c r="H18" s="98">
        <f t="shared" si="2"/>
        <v>7.2487057676000486</v>
      </c>
      <c r="I18" s="156">
        <f t="shared" si="3"/>
        <v>19993470.579702944</v>
      </c>
      <c r="J18" s="98">
        <f t="shared" si="4"/>
        <v>8.5121196225963445</v>
      </c>
      <c r="L18" s="156">
        <f>+G18-C18</f>
        <v>12926511.551789969</v>
      </c>
    </row>
    <row r="19" spans="2:12">
      <c r="B19" s="97" t="s">
        <v>23</v>
      </c>
      <c r="C19" s="156">
        <v>134703897.09</v>
      </c>
      <c r="D19" s="98">
        <f t="shared" si="0"/>
        <v>4.038014313936686</v>
      </c>
      <c r="E19" s="156">
        <v>138667298.82084399</v>
      </c>
      <c r="F19" s="98">
        <f t="shared" si="1"/>
        <v>3.9437176201106214</v>
      </c>
      <c r="G19" s="156">
        <v>139196347.37307</v>
      </c>
      <c r="H19" s="98">
        <f t="shared" si="2"/>
        <v>3.9587638358734543</v>
      </c>
      <c r="I19" s="156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6">
        <v>10770190.189999999</v>
      </c>
      <c r="D20" s="98">
        <f t="shared" si="0"/>
        <v>0.32285763879558199</v>
      </c>
      <c r="E20" s="156">
        <v>11617385.520490499</v>
      </c>
      <c r="F20" s="98">
        <f t="shared" si="1"/>
        <v>0.33040008975706336</v>
      </c>
      <c r="G20" s="156">
        <v>11434714.104369998</v>
      </c>
      <c r="H20" s="98">
        <f t="shared" si="2"/>
        <v>0.3252048888079504</v>
      </c>
      <c r="I20" s="156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6">
        <v>11070841.180000002</v>
      </c>
      <c r="D21" s="98">
        <f t="shared" si="0"/>
        <v>0.33187024368189877</v>
      </c>
      <c r="E21" s="155">
        <v>12656092.6657611</v>
      </c>
      <c r="F21" s="98">
        <f t="shared" si="1"/>
        <v>0.3599410680971038</v>
      </c>
      <c r="G21" s="156">
        <v>12052723.97714</v>
      </c>
      <c r="H21" s="98">
        <f t="shared" si="2"/>
        <v>0.34278117712805589</v>
      </c>
      <c r="I21" s="156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4">
        <f>SUM(C23:C26)</f>
        <v>27069458</v>
      </c>
      <c r="D22" s="96">
        <f t="shared" si="0"/>
        <v>0.81146025642804165</v>
      </c>
      <c r="E22" s="154">
        <f>+SUM(E23:E26)</f>
        <v>20923047.198280636</v>
      </c>
      <c r="F22" s="96">
        <f t="shared" si="1"/>
        <v>0.59505442598166625</v>
      </c>
      <c r="G22" s="154">
        <f>+SUM(G23:G26)</f>
        <v>19923047.198280636</v>
      </c>
      <c r="H22" s="96">
        <f t="shared" si="2"/>
        <v>0.56661428433582772</v>
      </c>
      <c r="I22" s="154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6">
        <v>7881462.9399999995</v>
      </c>
      <c r="D23" s="98">
        <f t="shared" si="0"/>
        <v>0.23626235657620134</v>
      </c>
      <c r="E23" s="156">
        <v>8144616.5029747505</v>
      </c>
      <c r="F23" s="98">
        <f t="shared" si="1"/>
        <v>0.23163404699563594</v>
      </c>
      <c r="G23" s="156">
        <v>8144616.5029747505</v>
      </c>
      <c r="H23" s="98">
        <f t="shared" si="2"/>
        <v>0.23163404699563594</v>
      </c>
      <c r="I23" s="156">
        <f t="shared" si="3"/>
        <v>0</v>
      </c>
      <c r="J23" s="98">
        <f t="shared" si="4"/>
        <v>0</v>
      </c>
    </row>
    <row r="24" spans="2:12">
      <c r="B24" s="97" t="s">
        <v>32</v>
      </c>
      <c r="C24" s="156">
        <v>4557791.26</v>
      </c>
      <c r="D24" s="98">
        <f t="shared" si="0"/>
        <v>0.13662875941531916</v>
      </c>
      <c r="E24" s="156">
        <v>3676083.5729169641</v>
      </c>
      <c r="F24" s="98">
        <f t="shared" si="1"/>
        <v>0.10454833751569864</v>
      </c>
      <c r="G24" s="156">
        <v>5176083.5729169641</v>
      </c>
      <c r="H24" s="98">
        <f t="shared" si="2"/>
        <v>0.14720854998445643</v>
      </c>
      <c r="I24" s="156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6">
        <v>767936.98999999987</v>
      </c>
      <c r="D25" s="98">
        <f t="shared" si="0"/>
        <v>2.3020422013103413E-2</v>
      </c>
      <c r="E25" s="156">
        <v>762511.44191594806</v>
      </c>
      <c r="F25" s="98">
        <f t="shared" si="1"/>
        <v>2.1685933414662142E-2</v>
      </c>
      <c r="G25" s="156">
        <v>762511.44191594806</v>
      </c>
      <c r="H25" s="98">
        <f t="shared" si="2"/>
        <v>2.1685933414662142E-2</v>
      </c>
      <c r="I25" s="156">
        <f t="shared" si="3"/>
        <v>0</v>
      </c>
      <c r="J25" s="98">
        <f t="shared" si="4"/>
        <v>0</v>
      </c>
    </row>
    <row r="26" spans="2:12">
      <c r="B26" s="97" t="s">
        <v>37</v>
      </c>
      <c r="C26" s="155">
        <v>13862266.809999999</v>
      </c>
      <c r="D26" s="98">
        <f t="shared" si="0"/>
        <v>0.41554871842341756</v>
      </c>
      <c r="E26" s="155">
        <v>8339835.6804729737</v>
      </c>
      <c r="F26" s="98">
        <f t="shared" si="1"/>
        <v>0.23718610805566953</v>
      </c>
      <c r="G26" s="155">
        <v>5839835.6804729737</v>
      </c>
      <c r="H26" s="98">
        <f t="shared" si="2"/>
        <v>0.16608575394107319</v>
      </c>
      <c r="I26" s="155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4">
        <f>SUM(C28:C33)</f>
        <v>13233490.18</v>
      </c>
      <c r="D27" s="96">
        <f t="shared" si="0"/>
        <v>0.39669990196703492</v>
      </c>
      <c r="E27" s="154">
        <f>+SUM(E28:E33)</f>
        <v>13024243.76827177</v>
      </c>
      <c r="F27" s="96">
        <f t="shared" si="1"/>
        <v>0.37041133759957889</v>
      </c>
      <c r="G27" s="154">
        <f>+SUM(G28:G33)</f>
        <v>12724243.76827177</v>
      </c>
      <c r="H27" s="96">
        <f t="shared" si="2"/>
        <v>0.36187929510582734</v>
      </c>
      <c r="I27" s="154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6">
        <v>647266.8600000001</v>
      </c>
      <c r="D28" s="98">
        <f t="shared" si="0"/>
        <v>1.9403097475870164E-2</v>
      </c>
      <c r="E28" s="156">
        <v>698651.48499726248</v>
      </c>
      <c r="F28" s="98">
        <f t="shared" si="1"/>
        <v>1.9869747194397578E-2</v>
      </c>
      <c r="G28" s="156">
        <v>698651.48499726248</v>
      </c>
      <c r="H28" s="98">
        <f t="shared" si="2"/>
        <v>1.9869747194397578E-2</v>
      </c>
      <c r="I28" s="156">
        <f t="shared" si="3"/>
        <v>0</v>
      </c>
      <c r="J28" s="98">
        <f t="shared" si="4"/>
        <v>0</v>
      </c>
    </row>
    <row r="29" spans="2:12">
      <c r="B29" s="97" t="s">
        <v>42</v>
      </c>
      <c r="C29" s="156">
        <v>1995183.6300000001</v>
      </c>
      <c r="D29" s="98">
        <f t="shared" si="0"/>
        <v>5.9809554370125591E-2</v>
      </c>
      <c r="E29" s="156">
        <v>1997965.7673730874</v>
      </c>
      <c r="F29" s="98">
        <f t="shared" si="1"/>
        <v>5.6822429427627073E-2</v>
      </c>
      <c r="G29" s="156">
        <v>1997965.7673730874</v>
      </c>
      <c r="H29" s="98">
        <f t="shared" si="2"/>
        <v>5.6822429427627073E-2</v>
      </c>
      <c r="I29" s="156">
        <f t="shared" si="3"/>
        <v>0</v>
      </c>
      <c r="J29" s="98">
        <f t="shared" si="4"/>
        <v>0</v>
      </c>
    </row>
    <row r="30" spans="2:12">
      <c r="B30" s="97" t="s">
        <v>45</v>
      </c>
      <c r="C30" s="156">
        <v>309851.25</v>
      </c>
      <c r="D30" s="98">
        <f t="shared" si="0"/>
        <v>9.2884007791936302E-3</v>
      </c>
      <c r="E30" s="156">
        <v>424373.88097611902</v>
      </c>
      <c r="F30" s="98">
        <f t="shared" si="1"/>
        <v>1.2069253285755047E-2</v>
      </c>
      <c r="G30" s="156">
        <v>424373.88097611902</v>
      </c>
      <c r="H30" s="98">
        <f t="shared" si="2"/>
        <v>1.2069253285755047E-2</v>
      </c>
      <c r="I30" s="156">
        <f t="shared" si="3"/>
        <v>0</v>
      </c>
      <c r="J30" s="98">
        <f t="shared" si="4"/>
        <v>0</v>
      </c>
    </row>
    <row r="31" spans="2:12">
      <c r="B31" s="97" t="s">
        <v>47</v>
      </c>
      <c r="C31" s="156">
        <v>3324177.16</v>
      </c>
      <c r="D31" s="98">
        <f t="shared" si="0"/>
        <v>9.9648749918296836E-2</v>
      </c>
      <c r="E31" s="156">
        <v>3266343.0516235088</v>
      </c>
      <c r="F31" s="98">
        <f t="shared" si="1"/>
        <v>9.2895259052073062E-2</v>
      </c>
      <c r="G31" s="156">
        <v>3666343.0516235088</v>
      </c>
      <c r="H31" s="98">
        <f t="shared" si="2"/>
        <v>0.10427131571040847</v>
      </c>
      <c r="I31" s="156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6">
        <v>3659024.1899999995</v>
      </c>
      <c r="D32" s="98">
        <f t="shared" si="0"/>
        <v>0.10968644837638813</v>
      </c>
      <c r="E32" s="156">
        <v>3355752.0175728933</v>
      </c>
      <c r="F32" s="98">
        <f t="shared" si="1"/>
        <v>9.5438062708081514E-2</v>
      </c>
      <c r="G32" s="156">
        <v>3355752.0175728933</v>
      </c>
      <c r="H32" s="98">
        <f t="shared" si="2"/>
        <v>9.5438062708081514E-2</v>
      </c>
      <c r="I32" s="156">
        <f t="shared" si="3"/>
        <v>0</v>
      </c>
      <c r="J32" s="98">
        <f t="shared" si="4"/>
        <v>0</v>
      </c>
    </row>
    <row r="33" spans="2:10">
      <c r="B33" s="97" t="s">
        <v>51</v>
      </c>
      <c r="C33" s="156">
        <v>3297987.09</v>
      </c>
      <c r="D33" s="98">
        <f t="shared" si="0"/>
        <v>9.8863651047160633E-2</v>
      </c>
      <c r="E33" s="156">
        <v>3281157.5657288986</v>
      </c>
      <c r="F33" s="98">
        <f t="shared" si="1"/>
        <v>9.331658593164463E-2</v>
      </c>
      <c r="G33" s="156">
        <v>2581157.5657288986</v>
      </c>
      <c r="H33" s="98">
        <f t="shared" si="2"/>
        <v>7.340848677955765E-2</v>
      </c>
      <c r="I33" s="156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4">
        <f>SUM(C35:C38)</f>
        <v>33088194.540000003</v>
      </c>
      <c r="D34" s="96">
        <f t="shared" si="0"/>
        <v>0.99188372468223518</v>
      </c>
      <c r="E34" s="154">
        <f>+SUM(E35:E38)</f>
        <v>31410770.914738216</v>
      </c>
      <c r="F34" s="96">
        <f t="shared" si="1"/>
        <v>0.89332677402013982</v>
      </c>
      <c r="G34" s="154">
        <f>+SUM(G35:G38)</f>
        <v>31310770.914738216</v>
      </c>
      <c r="H34" s="96">
        <f t="shared" si="2"/>
        <v>0.89048275985555603</v>
      </c>
      <c r="I34" s="154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6">
        <v>6034873.3200000003</v>
      </c>
      <c r="D35" s="98">
        <f t="shared" si="0"/>
        <v>0.18090719998006413</v>
      </c>
      <c r="E35" s="156">
        <v>5533606.7424404304</v>
      </c>
      <c r="F35" s="98">
        <f t="shared" si="1"/>
        <v>0.15737655956737298</v>
      </c>
      <c r="G35" s="156">
        <v>6533606.7424404304</v>
      </c>
      <c r="H35" s="98">
        <f t="shared" si="2"/>
        <v>0.1858167012132115</v>
      </c>
      <c r="I35" s="156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6">
        <v>12316700.43</v>
      </c>
      <c r="D36" s="98">
        <f t="shared" si="0"/>
        <v>0.36921732563966259</v>
      </c>
      <c r="E36" s="156">
        <v>11824073.889814863</v>
      </c>
      <c r="F36" s="98">
        <f t="shared" si="1"/>
        <v>0.33627833625719566</v>
      </c>
      <c r="G36" s="156">
        <v>12424073.889814863</v>
      </c>
      <c r="H36" s="98">
        <f t="shared" si="2"/>
        <v>0.35334242124469878</v>
      </c>
      <c r="I36" s="156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6">
        <v>2179410.2600000002</v>
      </c>
      <c r="D37" s="98">
        <f t="shared" si="0"/>
        <v>6.5332110027526411E-2</v>
      </c>
      <c r="E37" s="156">
        <v>2220205.3434794326</v>
      </c>
      <c r="F37" s="98">
        <f t="shared" si="1"/>
        <v>6.3142954451402653E-2</v>
      </c>
      <c r="G37" s="156">
        <v>2220205.3434794326</v>
      </c>
      <c r="H37" s="98">
        <f t="shared" si="2"/>
        <v>6.3142954451402653E-2</v>
      </c>
      <c r="I37" s="156">
        <f t="shared" si="3"/>
        <v>0</v>
      </c>
      <c r="J37" s="98">
        <f t="shared" si="4"/>
        <v>0</v>
      </c>
    </row>
    <row r="38" spans="2:10">
      <c r="B38" s="97" t="s">
        <v>53</v>
      </c>
      <c r="C38" s="156">
        <v>12557210.530000001</v>
      </c>
      <c r="D38" s="98">
        <f t="shared" si="0"/>
        <v>0.37642708903498195</v>
      </c>
      <c r="E38" s="156">
        <v>11832884.939003492</v>
      </c>
      <c r="F38" s="98">
        <f t="shared" si="1"/>
        <v>0.33652892374416871</v>
      </c>
      <c r="G38" s="156">
        <v>10132884.939003492</v>
      </c>
      <c r="H38" s="98">
        <f t="shared" si="2"/>
        <v>0.28818068294624322</v>
      </c>
      <c r="I38" s="156">
        <f t="shared" si="3"/>
        <v>-1700000</v>
      </c>
      <c r="J38" s="98">
        <f t="shared" si="4"/>
        <v>-14.366741574545941</v>
      </c>
    </row>
    <row r="39" spans="2:10">
      <c r="B39" s="93" t="s">
        <v>255</v>
      </c>
      <c r="C39" s="154">
        <v>7564493.0600000005</v>
      </c>
      <c r="D39" s="96">
        <f t="shared" si="0"/>
        <v>0.22676056085850488</v>
      </c>
      <c r="E39" s="154">
        <v>7046262.4871663069</v>
      </c>
      <c r="F39" s="96">
        <f t="shared" si="1"/>
        <v>0.20039670320876826</v>
      </c>
      <c r="G39" s="154">
        <v>7738476.4003799995</v>
      </c>
      <c r="H39" s="96">
        <f t="shared" si="2"/>
        <v>0.22008336494978584</v>
      </c>
      <c r="I39" s="154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123</v>
      </c>
      <c r="C40" s="156">
        <v>6615451.54</v>
      </c>
      <c r="D40" s="98">
        <f t="shared" si="0"/>
        <v>0.19831117427750797</v>
      </c>
      <c r="E40" s="154">
        <v>8000000</v>
      </c>
      <c r="F40" s="96">
        <f t="shared" si="1"/>
        <v>0.22752113316670824</v>
      </c>
      <c r="G40" s="154">
        <v>8000000</v>
      </c>
      <c r="H40" s="96">
        <f t="shared" si="2"/>
        <v>0.22752113316670824</v>
      </c>
      <c r="I40" s="154">
        <f t="shared" si="3"/>
        <v>0</v>
      </c>
      <c r="J40" s="96">
        <f t="shared" si="4"/>
        <v>0</v>
      </c>
    </row>
    <row r="41" spans="2:10" ht="14.25" thickTop="1" thickBot="1">
      <c r="B41" s="90" t="s">
        <v>62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126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63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64</v>
      </c>
      <c r="C44" s="154">
        <v>366128508.17291778</v>
      </c>
      <c r="D44" s="96">
        <f t="shared" si="0"/>
        <v>10.975422305375018</v>
      </c>
      <c r="E44" s="154">
        <v>386488693.71999997</v>
      </c>
      <c r="F44" s="96">
        <f t="shared" si="1"/>
        <v>10.991793193911903</v>
      </c>
      <c r="G44" s="154">
        <v>386488693.71999997</v>
      </c>
      <c r="H44" s="96">
        <f t="shared" si="2"/>
        <v>10.991793193911903</v>
      </c>
      <c r="I44" s="154">
        <f t="shared" si="5"/>
        <v>0</v>
      </c>
      <c r="J44" s="96">
        <f t="shared" si="4"/>
        <v>0</v>
      </c>
    </row>
    <row r="45" spans="2:10">
      <c r="B45" s="93" t="s">
        <v>75</v>
      </c>
      <c r="C45" s="154">
        <v>12022159.040000001</v>
      </c>
      <c r="D45" s="96">
        <f t="shared" si="0"/>
        <v>0.36038786803256645</v>
      </c>
      <c r="E45" s="154">
        <v>11478163.960000001</v>
      </c>
      <c r="F45" s="96">
        <f t="shared" si="1"/>
        <v>0.3264406088565589</v>
      </c>
      <c r="G45" s="154">
        <v>11478163.960000001</v>
      </c>
      <c r="H45" s="96">
        <f t="shared" si="2"/>
        <v>0.3264406088565589</v>
      </c>
      <c r="I45" s="154">
        <f t="shared" si="5"/>
        <v>0</v>
      </c>
      <c r="J45" s="96">
        <f t="shared" si="4"/>
        <v>0</v>
      </c>
    </row>
    <row r="46" spans="2:10">
      <c r="B46" s="93" t="s">
        <v>429</v>
      </c>
      <c r="C46" s="154">
        <v>90442340.840000004</v>
      </c>
      <c r="D46" s="96">
        <f t="shared" si="0"/>
        <v>2.7111870910004456</v>
      </c>
      <c r="E46" s="154">
        <v>89210330.25999999</v>
      </c>
      <c r="F46" s="96">
        <f t="shared" si="1"/>
        <v>2.5371544288664349</v>
      </c>
      <c r="G46" s="154">
        <v>29295302.830000002</v>
      </c>
      <c r="H46" s="96">
        <f t="shared" si="2"/>
        <v>0.83316256204293437</v>
      </c>
      <c r="I46" s="154">
        <f t="shared" si="5"/>
        <v>-59915027.429999992</v>
      </c>
      <c r="J46" s="96">
        <f t="shared" si="4"/>
        <v>-67.161535278907735</v>
      </c>
    </row>
    <row r="47" spans="2:10">
      <c r="B47" s="93" t="s">
        <v>430</v>
      </c>
      <c r="C47" s="154"/>
      <c r="D47" s="96">
        <f t="shared" si="0"/>
        <v>0</v>
      </c>
      <c r="E47" s="154"/>
      <c r="F47" s="96">
        <f t="shared" si="1"/>
        <v>0</v>
      </c>
      <c r="G47" s="154">
        <v>40692845.799999997</v>
      </c>
      <c r="H47" s="96">
        <f t="shared" si="2"/>
        <v>1.1573102985242654</v>
      </c>
      <c r="I47" s="154">
        <f t="shared" si="5"/>
        <v>40692845.799999997</v>
      </c>
      <c r="J47" s="96" t="e">
        <f t="shared" si="4"/>
        <v>#DIV/0!</v>
      </c>
    </row>
    <row r="48" spans="2:10">
      <c r="B48" s="93" t="s">
        <v>431</v>
      </c>
      <c r="C48" s="154">
        <v>20416485.639999997</v>
      </c>
      <c r="D48" s="96">
        <f t="shared" si="0"/>
        <v>0.61202432175752564</v>
      </c>
      <c r="E48" s="154">
        <v>21655403.200000003</v>
      </c>
      <c r="F48" s="96">
        <f t="shared" si="1"/>
        <v>0.61588273440574504</v>
      </c>
      <c r="G48" s="154">
        <v>21655403.200000003</v>
      </c>
      <c r="H48" s="96">
        <f t="shared" si="2"/>
        <v>0.61588273440574504</v>
      </c>
      <c r="I48" s="154">
        <f t="shared" si="5"/>
        <v>0</v>
      </c>
      <c r="J48" s="96">
        <f t="shared" si="4"/>
        <v>0</v>
      </c>
    </row>
    <row r="49" spans="2:10">
      <c r="B49" s="93" t="s">
        <v>80</v>
      </c>
      <c r="C49" s="154">
        <v>67427730.789999992</v>
      </c>
      <c r="D49" s="96">
        <f t="shared" si="0"/>
        <v>2.0212788788462022</v>
      </c>
      <c r="E49" s="154">
        <v>73316123.120000005</v>
      </c>
      <c r="F49" s="96">
        <f t="shared" si="1"/>
        <v>2.0851209264565371</v>
      </c>
      <c r="G49" s="154">
        <v>73316123.120000005</v>
      </c>
      <c r="H49" s="96">
        <f t="shared" si="2"/>
        <v>2.0851209264565371</v>
      </c>
      <c r="I49" s="154">
        <f t="shared" si="5"/>
        <v>0</v>
      </c>
      <c r="J49" s="96">
        <f t="shared" si="4"/>
        <v>0</v>
      </c>
    </row>
    <row r="50" spans="2:10">
      <c r="B50" s="93" t="s">
        <v>82</v>
      </c>
      <c r="C50" s="154">
        <v>7928041.8100000005</v>
      </c>
      <c r="D50" s="96">
        <f t="shared" si="0"/>
        <v>0.23765864983757101</v>
      </c>
      <c r="E50" s="154">
        <v>8172802.1399999997</v>
      </c>
      <c r="F50" s="96">
        <f t="shared" si="1"/>
        <v>0.23243565050501225</v>
      </c>
      <c r="G50" s="154">
        <v>8172802.1399999997</v>
      </c>
      <c r="H50" s="96">
        <f t="shared" si="2"/>
        <v>0.23243565050501225</v>
      </c>
      <c r="I50" s="154">
        <f t="shared" si="5"/>
        <v>0</v>
      </c>
      <c r="J50" s="96">
        <f t="shared" si="4"/>
        <v>0</v>
      </c>
    </row>
    <row r="51" spans="2:10">
      <c r="B51" s="93" t="s">
        <v>84</v>
      </c>
      <c r="C51" s="154">
        <v>17426749.959999997</v>
      </c>
      <c r="D51" s="96">
        <f t="shared" si="0"/>
        <v>0.52240111313824467</v>
      </c>
      <c r="E51" s="154">
        <v>18874600</v>
      </c>
      <c r="F51" s="96">
        <f t="shared" si="1"/>
        <v>0.53679629750854385</v>
      </c>
      <c r="G51" s="154">
        <v>18874600</v>
      </c>
      <c r="H51" s="96">
        <f t="shared" si="2"/>
        <v>0.53679629750854385</v>
      </c>
      <c r="I51" s="154">
        <f t="shared" si="5"/>
        <v>0</v>
      </c>
      <c r="J51" s="96">
        <f t="shared" si="4"/>
        <v>0</v>
      </c>
    </row>
    <row r="52" spans="2:10">
      <c r="B52" s="93" t="s">
        <v>86</v>
      </c>
      <c r="C52" s="154">
        <v>6279093.0100000007</v>
      </c>
      <c r="D52" s="96">
        <f t="shared" si="0"/>
        <v>0.18822816563339112</v>
      </c>
      <c r="E52" s="154">
        <v>5827393.7300000023</v>
      </c>
      <c r="F52" s="96">
        <f t="shared" si="1"/>
        <v>0.16573190310727137</v>
      </c>
      <c r="G52" s="154">
        <v>25049575.370000001</v>
      </c>
      <c r="H52" s="96">
        <f t="shared" si="2"/>
        <v>0.71241347169090818</v>
      </c>
      <c r="I52" s="154">
        <f t="shared" si="5"/>
        <v>19222181.640000001</v>
      </c>
      <c r="J52" s="96">
        <f>+G52/E52*100-100</f>
        <v>329.85898208734892</v>
      </c>
    </row>
    <row r="53" spans="2:10">
      <c r="B53" s="93" t="s">
        <v>130</v>
      </c>
      <c r="C53" s="154">
        <v>12216538.75</v>
      </c>
      <c r="D53" s="160">
        <f t="shared" si="0"/>
        <v>0.36621478223679643</v>
      </c>
      <c r="E53" s="154"/>
      <c r="F53" s="160">
        <f t="shared" si="1"/>
        <v>0</v>
      </c>
      <c r="G53" s="154">
        <v>10502963.32</v>
      </c>
      <c r="H53" s="160">
        <f t="shared" si="2"/>
        <v>0.2987057645218465</v>
      </c>
      <c r="I53" s="154">
        <f t="shared" si="5"/>
        <v>10502963.32</v>
      </c>
      <c r="J53" s="160" t="e">
        <f t="shared" si="4"/>
        <v>#DIV/0!</v>
      </c>
    </row>
    <row r="54" spans="2:10">
      <c r="B54" s="93" t="s">
        <v>87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89</v>
      </c>
      <c r="C55" s="156">
        <v>64036543.990000002</v>
      </c>
      <c r="D55" s="98">
        <f t="shared" si="0"/>
        <v>1.919621383142986</v>
      </c>
      <c r="E55" s="156">
        <v>58645000</v>
      </c>
      <c r="F55" s="98">
        <f t="shared" si="1"/>
        <v>1.6678721068202007</v>
      </c>
      <c r="G55" s="156">
        <v>58645000</v>
      </c>
      <c r="H55" s="98">
        <f t="shared" si="2"/>
        <v>1.6678721068202007</v>
      </c>
      <c r="I55" s="156">
        <f t="shared" si="5"/>
        <v>0</v>
      </c>
      <c r="J55" s="98">
        <f t="shared" si="4"/>
        <v>0</v>
      </c>
    </row>
    <row r="56" spans="2:10">
      <c r="B56" s="97" t="s">
        <v>91</v>
      </c>
      <c r="C56" s="156">
        <v>13086355.520000001</v>
      </c>
      <c r="D56" s="98">
        <f t="shared" si="0"/>
        <v>0.39228925108022916</v>
      </c>
      <c r="E56" s="156">
        <v>20758124</v>
      </c>
      <c r="F56" s="98">
        <f t="shared" si="1"/>
        <v>0.59036398686188019</v>
      </c>
      <c r="G56" s="156">
        <v>20758124</v>
      </c>
      <c r="H56" s="98">
        <f t="shared" si="2"/>
        <v>0.59036398686188019</v>
      </c>
      <c r="I56" s="156">
        <f t="shared" si="5"/>
        <v>0</v>
      </c>
      <c r="J56" s="98">
        <f t="shared" si="4"/>
        <v>0</v>
      </c>
    </row>
    <row r="57" spans="2:10">
      <c r="B57" s="97" t="s">
        <v>93</v>
      </c>
      <c r="C57" s="156">
        <v>383190248.31999987</v>
      </c>
      <c r="D57" s="98">
        <f t="shared" si="0"/>
        <v>11.486881531298929</v>
      </c>
      <c r="E57" s="156">
        <v>397320274.96999997</v>
      </c>
      <c r="F57" s="98">
        <f t="shared" si="1"/>
        <v>11.299844898910312</v>
      </c>
      <c r="G57" s="156">
        <v>397320274.96999997</v>
      </c>
      <c r="H57" s="98">
        <f t="shared" si="2"/>
        <v>11.299844898910312</v>
      </c>
      <c r="I57" s="156">
        <f t="shared" si="5"/>
        <v>0</v>
      </c>
      <c r="J57" s="98">
        <f t="shared" si="4"/>
        <v>0</v>
      </c>
    </row>
    <row r="58" spans="2:10">
      <c r="B58" s="97" t="s">
        <v>95</v>
      </c>
      <c r="C58" s="156">
        <v>14792096.089999998</v>
      </c>
      <c r="D58" s="98">
        <f t="shared" si="0"/>
        <v>0.44342218031478986</v>
      </c>
      <c r="E58" s="156">
        <v>14500000</v>
      </c>
      <c r="F58" s="98">
        <f t="shared" si="1"/>
        <v>0.4123820538646587</v>
      </c>
      <c r="G58" s="156">
        <v>14500000</v>
      </c>
      <c r="H58" s="98">
        <f t="shared" si="2"/>
        <v>0.4123820538646587</v>
      </c>
      <c r="I58" s="156">
        <f t="shared" si="5"/>
        <v>0</v>
      </c>
      <c r="J58" s="98">
        <f t="shared" si="4"/>
        <v>0</v>
      </c>
    </row>
    <row r="59" spans="2:10">
      <c r="B59" s="97" t="s">
        <v>432</v>
      </c>
      <c r="C59" s="156">
        <v>7862525.3600000013</v>
      </c>
      <c r="D59" s="98">
        <f t="shared" si="0"/>
        <v>0.23569466536040659</v>
      </c>
      <c r="E59" s="156">
        <v>7000000</v>
      </c>
      <c r="F59" s="98">
        <f t="shared" si="1"/>
        <v>0.19908099152086972</v>
      </c>
      <c r="G59" s="156">
        <v>7000000</v>
      </c>
      <c r="H59" s="98">
        <f t="shared" si="2"/>
        <v>0.19908099152086972</v>
      </c>
      <c r="I59" s="156">
        <f t="shared" si="5"/>
        <v>0</v>
      </c>
      <c r="J59" s="98">
        <f t="shared" si="4"/>
        <v>0</v>
      </c>
    </row>
    <row r="60" spans="2:10">
      <c r="B60" s="93" t="s">
        <v>433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433</v>
      </c>
      <c r="C61" s="156">
        <v>94307106.209999993</v>
      </c>
      <c r="D61" s="98">
        <f t="shared" si="0"/>
        <v>2.8270410359953697</v>
      </c>
      <c r="E61" s="156">
        <v>101040047.61999999</v>
      </c>
      <c r="F61" s="98">
        <f t="shared" si="1"/>
        <v>2.8735932662150696</v>
      </c>
      <c r="G61" s="156">
        <v>101040047.61999999</v>
      </c>
      <c r="H61" s="98">
        <f t="shared" si="2"/>
        <v>2.8735932662150696</v>
      </c>
      <c r="I61" s="156">
        <f t="shared" si="5"/>
        <v>0</v>
      </c>
      <c r="J61" s="98">
        <f t="shared" si="4"/>
        <v>0</v>
      </c>
    </row>
    <row r="62" spans="2:10" ht="13.5" thickBot="1">
      <c r="B62" s="97" t="s">
        <v>434</v>
      </c>
      <c r="C62" s="156"/>
      <c r="D62" s="98">
        <f t="shared" si="0"/>
        <v>0</v>
      </c>
      <c r="E62" s="156"/>
      <c r="F62" s="98">
        <f t="shared" si="1"/>
        <v>0</v>
      </c>
      <c r="G62" s="156"/>
      <c r="H62" s="98">
        <f t="shared" si="2"/>
        <v>0</v>
      </c>
      <c r="I62" s="156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131</v>
      </c>
      <c r="C63" s="162">
        <v>61785502.860000007</v>
      </c>
      <c r="D63" s="92">
        <f t="shared" si="0"/>
        <v>1.8521419968700925</v>
      </c>
      <c r="E63" s="162">
        <v>101820500</v>
      </c>
      <c r="F63" s="92">
        <f t="shared" si="1"/>
        <v>2.8957894424501021</v>
      </c>
      <c r="G63" s="162">
        <v>101820500</v>
      </c>
      <c r="H63" s="92">
        <f t="shared" si="2"/>
        <v>2.8957894424501021</v>
      </c>
      <c r="I63" s="162">
        <f t="shared" si="5"/>
        <v>0</v>
      </c>
      <c r="J63" s="92">
        <f t="shared" si="4"/>
        <v>0</v>
      </c>
    </row>
    <row r="64" spans="2:10" ht="13.5" thickTop="1">
      <c r="B64" s="93" t="s">
        <v>111</v>
      </c>
      <c r="C64" s="154">
        <v>2752781.9799999995</v>
      </c>
      <c r="D64" s="96">
        <f t="shared" si="0"/>
        <v>8.2520055310353516E-2</v>
      </c>
      <c r="E64" s="154">
        <v>2140000</v>
      </c>
      <c r="F64" s="96">
        <f t="shared" si="1"/>
        <v>6.0861903122094448E-2</v>
      </c>
      <c r="G64" s="154">
        <v>2140000</v>
      </c>
      <c r="H64" s="96">
        <f t="shared" si="2"/>
        <v>6.0861903122094448E-2</v>
      </c>
      <c r="I64" s="154">
        <f t="shared" si="5"/>
        <v>0</v>
      </c>
      <c r="J64" s="96">
        <f t="shared" si="4"/>
        <v>0</v>
      </c>
    </row>
    <row r="65" spans="2:10" ht="13.5" thickBot="1">
      <c r="B65" s="93" t="s">
        <v>118</v>
      </c>
      <c r="C65" s="154">
        <v>14126844.789999999</v>
      </c>
      <c r="D65" s="96">
        <f t="shared" si="0"/>
        <v>0.42347996386970665</v>
      </c>
      <c r="E65" s="154">
        <v>8854649.7699999996</v>
      </c>
      <c r="F65" s="96">
        <f t="shared" si="1"/>
        <v>0.25182749368309154</v>
      </c>
      <c r="G65" s="154">
        <v>8854649.7699999996</v>
      </c>
      <c r="H65" s="96">
        <f t="shared" si="2"/>
        <v>0.25182749368309154</v>
      </c>
      <c r="I65" s="154">
        <f t="shared" si="5"/>
        <v>0</v>
      </c>
      <c r="J65" s="96">
        <f t="shared" si="4"/>
        <v>0</v>
      </c>
    </row>
    <row r="66" spans="2:10" ht="14.25" thickTop="1" thickBot="1">
      <c r="B66" s="148" t="s">
        <v>113</v>
      </c>
      <c r="C66" s="163">
        <v>107239350.92999999</v>
      </c>
      <c r="D66" s="150">
        <f t="shared" si="0"/>
        <v>3.2147105126683559</v>
      </c>
      <c r="E66" s="163">
        <v>0</v>
      </c>
      <c r="F66" s="150">
        <f t="shared" si="1"/>
        <v>0</v>
      </c>
      <c r="G66" s="163">
        <v>5153201.26</v>
      </c>
      <c r="H66" s="150">
        <f t="shared" si="2"/>
        <v>0.14655777376391357</v>
      </c>
      <c r="I66" s="163">
        <f t="shared" si="5"/>
        <v>5153201.26</v>
      </c>
      <c r="J66" s="150" t="e">
        <f t="shared" si="4"/>
        <v>#DIV/0!</v>
      </c>
    </row>
    <row r="67" spans="2:10" ht="14.25" thickTop="1" thickBot="1">
      <c r="B67" s="183" t="s">
        <v>152</v>
      </c>
      <c r="C67" s="154">
        <v>0</v>
      </c>
      <c r="D67" s="96">
        <f t="shared" si="0"/>
        <v>0</v>
      </c>
      <c r="E67" s="154">
        <v>0</v>
      </c>
      <c r="F67" s="96">
        <f t="shared" si="1"/>
        <v>0</v>
      </c>
      <c r="G67" s="154">
        <v>0</v>
      </c>
      <c r="H67" s="96">
        <f t="shared" si="2"/>
        <v>0</v>
      </c>
      <c r="I67" s="154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132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133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135</v>
      </c>
      <c r="C71" s="156">
        <v>112695950.91</v>
      </c>
      <c r="D71" s="98">
        <f t="shared" si="0"/>
        <v>3.3782828316632929</v>
      </c>
      <c r="E71" s="156">
        <v>30008345.27</v>
      </c>
      <c r="F71" s="98">
        <f t="shared" si="1"/>
        <v>0.8534415900360286</v>
      </c>
      <c r="G71" s="156">
        <v>30008345.27</v>
      </c>
      <c r="H71" s="98">
        <f t="shared" si="2"/>
        <v>0.8534415900360286</v>
      </c>
      <c r="I71" s="156">
        <f t="shared" si="5"/>
        <v>0</v>
      </c>
      <c r="J71" s="98">
        <f t="shared" si="4"/>
        <v>0</v>
      </c>
    </row>
    <row r="72" spans="2:10">
      <c r="B72" s="97" t="s">
        <v>137</v>
      </c>
      <c r="C72" s="156">
        <v>68802905.489999995</v>
      </c>
      <c r="D72" s="98">
        <f t="shared" si="0"/>
        <v>2.0625024458158605</v>
      </c>
      <c r="E72" s="156">
        <v>108080400.25</v>
      </c>
      <c r="F72" s="98">
        <f t="shared" si="1"/>
        <v>3.073821892248922</v>
      </c>
      <c r="G72" s="156">
        <v>108080400.25</v>
      </c>
      <c r="H72" s="98">
        <f t="shared" si="2"/>
        <v>3.073821892248922</v>
      </c>
      <c r="I72" s="156">
        <f t="shared" si="5"/>
        <v>0</v>
      </c>
      <c r="J72" s="98">
        <f t="shared" si="4"/>
        <v>0</v>
      </c>
    </row>
    <row r="73" spans="2:10" ht="13.5" thickBot="1">
      <c r="B73" s="97" t="s">
        <v>116</v>
      </c>
      <c r="C73" s="156">
        <v>60278571.609999992</v>
      </c>
      <c r="D73" s="98">
        <f t="shared" ref="D73:D79" si="6">C73/C$3*100</f>
        <v>1.8069687681137414</v>
      </c>
      <c r="E73" s="156">
        <v>33338159.969999999</v>
      </c>
      <c r="F73" s="98">
        <f t="shared" si="1"/>
        <v>0.94814199175842395</v>
      </c>
      <c r="G73" s="156">
        <v>33338159.969999999</v>
      </c>
      <c r="H73" s="98">
        <f t="shared" ref="H73:H79" si="7">G73/E$3*100</f>
        <v>0.94814199175842395</v>
      </c>
      <c r="I73" s="156">
        <f t="shared" si="5"/>
        <v>0</v>
      </c>
      <c r="J73" s="98">
        <f t="shared" si="4"/>
        <v>0</v>
      </c>
    </row>
    <row r="74" spans="2:10" ht="14.25" thickTop="1" thickBot="1">
      <c r="B74" s="90" t="s">
        <v>141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121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144</v>
      </c>
      <c r="C76" s="156">
        <v>102834751.84999999</v>
      </c>
      <c r="D76" s="98">
        <f t="shared" si="6"/>
        <v>3.0826739902186082</v>
      </c>
      <c r="E76" s="156">
        <v>0</v>
      </c>
      <c r="F76" s="98">
        <f t="shared" si="8"/>
        <v>0</v>
      </c>
      <c r="G76" s="185">
        <v>0</v>
      </c>
      <c r="H76" s="186">
        <f t="shared" si="7"/>
        <v>0</v>
      </c>
      <c r="I76" s="156">
        <f t="shared" si="9"/>
        <v>0</v>
      </c>
      <c r="J76" s="98" t="e">
        <f t="shared" si="10"/>
        <v>#DIV/0!</v>
      </c>
    </row>
    <row r="77" spans="2:10">
      <c r="B77" s="97" t="s">
        <v>122</v>
      </c>
      <c r="C77" s="156">
        <v>230537476.81999999</v>
      </c>
      <c r="D77" s="98">
        <f t="shared" si="6"/>
        <v>6.910814396676539</v>
      </c>
      <c r="E77" s="156">
        <v>227975575.86282945</v>
      </c>
      <c r="F77" s="98">
        <f t="shared" si="8"/>
        <v>6.4836576693304764</v>
      </c>
      <c r="G77" s="185">
        <v>227975575.86282945</v>
      </c>
      <c r="H77" s="186">
        <f t="shared" si="7"/>
        <v>6.4836576693304764</v>
      </c>
      <c r="I77" s="156">
        <f t="shared" si="9"/>
        <v>0</v>
      </c>
      <c r="J77" s="98">
        <f t="shared" si="10"/>
        <v>0</v>
      </c>
    </row>
    <row r="78" spans="2:10" ht="13.5" thickBot="1">
      <c r="B78" s="103" t="s">
        <v>329</v>
      </c>
      <c r="C78" s="156">
        <v>11948846.35</v>
      </c>
      <c r="D78" s="104">
        <f t="shared" si="6"/>
        <v>0.35819017592410862</v>
      </c>
      <c r="E78" s="156">
        <v>5000000</v>
      </c>
      <c r="F78" s="104">
        <f t="shared" si="8"/>
        <v>0.14220070822919265</v>
      </c>
      <c r="G78" s="185">
        <v>5000000</v>
      </c>
      <c r="H78" s="186">
        <f t="shared" si="7"/>
        <v>0.14220070822919265</v>
      </c>
      <c r="I78" s="156">
        <f t="shared" si="9"/>
        <v>0</v>
      </c>
      <c r="J78" s="104">
        <f t="shared" si="10"/>
        <v>0</v>
      </c>
    </row>
    <row r="79" spans="2:10" ht="14.25" thickTop="1" thickBot="1">
      <c r="B79" s="148" t="s">
        <v>125</v>
      </c>
      <c r="C79" s="149">
        <f>-C74-SUM(C76:C78)</f>
        <v>24776977.5729177</v>
      </c>
      <c r="D79" s="150">
        <f t="shared" si="6"/>
        <v>0.74273864570290371</v>
      </c>
      <c r="E79" s="149">
        <f>-E74-SUM(E76:E78)</f>
        <v>-10502963.319999933</v>
      </c>
      <c r="F79" s="150">
        <f t="shared" si="8"/>
        <v>-0.29870576452184461</v>
      </c>
      <c r="G79" s="187">
        <f>-G74-SUM(G76:G78)</f>
        <v>-27124068.379600048</v>
      </c>
      <c r="H79" s="188">
        <f t="shared" si="7"/>
        <v>-0.77141234672723535</v>
      </c>
      <c r="I79" s="149">
        <f t="shared" si="9"/>
        <v>-16621105.059600115</v>
      </c>
      <c r="J79" s="150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445</v>
      </c>
      <c r="E4">
        <v>2015</v>
      </c>
      <c r="F4">
        <v>2016</v>
      </c>
      <c r="G4">
        <v>2017</v>
      </c>
    </row>
    <row r="5" spans="3:7">
      <c r="C5" t="s">
        <v>443</v>
      </c>
      <c r="D5" s="182">
        <v>-26424601.993229389</v>
      </c>
      <c r="E5" s="182">
        <v>-24569497.372829676</v>
      </c>
      <c r="F5" s="182">
        <v>33498994.005818129</v>
      </c>
      <c r="G5" s="182">
        <v>103834080.12588143</v>
      </c>
    </row>
    <row r="6" spans="3:7">
      <c r="C6" t="s">
        <v>444</v>
      </c>
      <c r="D6" s="182">
        <v>-51424601.993229389</v>
      </c>
      <c r="E6" s="182">
        <v>-149569497.37282968</v>
      </c>
      <c r="F6" s="182">
        <v>-191501005.99418187</v>
      </c>
      <c r="G6" s="182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Gold</cp:lastModifiedBy>
  <cp:lastPrinted>2015-06-03T11:56:51Z</cp:lastPrinted>
  <dcterms:created xsi:type="dcterms:W3CDTF">2008-03-17T08:49:23Z</dcterms:created>
  <dcterms:modified xsi:type="dcterms:W3CDTF">2015-09-25T09:37:47Z</dcterms:modified>
</cp:coreProperties>
</file>