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always" codeName="ThisWorkbook" defaultThemeVersion="124226"/>
  <mc:AlternateContent xmlns:mc="http://schemas.openxmlformats.org/markup-compatibility/2006">
    <mc:Choice Requires="x15">
      <x15ac:absPath xmlns:x15ac="http://schemas.microsoft.com/office/spreadsheetml/2010/11/ac" url="C:\Users\owner\Desktop\Za slanje\Konsolidovani\"/>
    </mc:Choice>
  </mc:AlternateContent>
  <workbookProtection workbookAlgorithmName="SHA-512" workbookHashValue="U0Zt6j3MJMiX083PeojI5Oir6JWHxlEDlMR+Z+pmAn5B5Y9btdZxnk4nGoLRhk2v/MuU3/84UU5jeSV30ev7fw==" workbookSaltValue="7mTQf/fELNkj/k3gvkzHUQ==" workbookSpinCount="100000" lockStructure="1"/>
  <bookViews>
    <workbookView xWindow="0" yWindow="0" windowWidth="15525" windowHeight="705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I60" i="43" l="1"/>
  <c r="I38" i="43"/>
  <c r="I37" i="43" s="1"/>
  <c r="I30" i="43"/>
  <c r="I19" i="43"/>
  <c r="I12" i="43"/>
  <c r="I7" i="43"/>
  <c r="I6" i="43" l="1"/>
  <c r="I59" i="43" s="1"/>
  <c r="I55" i="43" l="1"/>
  <c r="I57" i="43" s="1"/>
  <c r="I66" i="43" s="1"/>
  <c r="I73" i="43" s="1"/>
  <c r="I67" i="43" s="1"/>
  <c r="I58" i="43"/>
  <c r="C12" i="43" l="1"/>
  <c r="E12" i="43" l="1"/>
  <c r="E30" i="43" l="1"/>
  <c r="E7" i="43"/>
  <c r="E19" i="43"/>
  <c r="C2" i="43" l="1"/>
  <c r="D70" i="43" s="1"/>
  <c r="C20" i="10" l="1"/>
  <c r="K24" i="43" l="1"/>
  <c r="L24" i="43"/>
  <c r="D12" i="43" l="1"/>
  <c r="I67" i="10" l="1"/>
  <c r="I55" i="44" l="1"/>
  <c r="J55" i="44" s="1"/>
  <c r="E55" i="44"/>
  <c r="C55" i="44"/>
  <c r="L65" i="43"/>
  <c r="K65" i="43"/>
  <c r="H65" i="43"/>
  <c r="G65" i="43"/>
  <c r="J71" i="10"/>
  <c r="K71" i="10"/>
  <c r="L71" i="10"/>
  <c r="F71" i="10"/>
  <c r="G71" i="10"/>
  <c r="H71" i="10"/>
  <c r="D71" i="10"/>
  <c r="L55" i="44" l="1"/>
  <c r="G55" i="44"/>
  <c r="K55" i="44"/>
  <c r="H55" i="44"/>
  <c r="L71" i="43"/>
  <c r="K71" i="43"/>
  <c r="H71" i="43"/>
  <c r="G71" i="43"/>
  <c r="I61" i="44"/>
  <c r="J61" i="44" s="1"/>
  <c r="E61" i="44"/>
  <c r="C61" i="44"/>
  <c r="I2" i="43"/>
  <c r="J24" i="43" s="1"/>
  <c r="E2" i="43"/>
  <c r="F24" i="43" s="1"/>
  <c r="D25" i="43" l="1"/>
  <c r="D22" i="43"/>
  <c r="D23" i="43"/>
  <c r="J71" i="43"/>
  <c r="J65" i="43"/>
  <c r="F71" i="43"/>
  <c r="F65" i="43"/>
  <c r="D71" i="43"/>
  <c r="D65" i="43"/>
  <c r="K61" i="44"/>
  <c r="H61" i="44"/>
  <c r="L61" i="44"/>
  <c r="G61" i="44"/>
  <c r="L77" i="10" l="1"/>
  <c r="K77" i="10"/>
  <c r="J77" i="10"/>
  <c r="H77" i="10"/>
  <c r="G77" i="10"/>
  <c r="F77" i="10"/>
  <c r="D77" i="10"/>
  <c r="H59" i="10" l="1"/>
  <c r="E67" i="10"/>
  <c r="H60" i="10" l="1"/>
  <c r="J58" i="10" l="1"/>
  <c r="C67" i="10" l="1"/>
  <c r="D68" i="10" l="1"/>
  <c r="F68" i="10"/>
  <c r="I43" i="44" l="1"/>
  <c r="C38" i="43" l="1"/>
  <c r="C37" i="43" s="1"/>
  <c r="E38" i="43"/>
  <c r="E37" i="43" s="1"/>
  <c r="J74" i="10" l="1"/>
  <c r="J75" i="10"/>
  <c r="J76" i="10"/>
  <c r="I53" i="44" l="1"/>
  <c r="E60" i="43" l="1"/>
  <c r="C60" i="43"/>
  <c r="C51" i="44"/>
  <c r="E43" i="44"/>
  <c r="C43" i="44"/>
  <c r="F56" i="43" l="1"/>
  <c r="K68" i="10" l="1"/>
  <c r="K69" i="10"/>
  <c r="C8" i="44" l="1"/>
  <c r="I54" i="44" l="1"/>
  <c r="E54" i="44"/>
  <c r="C54" i="44"/>
  <c r="C7" i="10" l="1"/>
  <c r="C15" i="10"/>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58" i="44" l="1"/>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70" i="43"/>
  <c r="K70" i="43"/>
  <c r="J70" i="43"/>
  <c r="H70" i="43"/>
  <c r="G70" i="43"/>
  <c r="F70" i="43"/>
  <c r="L69" i="43"/>
  <c r="K69" i="43"/>
  <c r="J69" i="43"/>
  <c r="H69" i="43"/>
  <c r="G69" i="43"/>
  <c r="F69" i="43"/>
  <c r="D69" i="43"/>
  <c r="L68" i="43"/>
  <c r="K68" i="43"/>
  <c r="J68" i="43"/>
  <c r="H68" i="43"/>
  <c r="G68" i="43"/>
  <c r="F68" i="43"/>
  <c r="D68"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K35" i="43"/>
  <c r="J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J30" i="43"/>
  <c r="F30" i="43"/>
  <c r="C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J19" i="43"/>
  <c r="F19" i="43"/>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L11" i="43"/>
  <c r="K11" i="43"/>
  <c r="J11" i="43"/>
  <c r="H11" i="43"/>
  <c r="G11" i="43"/>
  <c r="F11" i="43"/>
  <c r="D11" i="43"/>
  <c r="L10" i="43"/>
  <c r="K10" i="43"/>
  <c r="J10" i="43"/>
  <c r="H10" i="43"/>
  <c r="G10" i="43"/>
  <c r="F10" i="43"/>
  <c r="D10" i="43"/>
  <c r="L8" i="43"/>
  <c r="K8" i="43"/>
  <c r="J8" i="43"/>
  <c r="H8" i="43"/>
  <c r="G8" i="43"/>
  <c r="F8" i="43"/>
  <c r="D8" i="43"/>
  <c r="C7" i="43"/>
  <c r="K7" i="43" l="1"/>
  <c r="C6" i="43"/>
  <c r="C55" i="43" s="1"/>
  <c r="E6" i="43"/>
  <c r="F14" i="46"/>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L74" i="10"/>
  <c r="K75" i="10"/>
  <c r="L75" i="10"/>
  <c r="K76" i="10"/>
  <c r="L76" i="10"/>
  <c r="G74" i="10"/>
  <c r="G75" i="10"/>
  <c r="G76" i="10"/>
  <c r="H74" i="10"/>
  <c r="H75" i="10"/>
  <c r="H76" i="10"/>
  <c r="F74" i="10"/>
  <c r="F75" i="10"/>
  <c r="F76" i="10"/>
  <c r="D74" i="10"/>
  <c r="D75" i="10"/>
  <c r="D76" i="10"/>
  <c r="J6" i="43" l="1"/>
  <c r="J59" i="43"/>
  <c r="F6" i="43"/>
  <c r="E59" i="43"/>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58"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F59" i="43" l="1"/>
  <c r="F18" i="46"/>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J55" i="43"/>
  <c r="K55" i="43"/>
  <c r="G55" i="43"/>
  <c r="C57" i="43"/>
  <c r="C66" i="43" s="1"/>
  <c r="C73" i="43" s="1"/>
  <c r="C67"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E66" i="43" l="1"/>
  <c r="C66" i="10"/>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K57" i="43"/>
  <c r="H57" i="43"/>
  <c r="G57" i="43"/>
  <c r="L57" i="43"/>
  <c r="D57" i="43"/>
  <c r="J57" i="43"/>
  <c r="J58" i="43"/>
  <c r="F57" i="43"/>
  <c r="E58" i="43"/>
  <c r="E62" i="10"/>
  <c r="K39" i="10"/>
  <c r="H39" i="10"/>
  <c r="D39" i="10"/>
  <c r="D14" i="46" s="1"/>
  <c r="G39" i="10"/>
  <c r="L39" i="10"/>
  <c r="J6" i="10"/>
  <c r="I62" i="10"/>
  <c r="L6" i="10"/>
  <c r="K6" i="10"/>
  <c r="H6" i="10"/>
  <c r="D6" i="10"/>
  <c r="D10" i="46" s="1"/>
  <c r="G6" i="10"/>
  <c r="E73" i="43" l="1"/>
  <c r="F58" i="43"/>
  <c r="C64" i="10"/>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F62" i="10"/>
  <c r="L62" i="10"/>
  <c r="H62" i="10"/>
  <c r="D62" i="10"/>
  <c r="D18" i="46" s="1"/>
  <c r="K62" i="10"/>
  <c r="G62" i="10"/>
  <c r="J62" i="10"/>
  <c r="I64" i="10"/>
  <c r="H66" i="10"/>
  <c r="L66" i="10"/>
  <c r="D66" i="10"/>
  <c r="E67" i="43" l="1"/>
  <c r="E78" i="10"/>
  <c r="E73" i="10" s="1"/>
  <c r="I72" i="10"/>
  <c r="C73" i="10"/>
  <c r="C65" i="10"/>
  <c r="D45" i="44"/>
  <c r="J18" i="46" s="1"/>
  <c r="G45" i="44"/>
  <c r="I18" i="46"/>
  <c r="C47" i="44"/>
  <c r="L45" i="44"/>
  <c r="K45" i="44"/>
  <c r="K49" i="44"/>
  <c r="H49" i="44"/>
  <c r="L49" i="44"/>
  <c r="J45" i="44"/>
  <c r="I47" i="44"/>
  <c r="I56" i="44" s="1"/>
  <c r="H45" i="44"/>
  <c r="G49" i="44"/>
  <c r="E47" i="44"/>
  <c r="E56" i="44" s="1"/>
  <c r="E63" i="44" s="1"/>
  <c r="F45" i="44"/>
  <c r="F73" i="43"/>
  <c r="F67" i="43"/>
  <c r="J73" i="43"/>
  <c r="J67" i="43"/>
  <c r="J64" i="10"/>
  <c r="I65" i="10"/>
  <c r="J65" i="10" s="1"/>
  <c r="H64" i="10"/>
  <c r="D64" i="10"/>
  <c r="G64" i="10"/>
  <c r="K64" i="10"/>
  <c r="L64" i="10"/>
  <c r="F64" i="10"/>
  <c r="E65" i="10"/>
  <c r="I78" i="10" l="1"/>
  <c r="I73" i="10" s="1"/>
  <c r="J73" i="10" s="1"/>
  <c r="L72" i="10"/>
  <c r="J72" i="10"/>
  <c r="I63" i="44"/>
  <c r="I57" i="44" s="1"/>
  <c r="C48" i="44"/>
  <c r="D48" i="44" s="1"/>
  <c r="C56" i="44"/>
  <c r="C63" i="44" s="1"/>
  <c r="C57" i="44" s="1"/>
  <c r="K72" i="10"/>
  <c r="D72" i="10"/>
  <c r="H47" i="44"/>
  <c r="D47" i="44"/>
  <c r="L47" i="44"/>
  <c r="K47" i="44"/>
  <c r="J47" i="44"/>
  <c r="I48" i="44"/>
  <c r="J48" i="44" s="1"/>
  <c r="G47" i="44"/>
  <c r="E48" i="44"/>
  <c r="F48" i="44" s="1"/>
  <c r="F47" i="44"/>
  <c r="D78" i="10"/>
  <c r="D65" i="10"/>
  <c r="H65" i="10"/>
  <c r="L65" i="10"/>
  <c r="K65" i="10"/>
  <c r="G65" i="10"/>
  <c r="F65" i="10"/>
  <c r="L78" i="10" l="1"/>
  <c r="J78" i="10"/>
  <c r="D56" i="44"/>
  <c r="K78" i="10"/>
  <c r="G48" i="44"/>
  <c r="D63" i="44"/>
  <c r="G56" i="44"/>
  <c r="E57" i="44"/>
  <c r="K56" i="44"/>
  <c r="L48" i="44"/>
  <c r="H48" i="44"/>
  <c r="K48" i="44"/>
  <c r="J56" i="44"/>
  <c r="L56" i="44"/>
  <c r="H56" i="44"/>
  <c r="F56" i="44"/>
  <c r="K73" i="10"/>
  <c r="D73" i="10"/>
  <c r="L73" i="10"/>
  <c r="L63" i="44" l="1"/>
  <c r="D57" i="44"/>
  <c r="H63" i="44"/>
  <c r="K63" i="44"/>
  <c r="J63" i="44"/>
  <c r="J57" i="44"/>
  <c r="F63" i="44"/>
  <c r="F57" i="44"/>
  <c r="G63" i="44"/>
  <c r="L57" i="44" l="1"/>
  <c r="K57" i="44"/>
  <c r="G57" i="44"/>
  <c r="H57" i="44"/>
  <c r="K73" i="43"/>
  <c r="L73" i="43"/>
  <c r="H73" i="43"/>
  <c r="D73" i="43"/>
  <c r="K67" i="43"/>
  <c r="G73" i="43"/>
  <c r="D67" i="43" l="1"/>
  <c r="L67" i="43"/>
  <c r="G67" i="43"/>
  <c r="H67" i="43"/>
  <c r="G72" i="10"/>
  <c r="F72" i="10"/>
  <c r="H72" i="10"/>
  <c r="G73" i="10" l="1"/>
  <c r="H73" i="10"/>
  <c r="F73" i="10"/>
  <c r="G78" i="10"/>
  <c r="H78" i="10"/>
  <c r="F78" i="10"/>
</calcChain>
</file>

<file path=xl/sharedStrings.xml><?xml version="1.0" encoding="utf-8"?>
<sst xmlns="http://schemas.openxmlformats.org/spreadsheetml/2006/main" count="473" uniqueCount="195">
  <si>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</si>
  <si>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</si>
  <si>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</si>
  <si>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</si>
  <si>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</si>
  <si>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</si>
  <si>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</si>
  <si>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</si>
  <si>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</si>
  <si>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</si>
  <si>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</si>
  <si>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</si>
  <si>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</si>
  <si>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</si>
  <si>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</si>
  <si>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</si>
  <si>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</si>
  <si>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</si>
  <si>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</si>
  <si>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</si>
  <si>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</si>
  <si>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</si>
  <si>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</si>
  <si>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</si>
  <si>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</si>
  <si>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</si>
  <si>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</si>
  <si>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</si>
  <si>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</si>
  <si>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</si>
  <si>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</si>
  <si>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</si>
  <si>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</si>
  <si>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</si>
  <si>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</si>
  <si>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</si>
  <si>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</si>
  <si>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</si>
  <si>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</si>
  <si>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</si>
  <si>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</si>
  <si>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</si>
  <si>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</si>
  <si>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</si>
  <si>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</si>
  <si>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</si>
  <si>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</si>
  <si>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</si>
  <si>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</si>
  <si>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</si>
  <si>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</si>
  <si>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</si>
  <si>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</si>
  <si>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</si>
  <si>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</si>
  <si>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</si>
  <si>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</si>
  <si>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</si>
  <si>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</si>
  <si>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</si>
  <si>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</si>
  <si>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</si>
  <si>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</si>
  <si>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</si>
  <si>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</si>
  <si>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</si>
  <si>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</si>
  <si>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</si>
  <si>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</si>
  <si>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</si>
  <si>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</si>
  <si>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</si>
  <si>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</si>
  <si>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</si>
  <si>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</si>
  <si>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</si>
  <si>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</si>
  <si>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</si>
  <si>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</si>
  <si>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</si>
  <si>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</si>
  <si>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</si>
  <si>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</si>
  <si>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</si>
  <si>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</si>
  <si>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</si>
  <si>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</si>
  <si>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</si>
  <si>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</si>
  <si>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</si>
  <si>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</si>
  <si>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</si>
  <si>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</si>
  <si>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</si>
  <si>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</si>
  <si>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</si>
  <si>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</si>
  <si>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</si>
  <si>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</si>
  <si>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</si>
  <si>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</si>
  <si>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</si>
  <si>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</si>
  <si>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</si>
  <si>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</si>
  <si>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</si>
  <si>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</si>
  <si>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</si>
  <si>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</si>
  <si>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</si>
  <si>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</si>
  <si>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</si>
  <si>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</si>
  <si>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</si>
  <si>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</si>
  <si>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</si>
  <si>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</si>
  <si>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</si>
  <si>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</si>
  <si>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</si>
  <si>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</si>
  <si>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</si>
  <si>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</si>
  <si>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</si>
  <si>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</si>
  <si>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</si>
  <si>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</si>
  <si>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</si>
  <si>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</si>
  <si>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</si>
  <si>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</si>
  <si>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</si>
  <si>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</si>
  <si>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</si>
  <si>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</si>
  <si>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</si>
  <si>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</si>
  <si>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</si>
  <si>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</si>
  <si>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</si>
  <si>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</si>
  <si>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</si>
  <si>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</si>
  <si>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</si>
  <si>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</si>
  <si>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</si>
  <si>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</si>
  <si>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</si>
  <si>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</si>
  <si>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</si>
  <si>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</si>
  <si>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</si>
  <si>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</si>
  <si>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</si>
  <si>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</si>
  <si>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</si>
  <si>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</si>
  <si>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</si>
  <si>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</si>
  <si>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</si>
  <si>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</si>
  <si>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</si>
  <si>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</si>
  <si>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</si>
  <si>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</si>
  <si>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</si>
  <si>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</si>
  <si>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</si>
  <si>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</si>
  <si>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</si>
  <si>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</si>
  <si>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</si>
  <si>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</si>
  <si>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</si>
  <si>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</si>
  <si>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</si>
  <si>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</si>
  <si>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</si>
  <si>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</si>
  <si>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</si>
  <si>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</si>
  <si>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</si>
  <si>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</si>
  <si>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</si>
  <si>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</si>
  <si>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</si>
  <si>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</si>
  <si>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</si>
  <si>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</si>
  <si>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71175</t>
  </si>
  <si>
    <t>Prirez porezu na dohodak fizičkih lica</t>
  </si>
  <si>
    <t>Q3 2024</t>
  </si>
  <si>
    <t>Plan Q3 2024</t>
  </si>
  <si>
    <t>Q3  2023</t>
  </si>
  <si>
    <t>Q3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</si>
</sst>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_(* \(#,##0.00\);_(* &quot;-&quot;??_);_(@_)"/>
    <numFmt numFmtId="164" formatCode="_-* #,##0.00\ _€_-;\-* #,##0.00\ _€_-;_-* &quot;-&quot;??\ _€_-;_-@_-"/>
    <numFmt numFmtId="165" formatCode="0.0,,"/>
    <numFmt numFmtId="166" formatCode="#,##0.0"/>
    <numFmt numFmtId="167" formatCode="&quot;   &quot;@"/>
    <numFmt numFmtId="168" formatCode="&quot;      &quot;@"/>
    <numFmt numFmtId="169" formatCode="&quot;         &quot;@"/>
    <numFmt numFmtId="170" formatCode="&quot;            &quot;@"/>
    <numFmt numFmtId="171" formatCode="[&gt;0.05]#,##0.0;[&lt;-0.05]\-#,##0.0;\-\-&quot; &quot;;"/>
    <numFmt numFmtId="172" formatCode="[&gt;0.5]#,##0;[&lt;-0.5]\-#,##0;\-\-&quot; &quot;;"/>
    <numFmt numFmtId="173" formatCode="[Black]#,##0.0;[Black]\-#,##0.0;;"/>
    <numFmt numFmtId="174" formatCode="#,##0.0,,"/>
    <numFmt numFmtId="175" formatCode="0.0"/>
    <numFmt numFmtId="176" formatCode="_-* #,##0.00\ &quot;RSD&quot;_-;\-* #,##0.00\ &quot;RSD&quot;_-;_-* &quot;-&quot;??\ &quot;RSD&quot;_-;_-@_-"/>
    <numFmt numFmtId="177" formatCode="[$-409]General"/>
    <numFmt numFmtId="178" formatCode="0.00,,"/>
    <numFmt numFmtId="179" formatCode="0.000000000000000000"/>
    <numFmt numFmtId="180" formatCode="_-* #,##0.00\ _D_i_n_._-;\-* #,##0.00\ _D_i_n_._-;_-* &quot;-&quot;??\ _D_i_n_._-;_-@_-"/>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1" fontId="5" fillId="0" borderId="0" applyFont="0" applyFill="0" applyBorder="0" applyAlignment="0" applyProtection="0"/>
    <xf numFmtId="172" fontId="5" fillId="0" borderId="0" applyFont="0" applyFill="0" applyBorder="0" applyAlignment="0" applyProtection="0"/>
    <xf numFmtId="166"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3" fontId="5" fillId="0" borderId="0" applyFont="0" applyFill="0" applyBorder="0" applyAlignment="0" applyProtection="0"/>
    <xf numFmtId="0" fontId="13" fillId="0" borderId="0"/>
    <xf numFmtId="0" fontId="3" fillId="0" borderId="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6" fontId="4" fillId="0" borderId="0" applyFont="0" applyFill="0" applyBorder="0" applyAlignment="0" applyProtection="0"/>
    <xf numFmtId="177"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0" fontId="14" fillId="0" borderId="0"/>
    <xf numFmtId="167" fontId="4" fillId="0" borderId="0" applyFont="0" applyFill="0" applyBorder="0" applyAlignment="0" applyProtection="0"/>
    <xf numFmtId="168"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3"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0" fontId="1" fillId="0" borderId="0" applyFont="0" applyFill="0" applyBorder="0" applyAlignment="0" applyProtection="0"/>
    <xf numFmtId="0" fontId="1" fillId="0" borderId="0"/>
    <xf numFmtId="0" fontId="1" fillId="0" borderId="0"/>
    <xf numFmtId="0" fontId="1" fillId="0" borderId="0"/>
    <xf numFmtId="0" fontId="1" fillId="0" borderId="0"/>
  </cellStyleXfs>
  <cellXfs count="136">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5"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5" fontId="18" fillId="0" borderId="0" xfId="0" applyNumberFormat="1" applyFont="1"/>
    <xf numFmtId="165"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5" fontId="18" fillId="5" borderId="1" xfId="0" applyNumberFormat="1" applyFont="1" applyFill="1" applyBorder="1"/>
    <xf numFmtId="0" fontId="18" fillId="0" borderId="5" xfId="0" applyFont="1" applyBorder="1"/>
    <xf numFmtId="0" fontId="18" fillId="0" borderId="1" xfId="0" applyFont="1" applyBorder="1"/>
    <xf numFmtId="165" fontId="18" fillId="0" borderId="1" xfId="0" applyNumberFormat="1" applyFont="1" applyBorder="1"/>
    <xf numFmtId="0" fontId="17" fillId="0" borderId="5" xfId="0" applyFont="1" applyBorder="1"/>
    <xf numFmtId="0" fontId="17" fillId="0" borderId="1" xfId="0" applyFont="1" applyBorder="1"/>
    <xf numFmtId="165" fontId="17" fillId="0" borderId="1" xfId="0" applyNumberFormat="1" applyFont="1" applyBorder="1"/>
    <xf numFmtId="0" fontId="18" fillId="0" borderId="7" xfId="0" applyFont="1" applyBorder="1"/>
    <xf numFmtId="0" fontId="18" fillId="0" borderId="8" xfId="0" applyFont="1" applyBorder="1"/>
    <xf numFmtId="165"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5" fontId="18" fillId="0" borderId="15" xfId="0" applyNumberFormat="1" applyFont="1" applyBorder="1"/>
    <xf numFmtId="0" fontId="18" fillId="3" borderId="5" xfId="0" applyFont="1" applyFill="1" applyBorder="1"/>
    <xf numFmtId="0" fontId="19" fillId="3" borderId="1" xfId="0" applyFont="1" applyFill="1" applyBorder="1"/>
    <xf numFmtId="165"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5" fontId="18" fillId="4" borderId="1" xfId="0" applyNumberFormat="1" applyFont="1" applyFill="1" applyBorder="1"/>
    <xf numFmtId="0" fontId="4" fillId="4" borderId="0" xfId="27" applyFont="1" applyFill="1"/>
    <xf numFmtId="175" fontId="18" fillId="5" borderId="1" xfId="0" applyNumberFormat="1" applyFont="1" applyFill="1" applyBorder="1"/>
    <xf numFmtId="175" fontId="18" fillId="0" borderId="1" xfId="0" applyNumberFormat="1" applyFont="1" applyBorder="1"/>
    <xf numFmtId="175" fontId="17" fillId="0" borderId="1" xfId="0" applyNumberFormat="1" applyFont="1" applyBorder="1"/>
    <xf numFmtId="175" fontId="18" fillId="0" borderId="8" xfId="0" applyNumberFormat="1" applyFont="1" applyBorder="1"/>
    <xf numFmtId="175" fontId="18" fillId="3" borderId="1" xfId="0" applyNumberFormat="1" applyFont="1" applyFill="1" applyBorder="1"/>
    <xf numFmtId="175"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4" fontId="23" fillId="6" borderId="21" xfId="0" applyNumberFormat="1" applyFont="1" applyFill="1" applyBorder="1" applyAlignment="1" applyProtection="1">
      <alignment vertical="center"/>
      <protection hidden="1"/>
    </xf>
    <xf numFmtId="175" fontId="23" fillId="6" borderId="1" xfId="0" applyNumberFormat="1" applyFont="1" applyFill="1" applyBorder="1" applyAlignment="1" applyProtection="1">
      <alignment vertical="center"/>
      <protection hidden="1"/>
    </xf>
    <xf numFmtId="174"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5"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75" fontId="4" fillId="0" borderId="0" xfId="27" applyNumberFormat="1" applyFont="1"/>
    <xf numFmtId="166" fontId="17" fillId="0" borderId="0" xfId="0" applyNumberFormat="1" applyFont="1"/>
    <xf numFmtId="166" fontId="17" fillId="0" borderId="0" xfId="27" applyNumberFormat="1" applyFont="1"/>
    <xf numFmtId="178" fontId="4" fillId="0" borderId="0" xfId="27" applyNumberFormat="1" applyFont="1"/>
    <xf numFmtId="165" fontId="4" fillId="0" borderId="0" xfId="27" applyNumberFormat="1" applyFont="1"/>
    <xf numFmtId="166" fontId="0" fillId="0" borderId="0" xfId="0" applyNumberFormat="1"/>
    <xf numFmtId="175"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175" fontId="18" fillId="5" borderId="1" xfId="0" applyNumberFormat="1" applyFont="1" applyFill="1" applyBorder="1" applyAlignment="1">
      <alignment horizontal="right"/>
    </xf>
    <xf numFmtId="175" fontId="17" fillId="0" borderId="1" xfId="0" applyNumberFormat="1" applyFont="1" applyBorder="1" applyAlignment="1">
      <alignment horizontal="right"/>
    </xf>
    <xf numFmtId="175"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5" fontId="18" fillId="3" borderId="1" xfId="0" applyNumberFormat="1" applyFont="1" applyFill="1" applyBorder="1" applyAlignment="1">
      <alignment horizontal="right"/>
    </xf>
    <xf numFmtId="0" fontId="18" fillId="0" borderId="1" xfId="27" applyFont="1" applyBorder="1" applyAlignment="1">
      <alignment horizontal="right"/>
    </xf>
    <xf numFmtId="175"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5" fontId="17" fillId="0" borderId="0" xfId="0" applyNumberFormat="1" applyFont="1" applyAlignment="1">
      <alignment horizontal="center"/>
    </xf>
    <xf numFmtId="0" fontId="17" fillId="0" borderId="5" xfId="0" applyFont="1" applyBorder="1" applyAlignment="1">
      <alignment horizontal="right"/>
    </xf>
    <xf numFmtId="165" fontId="17" fillId="0" borderId="1" xfId="0" applyNumberFormat="1" applyFont="1" applyFill="1" applyBorder="1"/>
    <xf numFmtId="165" fontId="18" fillId="0" borderId="1" xfId="0" applyNumberFormat="1" applyFont="1" applyFill="1" applyBorder="1"/>
    <xf numFmtId="165" fontId="17" fillId="0" borderId="1" xfId="27" applyNumberFormat="1" applyFont="1" applyFill="1" applyBorder="1" applyAlignment="1">
      <alignment horizontal="right"/>
    </xf>
    <xf numFmtId="175" fontId="18" fillId="0" borderId="1" xfId="0" applyNumberFormat="1" applyFont="1" applyFill="1" applyBorder="1"/>
    <xf numFmtId="175" fontId="18" fillId="0" borderId="1" xfId="0" applyNumberFormat="1" applyFont="1" applyFill="1" applyBorder="1" applyAlignment="1">
      <alignment horizontal="right"/>
    </xf>
    <xf numFmtId="0" fontId="17" fillId="0" borderId="1" xfId="0" applyFont="1" applyFill="1" applyBorder="1"/>
    <xf numFmtId="175" fontId="17" fillId="0" borderId="1" xfId="0" applyNumberFormat="1" applyFont="1" applyFill="1" applyBorder="1"/>
    <xf numFmtId="175" fontId="17" fillId="0" borderId="1" xfId="0" applyNumberFormat="1" applyFont="1" applyFill="1" applyBorder="1" applyAlignment="1">
      <alignment horizontal="right"/>
    </xf>
    <xf numFmtId="0" fontId="32" fillId="0" borderId="1" xfId="0" applyFont="1" applyFill="1" applyBorder="1"/>
    <xf numFmtId="178" fontId="18" fillId="0" borderId="1" xfId="0" applyNumberFormat="1" applyFont="1" applyFill="1" applyBorder="1" applyAlignment="1">
      <alignment horizontal="right"/>
    </xf>
    <xf numFmtId="165" fontId="18" fillId="0" borderId="15" xfId="0" applyNumberFormat="1" applyFont="1" applyFill="1" applyBorder="1"/>
    <xf numFmtId="165" fontId="18" fillId="0" borderId="8" xfId="0" applyNumberFormat="1" applyFont="1" applyFill="1" applyBorder="1"/>
    <xf numFmtId="165" fontId="17" fillId="0" borderId="1" xfId="28" applyNumberFormat="1" applyFont="1" applyFill="1" applyBorder="1" applyAlignment="1">
      <alignment horizontal="right"/>
    </xf>
    <xf numFmtId="0" fontId="20" fillId="6" borderId="0" xfId="0" applyFont="1" applyFill="1" applyBorder="1" applyAlignment="1" applyProtection="1">
      <alignment horizontal="center" vertical="center" wrapText="1"/>
      <protection hidden="1"/>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165" fontId="18" fillId="0" borderId="3" xfId="0" applyNumberFormat="1" applyFont="1" applyBorder="1" applyAlignment="1">
      <alignment horizontal="center"/>
    </xf>
    <xf numFmtId="165"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165" fontId="18" fillId="2" borderId="3" xfId="0" applyNumberFormat="1" applyFont="1" applyFill="1" applyBorder="1" applyAlignment="1">
      <alignment horizontal="center"/>
    </xf>
    <xf numFmtId="165" fontId="18" fillId="2" borderId="4" xfId="0" applyNumberFormat="1" applyFont="1" applyFill="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cellStyle name="1 indent 2" xfId="41"/>
    <cellStyle name="1 indent 3" xfId="140"/>
    <cellStyle name="2 indents" xfId="2"/>
    <cellStyle name="2 indents 2" xfId="42"/>
    <cellStyle name="2 indents 3" xfId="141"/>
    <cellStyle name="20% - Accent1 2" xfId="118"/>
    <cellStyle name="20% - Accent1 2 2" xfId="142"/>
    <cellStyle name="20% - Accent1 3" xfId="263"/>
    <cellStyle name="20% - Accent1 4" xfId="82"/>
    <cellStyle name="20% - Accent2 2" xfId="120"/>
    <cellStyle name="20% - Accent2 2 2" xfId="143"/>
    <cellStyle name="20% - Accent2 3" xfId="265"/>
    <cellStyle name="20% - Accent2 4" xfId="86"/>
    <cellStyle name="20% - Accent3 2" xfId="122"/>
    <cellStyle name="20% - Accent3 2 2" xfId="144"/>
    <cellStyle name="20% - Accent3 3" xfId="267"/>
    <cellStyle name="20% - Accent3 4" xfId="90"/>
    <cellStyle name="20% - Accent4 2" xfId="124"/>
    <cellStyle name="20% - Accent4 2 2" xfId="145"/>
    <cellStyle name="20% - Accent4 3" xfId="269"/>
    <cellStyle name="20% - Accent4 4" xfId="94"/>
    <cellStyle name="20% - Accent5 2" xfId="126"/>
    <cellStyle name="20% - Accent5 2 2" xfId="146"/>
    <cellStyle name="20% - Accent5 3" xfId="272"/>
    <cellStyle name="20% - Accent5 4" xfId="98"/>
    <cellStyle name="20% - Accent6 2" xfId="128"/>
    <cellStyle name="20% - Accent6 2 2" xfId="147"/>
    <cellStyle name="20% - Accent6 3" xfId="275"/>
    <cellStyle name="20% - Accent6 4" xfId="102"/>
    <cellStyle name="3 indents" xfId="3"/>
    <cellStyle name="3 indents 2" xfId="43"/>
    <cellStyle name="3 indents 3" xfId="148"/>
    <cellStyle name="4 indents" xfId="4"/>
    <cellStyle name="4 indents 2" xfId="44"/>
    <cellStyle name="4 indents 3" xfId="149"/>
    <cellStyle name="40% - Accent1 2" xfId="119"/>
    <cellStyle name="40% - Accent1 2 2" xfId="150"/>
    <cellStyle name="40% - Accent1 3" xfId="264"/>
    <cellStyle name="40% - Accent1 4" xfId="83"/>
    <cellStyle name="40% - Accent2 2" xfId="121"/>
    <cellStyle name="40% - Accent2 2 2" xfId="151"/>
    <cellStyle name="40% - Accent2 3" xfId="266"/>
    <cellStyle name="40% - Accent2 4" xfId="87"/>
    <cellStyle name="40% - Accent3 2" xfId="123"/>
    <cellStyle name="40% - Accent3 2 2" xfId="152"/>
    <cellStyle name="40% - Accent3 3" xfId="268"/>
    <cellStyle name="40% - Accent3 4" xfId="91"/>
    <cellStyle name="40% - Accent4 2" xfId="125"/>
    <cellStyle name="40% - Accent4 2 2" xfId="153"/>
    <cellStyle name="40% - Accent4 3" xfId="270"/>
    <cellStyle name="40% - Accent4 4" xfId="95"/>
    <cellStyle name="40% - Accent5 2" xfId="127"/>
    <cellStyle name="40% - Accent5 2 2" xfId="154"/>
    <cellStyle name="40% - Accent5 3" xfId="273"/>
    <cellStyle name="40% - Accent5 4" xfId="99"/>
    <cellStyle name="40% - Accent6 2" xfId="129"/>
    <cellStyle name="40% - Accent6 2 2" xfId="155"/>
    <cellStyle name="40% - Accent6 3" xfId="276"/>
    <cellStyle name="40% - Accent6 4" xfId="103"/>
    <cellStyle name="60% - Accent1 2" xfId="156"/>
    <cellStyle name="60% - Accent1 3" xfId="84"/>
    <cellStyle name="60% - Accent2 2" xfId="157"/>
    <cellStyle name="60% - Accent2 3" xfId="88"/>
    <cellStyle name="60% - Accent3 2" xfId="158"/>
    <cellStyle name="60% - Accent3 3" xfId="92"/>
    <cellStyle name="60% - Accent4 2" xfId="159"/>
    <cellStyle name="60% - Accent4 3" xfId="96"/>
    <cellStyle name="60% - Accent5 2" xfId="160"/>
    <cellStyle name="60% - Accent5 3" xfId="100"/>
    <cellStyle name="60% - Accent6 2" xfId="161"/>
    <cellStyle name="60% - Accent6 3" xfId="104"/>
    <cellStyle name="Accent1 2" xfId="162"/>
    <cellStyle name="Accent1 3" xfId="81"/>
    <cellStyle name="Accent2 2" xfId="163"/>
    <cellStyle name="Accent2 3" xfId="85"/>
    <cellStyle name="Accent3 2" xfId="164"/>
    <cellStyle name="Accent3 3" xfId="89"/>
    <cellStyle name="Accent4 2" xfId="165"/>
    <cellStyle name="Accent4 3" xfId="93"/>
    <cellStyle name="Accent5 2" xfId="166"/>
    <cellStyle name="Accent5 3" xfId="97"/>
    <cellStyle name="Accent6 2" xfId="167"/>
    <cellStyle name="Accent6 3" xfId="101"/>
    <cellStyle name="Bad 2" xfId="64"/>
    <cellStyle name="Bad 2 2" xfId="168"/>
    <cellStyle name="Bad 3" xfId="71"/>
    <cellStyle name="Calculation 2" xfId="169"/>
    <cellStyle name="Calculation 3" xfId="75"/>
    <cellStyle name="Check Cell 2" xfId="170"/>
    <cellStyle name="Check Cell 3" xfId="77"/>
    <cellStyle name="Comma 2" xfId="138"/>
    <cellStyle name="Comma 2 2" xfId="172"/>
    <cellStyle name="Comma 3" xfId="171"/>
    <cellStyle name="Comma 4" xfId="281"/>
    <cellStyle name="Comma 5" xfId="136"/>
    <cellStyle name="Currency 2" xfId="60"/>
    <cellStyle name="Date" xfId="5"/>
    <cellStyle name="Excel Built-in Normal" xfId="61"/>
    <cellStyle name="Excel Built-in Normal 2" xfId="174"/>
    <cellStyle name="Excel Built-in Normal 2 2" xfId="175"/>
    <cellStyle name="Excel Built-in Normal 2 3" xfId="176"/>
    <cellStyle name="Excel Built-in Normal 3" xfId="173"/>
    <cellStyle name="Explanatory Text 2" xfId="177"/>
    <cellStyle name="Explanatory Text 3" xfId="79"/>
    <cellStyle name="F2" xfId="6"/>
    <cellStyle name="F3" xfId="7"/>
    <cellStyle name="F4" xfId="8"/>
    <cellStyle name="F5" xfId="9"/>
    <cellStyle name="F6" xfId="10"/>
    <cellStyle name="F7" xfId="11"/>
    <cellStyle name="F8" xfId="12"/>
    <cellStyle name="Fixed" xfId="13"/>
    <cellStyle name="Good 2" xfId="178"/>
    <cellStyle name="Good 3" xfId="70"/>
    <cellStyle name="Heading 1 2" xfId="179"/>
    <cellStyle name="Heading 1 3" xfId="66"/>
    <cellStyle name="Heading 2 2" xfId="180"/>
    <cellStyle name="Heading 2 3" xfId="67"/>
    <cellStyle name="Heading 3 2" xfId="181"/>
    <cellStyle name="Heading 3 3" xfId="68"/>
    <cellStyle name="Heading 4 2" xfId="182"/>
    <cellStyle name="Heading 4 3" xfId="69"/>
    <cellStyle name="HEADING1" xfId="14"/>
    <cellStyle name="HEADING2" xfId="15"/>
    <cellStyle name="imf-one decimal" xfId="16"/>
    <cellStyle name="imf-one decimal 2" xfId="45"/>
    <cellStyle name="imf-one decimal 3" xfId="183"/>
    <cellStyle name="imf-zero decimal" xfId="17"/>
    <cellStyle name="imf-zero decimal 2" xfId="46"/>
    <cellStyle name="imf-zero decimal 3" xfId="184"/>
    <cellStyle name="Input 2" xfId="185"/>
    <cellStyle name="Input 3" xfId="73"/>
    <cellStyle name="Label" xfId="18"/>
    <cellStyle name="Linked Cell 2" xfId="186"/>
    <cellStyle name="Linked Cell 3" xfId="76"/>
    <cellStyle name="Neutral 2" xfId="187"/>
    <cellStyle name="Neutral 3" xfId="72"/>
    <cellStyle name="Normal" xfId="0" builtinId="0"/>
    <cellStyle name="Normal - Style1" xfId="19"/>
    <cellStyle name="Normal - Style2" xfId="20"/>
    <cellStyle name="Normal - Style3" xfId="21"/>
    <cellStyle name="Normal 10" xfId="22"/>
    <cellStyle name="Normal 10 2" xfId="54"/>
    <cellStyle name="Normal 10 2 2" xfId="254"/>
    <cellStyle name="Normal 11" xfId="23"/>
    <cellStyle name="Normal 11 2" xfId="55"/>
    <cellStyle name="Normal 11 2 2" xfId="255"/>
    <cellStyle name="Normal 12" xfId="24"/>
    <cellStyle name="Normal 12 2" xfId="56"/>
    <cellStyle name="Normal 12 2 2" xfId="256"/>
    <cellStyle name="Normal 13" xfId="40"/>
    <cellStyle name="Normal 13 2" xfId="63"/>
    <cellStyle name="Normal 14" xfId="105"/>
    <cellStyle name="Normal 14 2" xfId="257"/>
    <cellStyle name="Normal 15" xfId="25"/>
    <cellStyle name="Normal 15 2" xfId="107"/>
    <cellStyle name="Normal 16" xfId="26"/>
    <cellStyle name="Normal 16 2" xfId="130"/>
    <cellStyle name="Normal 16 2 2" xfId="189"/>
    <cellStyle name="Normal 16 3" xfId="190"/>
    <cellStyle name="Normal 16 4" xfId="188"/>
    <cellStyle name="Normal 16 5" xfId="111"/>
    <cellStyle name="Normal 17" xfId="113"/>
    <cellStyle name="Normal 17 2" xfId="131"/>
    <cellStyle name="Normal 17 2 2" xfId="192"/>
    <cellStyle name="Normal 17 3" xfId="193"/>
    <cellStyle name="Normal 17 4" xfId="191"/>
    <cellStyle name="Normal 18" xfId="114"/>
    <cellStyle name="Normal 19" xfId="109"/>
    <cellStyle name="Normal 19 2" xfId="132"/>
    <cellStyle name="Normal 19 2 2" xfId="195"/>
    <cellStyle name="Normal 19 3" xfId="196"/>
    <cellStyle name="Normal 19 4" xfId="194"/>
    <cellStyle name="Normal 2" xfId="27"/>
    <cellStyle name="Normal 2 10" xfId="198"/>
    <cellStyle name="Normal 2 11" xfId="197"/>
    <cellStyle name="Normal 2 2" xfId="28"/>
    <cellStyle name="Normal 2 2 2" xfId="59"/>
    <cellStyle name="Normal 2 2 2 2" xfId="200"/>
    <cellStyle name="Normal 2 2 3" xfId="201"/>
    <cellStyle name="Normal 2 2 4" xfId="199"/>
    <cellStyle name="Normal 2 3" xfId="202"/>
    <cellStyle name="Normal 2 3 2" xfId="203"/>
    <cellStyle name="Normal 2 3 3" xfId="204"/>
    <cellStyle name="Normal 2 4" xfId="205"/>
    <cellStyle name="Normal 2 4 2" xfId="206"/>
    <cellStyle name="Normal 2 4 3" xfId="207"/>
    <cellStyle name="Normal 2 5" xfId="208"/>
    <cellStyle name="Normal 2 5 2" xfId="209"/>
    <cellStyle name="Normal 2 5 3" xfId="210"/>
    <cellStyle name="Normal 2 6" xfId="211"/>
    <cellStyle name="Normal 2 6 2" xfId="212"/>
    <cellStyle name="Normal 2 6 3" xfId="213"/>
    <cellStyle name="Normal 2 7" xfId="214"/>
    <cellStyle name="Normal 2 7 2" xfId="215"/>
    <cellStyle name="Normal 2 7 3" xfId="216"/>
    <cellStyle name="Normal 2 8" xfId="217"/>
    <cellStyle name="Normal 2 8 2" xfId="218"/>
    <cellStyle name="Normal 2 8 3" xfId="219"/>
    <cellStyle name="Normal 2 9" xfId="220"/>
    <cellStyle name="Normal 20" xfId="108"/>
    <cellStyle name="Normal 21" xfId="110"/>
    <cellStyle name="Normal 22" xfId="112"/>
    <cellStyle name="Normal 23" xfId="115"/>
    <cellStyle name="Normal 24" xfId="116"/>
    <cellStyle name="Normal 25" xfId="137"/>
    <cellStyle name="Normal 26" xfId="139"/>
    <cellStyle name="Normal 27" xfId="258"/>
    <cellStyle name="Normal 28" xfId="262"/>
    <cellStyle name="Normal 29" xfId="274"/>
    <cellStyle name="Normal 3" xfId="29"/>
    <cellStyle name="Normal 3 2" xfId="221"/>
    <cellStyle name="Normal 3 2 2" xfId="222"/>
    <cellStyle name="Normal 3 2 3" xfId="223"/>
    <cellStyle name="Normal 3 3" xfId="224"/>
    <cellStyle name="Normal 3 3 2" xfId="225"/>
    <cellStyle name="Normal 3 3 3" xfId="226"/>
    <cellStyle name="Normal 3 4" xfId="227"/>
    <cellStyle name="Normal 3 4 2" xfId="228"/>
    <cellStyle name="Normal 3 4 3" xfId="229"/>
    <cellStyle name="Normal 3 5" xfId="230"/>
    <cellStyle name="Normal 3 5 2" xfId="231"/>
    <cellStyle name="Normal 3 5 3" xfId="232"/>
    <cellStyle name="Normal 3 6" xfId="233"/>
    <cellStyle name="Normal 3 6 2" xfId="234"/>
    <cellStyle name="Normal 3 6 3" xfId="235"/>
    <cellStyle name="Normal 3 7" xfId="236"/>
    <cellStyle name="Normal 3 7 2" xfId="237"/>
    <cellStyle name="Normal 3 7 3" xfId="238"/>
    <cellStyle name="Normal 3 8" xfId="239"/>
    <cellStyle name="Normal 3 8 2" xfId="240"/>
    <cellStyle name="Normal 3 8 3" xfId="241"/>
    <cellStyle name="Normal 30" xfId="271"/>
    <cellStyle name="Normal 31" xfId="260"/>
    <cellStyle name="Normal 32" xfId="261"/>
    <cellStyle name="Normal 33" xfId="279"/>
    <cellStyle name="Normal 34" xfId="285"/>
    <cellStyle name="Normal 35" xfId="283"/>
    <cellStyle name="Normal 36" xfId="284"/>
    <cellStyle name="Normal 37" xfId="282"/>
    <cellStyle name="Normal 38" xfId="62"/>
    <cellStyle name="Normal 4" xfId="30"/>
    <cellStyle name="Normal 4 2" xfId="57"/>
    <cellStyle name="Normal 4 2 2" xfId="243"/>
    <cellStyle name="Normal 4 2 3" xfId="133"/>
    <cellStyle name="Normal 4 3" xfId="48"/>
    <cellStyle name="Normal 4 3 2" xfId="244"/>
    <cellStyle name="Normal 4 4" xfId="242"/>
    <cellStyle name="Normal 4 5" xfId="259"/>
    <cellStyle name="Normal 48" xfId="31"/>
    <cellStyle name="Normal 5" xfId="32"/>
    <cellStyle name="Normal 5 2" xfId="49"/>
    <cellStyle name="Normal 5 2 2" xfId="135"/>
    <cellStyle name="Normal 5 3" xfId="245"/>
    <cellStyle name="Normal 5 4" xfId="280"/>
    <cellStyle name="Normal 6" xfId="33"/>
    <cellStyle name="Normal 6 2" xfId="50"/>
    <cellStyle name="Normal 7" xfId="34"/>
    <cellStyle name="Normal 7 2" xfId="51"/>
    <cellStyle name="Normal 7 2 2" xfId="252"/>
    <cellStyle name="Normal 7 3" xfId="277"/>
    <cellStyle name="Normal 8" xfId="35"/>
    <cellStyle name="Normal 8 2" xfId="52"/>
    <cellStyle name="Normal 9" xfId="36"/>
    <cellStyle name="Normal 9 2" xfId="53"/>
    <cellStyle name="Normal 9 2 2" xfId="253"/>
    <cellStyle name="Note 2" xfId="106"/>
    <cellStyle name="Note 2 2" xfId="246"/>
    <cellStyle name="Note 2 3" xfId="278"/>
    <cellStyle name="Note 3" xfId="117"/>
    <cellStyle name="Obično_KnjigaZIKS i Min pomorstva i saobracaja" xfId="37"/>
    <cellStyle name="Output 2" xfId="247"/>
    <cellStyle name="Output 3" xfId="74"/>
    <cellStyle name="Percent 2" xfId="58"/>
    <cellStyle name="percentage difference" xfId="38"/>
    <cellStyle name="percentage difference 2" xfId="47"/>
    <cellStyle name="percentage difference 3" xfId="248"/>
    <cellStyle name="Publication" xfId="39"/>
    <cellStyle name="Standard_Tabellenteil in EURO" xfId="134"/>
    <cellStyle name="Title 2" xfId="249"/>
    <cellStyle name="Title 3" xfId="65"/>
    <cellStyle name="Total 2" xfId="250"/>
    <cellStyle name="Total 3" xfId="80"/>
    <cellStyle name="Warning Text 2" xfId="251"/>
    <cellStyle name="Warning Text 3" xfId="7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a:t>
          </a:r>
          <a:r>
            <a:rPr lang="sr-Latn-ME" sz="1100" b="0" i="0" u="none" strike="noStrike" baseline="0">
              <a:solidFill>
                <a:schemeClr val="dk1"/>
              </a:solidFill>
              <a:effectLst/>
              <a:latin typeface="+mn-lt"/>
              <a:ea typeface="+mn-ea"/>
              <a:cs typeface="+mn-cs"/>
            </a:rPr>
            <a:t>4</a:t>
          </a:r>
          <a:r>
            <a:rPr lang="sr-Latn-CS" sz="1100" b="0" i="0" u="none" strike="noStrike" baseline="0">
              <a:solidFill>
                <a:schemeClr val="dk1"/>
              </a:solidFill>
              <a:effectLst/>
              <a:latin typeface="+mn-lt"/>
              <a:ea typeface="+mn-ea"/>
              <a:cs typeface="+mn-cs"/>
            </a:rPr>
            <a:t>.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2024.</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tabSelected="1" zoomScaleNormal="100" workbookViewId="0">
      <selection activeCell="A3" sqref="A3"/>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17" t="s">
        <v>163</v>
      </c>
      <c r="D7" s="117"/>
      <c r="E7" s="49"/>
      <c r="F7" s="117" t="s">
        <v>164</v>
      </c>
      <c r="G7" s="117"/>
      <c r="H7" s="49"/>
      <c r="I7" s="117" t="s">
        <v>165</v>
      </c>
      <c r="J7" s="117"/>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2075593682.2999997</v>
      </c>
      <c r="D10" s="57">
        <f>+'Centralna država-ek klas'!D6</f>
        <v>28.512077177630939</v>
      </c>
      <c r="E10" s="49"/>
      <c r="F10" s="58">
        <f>+'Lokalna država-ek klas '!C6</f>
        <v>306202924.55000001</v>
      </c>
      <c r="G10" s="57">
        <f>+'Lokalna država-ek klas '!D6</f>
        <v>4.2062574632196386</v>
      </c>
      <c r="H10" s="55"/>
      <c r="I10" s="58">
        <f>+'Opšta država-ek klas'!C6</f>
        <v>2381796606.8499999</v>
      </c>
      <c r="J10" s="57">
        <f>+'Opšta država-ek klas'!D6</f>
        <v>32.718334640850586</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1989029447.05</v>
      </c>
      <c r="D14" s="57">
        <f>+'Centralna država-ek klas'!D39</f>
        <v>27.322959009986675</v>
      </c>
      <c r="E14" s="49"/>
      <c r="F14" s="58">
        <f>+'Lokalna država-ek klas '!C37</f>
        <v>275058765.17300004</v>
      </c>
      <c r="G14" s="57">
        <f>+'Lokalna država-ek klas '!D37</f>
        <v>3.7784354461447593</v>
      </c>
      <c r="H14" s="55"/>
      <c r="I14" s="58">
        <f>+'Opšta država-ek klas'!C27</f>
        <v>2264088212.2229996</v>
      </c>
      <c r="J14" s="57">
        <f>+'Opšta država-ek klas'!D27</f>
        <v>31.101394456131427</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86564235.249999762</v>
      </c>
      <c r="D18" s="57">
        <f>+'Centralna država-ek klas'!D62</f>
        <v>1.1891181676442679</v>
      </c>
      <c r="E18" s="49"/>
      <c r="F18" s="58">
        <f>+'Lokalna država-ek klas '!C55</f>
        <v>31144159.376999974</v>
      </c>
      <c r="G18" s="57">
        <f>+'Lokalna država-ek klas '!D55</f>
        <v>0.4278220170748791</v>
      </c>
      <c r="H18" s="55"/>
      <c r="I18" s="58">
        <f>+'Opšta država-ek klas'!C45</f>
        <v>117708394.62700033</v>
      </c>
      <c r="J18" s="57">
        <f>+'Opšta država-ek klas'!D45</f>
        <v>1.6169401847191549</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86"/>
    </row>
    <row r="24" spans="2:11">
      <c r="D24" s="86"/>
    </row>
    <row r="25" spans="2:11">
      <c r="D25" s="86"/>
    </row>
    <row r="41" spans="19:19" ht="15">
      <c r="S41" s="68"/>
    </row>
    <row r="42" spans="19:19" ht="15">
      <c r="S42" s="68"/>
    </row>
  </sheetData>
  <sheetProtection algorithmName="SHA-512" hashValue="ZT/1dSxEpXSxCqa4Zo1qpxQU3+mTJcKloY6VhyBSTKwJgtK419gFm+VkbuIezs7JzzmkS3W8z49n1DiIkrNLjw==" saltValue="+bRyJ458ePPzLVw+X41zWA=="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A82"/>
  <sheetViews>
    <sheetView zoomScale="90" zoomScaleNormal="90" zoomScaleSheetLayoutView="90" workbookViewId="0">
      <pane ySplit="5" topLeftCell="A6" activePane="bottomLeft" state="frozen"/>
      <selection activeCell="G14" sqref="G14"/>
      <selection pane="bottomLeft" activeCell="I2" sqref="I2:J2"/>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93" customWidth="1"/>
    <col min="9" max="9" width="11.140625" style="6" customWidth="1"/>
    <col min="10" max="10" width="10.28515625" style="7" customWidth="1"/>
    <col min="11" max="11" width="10.7109375" style="6" customWidth="1"/>
    <col min="12" max="12" width="12" style="93"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26">
        <v>7279700000</v>
      </c>
      <c r="D2" s="127"/>
      <c r="E2" s="126">
        <v>7279700000</v>
      </c>
      <c r="F2" s="127"/>
      <c r="G2" s="9"/>
      <c r="H2" s="94"/>
      <c r="I2" s="126">
        <v>6963615000</v>
      </c>
      <c r="J2" s="127"/>
      <c r="K2" s="9"/>
      <c r="L2" s="94"/>
      <c r="M2" s="8" t="s">
        <v>78</v>
      </c>
    </row>
    <row r="3" spans="1:13" ht="15" customHeight="1" thickBot="1">
      <c r="A3" s="8"/>
      <c r="B3" s="8"/>
      <c r="C3" s="11"/>
      <c r="D3" s="8"/>
      <c r="E3" s="11"/>
      <c r="F3" s="10"/>
      <c r="G3" s="11"/>
      <c r="H3" s="94"/>
      <c r="I3" s="11"/>
      <c r="J3" s="10"/>
      <c r="K3" s="11"/>
      <c r="L3" s="94"/>
      <c r="M3" s="8"/>
    </row>
    <row r="4" spans="1:13" ht="15" customHeight="1">
      <c r="A4" s="118" t="s">
        <v>70</v>
      </c>
      <c r="B4" s="130" t="s">
        <v>71</v>
      </c>
      <c r="C4" s="122" t="s">
        <v>191</v>
      </c>
      <c r="D4" s="123"/>
      <c r="E4" s="124" t="s">
        <v>192</v>
      </c>
      <c r="F4" s="125"/>
      <c r="G4" s="120" t="s">
        <v>171</v>
      </c>
      <c r="H4" s="121"/>
      <c r="I4" s="120" t="s">
        <v>193</v>
      </c>
      <c r="J4" s="121"/>
      <c r="K4" s="120" t="s">
        <v>171</v>
      </c>
      <c r="L4" s="121"/>
      <c r="M4" s="128" t="s">
        <v>148</v>
      </c>
    </row>
    <row r="5" spans="1:13" ht="27" customHeight="1">
      <c r="A5" s="119"/>
      <c r="B5" s="131"/>
      <c r="C5" s="12" t="s">
        <v>61</v>
      </c>
      <c r="D5" s="13" t="s">
        <v>56</v>
      </c>
      <c r="E5" s="12" t="s">
        <v>61</v>
      </c>
      <c r="F5" s="13" t="s">
        <v>56</v>
      </c>
      <c r="G5" s="12" t="s">
        <v>64</v>
      </c>
      <c r="H5" s="95" t="s">
        <v>62</v>
      </c>
      <c r="I5" s="12" t="s">
        <v>61</v>
      </c>
      <c r="J5" s="14" t="s">
        <v>56</v>
      </c>
      <c r="K5" s="12" t="s">
        <v>61</v>
      </c>
      <c r="L5" s="97" t="s">
        <v>62</v>
      </c>
      <c r="M5" s="129"/>
    </row>
    <row r="6" spans="1:13" ht="15" customHeight="1">
      <c r="A6" s="15"/>
      <c r="B6" s="16" t="s">
        <v>51</v>
      </c>
      <c r="C6" s="17">
        <f>+C7+C15+C20+C25+C32+C37+C38</f>
        <v>2075593682.2999997</v>
      </c>
      <c r="D6" s="39">
        <f>+C6/$C$2*100</f>
        <v>28.512077177630939</v>
      </c>
      <c r="E6" s="17">
        <f>+E7+E15+E20+E25+E32+E37+E38</f>
        <v>2048022365.3476019</v>
      </c>
      <c r="F6" s="39">
        <f>+E6/$E$2*100</f>
        <v>28.133334688896543</v>
      </c>
      <c r="G6" s="17">
        <f>+C6-E6</f>
        <v>27571316.952397823</v>
      </c>
      <c r="H6" s="90">
        <f>+C6/E6*100-100</f>
        <v>1.3462410088338288</v>
      </c>
      <c r="I6" s="17">
        <f>+I7+I15+I20+I25+I32+I37+I38</f>
        <v>1903749491.21</v>
      </c>
      <c r="J6" s="39">
        <f>+I6/$I$2*100</f>
        <v>27.338523040259982</v>
      </c>
      <c r="K6" s="17">
        <f>+C6-I6</f>
        <v>171844191.08999968</v>
      </c>
      <c r="L6" s="90">
        <f>+C6/I6*100-100</f>
        <v>9.0266178340921073</v>
      </c>
      <c r="M6" s="79" t="s">
        <v>149</v>
      </c>
    </row>
    <row r="7" spans="1:13" ht="15" customHeight="1">
      <c r="A7" s="18">
        <v>711</v>
      </c>
      <c r="B7" s="99" t="s">
        <v>1</v>
      </c>
      <c r="C7" s="105">
        <f>+SUM(C8:C14)</f>
        <v>1498040166.4399998</v>
      </c>
      <c r="D7" s="107">
        <f t="shared" ref="D7:D72" si="0">+C7/$C$2*100</f>
        <v>20.578322821544841</v>
      </c>
      <c r="E7" s="105">
        <f>+SUM(E8:E14)</f>
        <v>1487056017.5556018</v>
      </c>
      <c r="F7" s="107">
        <f t="shared" ref="F7:F38" si="1">+E7/$E$2*100</f>
        <v>20.427435437663664</v>
      </c>
      <c r="G7" s="105">
        <f t="shared" ref="G7:G62" si="2">+C7-E7</f>
        <v>10984148.884397984</v>
      </c>
      <c r="H7" s="108">
        <f t="shared" ref="H7:H62" si="3">+C7/E7*100-100</f>
        <v>0.73865064629197263</v>
      </c>
      <c r="I7" s="105">
        <f>+SUM(I8:I14)</f>
        <v>1265692081.1600001</v>
      </c>
      <c r="J7" s="40">
        <f t="shared" ref="J7:J72" si="4">+I7/$I$2*100</f>
        <v>18.175790608182677</v>
      </c>
      <c r="K7" s="20">
        <f t="shared" ref="K7:K38" si="5">+C7-I7</f>
        <v>232348085.27999973</v>
      </c>
      <c r="L7" s="87">
        <f t="shared" ref="L7:L38" si="6">+C7/I7*100-100</f>
        <v>18.357394246083445</v>
      </c>
      <c r="M7" s="70" t="s">
        <v>79</v>
      </c>
    </row>
    <row r="8" spans="1:13" ht="15" customHeight="1">
      <c r="A8" s="21">
        <v>7111</v>
      </c>
      <c r="B8" s="109" t="s">
        <v>2</v>
      </c>
      <c r="C8" s="104">
        <v>59509539.710000001</v>
      </c>
      <c r="D8" s="110">
        <f t="shared" si="0"/>
        <v>0.81747241933046688</v>
      </c>
      <c r="E8" s="104">
        <v>58537424.172448367</v>
      </c>
      <c r="F8" s="110">
        <f t="shared" si="1"/>
        <v>0.8041186336311712</v>
      </c>
      <c r="G8" s="104">
        <f t="shared" si="2"/>
        <v>972115.53755163401</v>
      </c>
      <c r="H8" s="111">
        <f t="shared" si="3"/>
        <v>1.6606735798415713</v>
      </c>
      <c r="I8" s="104">
        <v>43323096.549999997</v>
      </c>
      <c r="J8" s="41">
        <f t="shared" si="4"/>
        <v>0.62213514891331589</v>
      </c>
      <c r="K8" s="23">
        <f t="shared" si="5"/>
        <v>16186443.160000004</v>
      </c>
      <c r="L8" s="91">
        <f t="shared" si="6"/>
        <v>37.362156560805687</v>
      </c>
      <c r="M8" s="71" t="s">
        <v>80</v>
      </c>
    </row>
    <row r="9" spans="1:13" ht="15" customHeight="1">
      <c r="A9" s="21">
        <v>7112</v>
      </c>
      <c r="B9" s="109" t="s">
        <v>3</v>
      </c>
      <c r="C9" s="104">
        <v>204339140.29999998</v>
      </c>
      <c r="D9" s="110">
        <f t="shared" si="0"/>
        <v>2.8069719947250569</v>
      </c>
      <c r="E9" s="104">
        <v>201980632.47999999</v>
      </c>
      <c r="F9" s="110">
        <f t="shared" si="1"/>
        <v>2.7745735741857493</v>
      </c>
      <c r="G9" s="104">
        <f t="shared" si="2"/>
        <v>2358507.8199999928</v>
      </c>
      <c r="H9" s="111">
        <f t="shared" si="3"/>
        <v>1.1676900854509</v>
      </c>
      <c r="I9" s="104">
        <v>140991927.87</v>
      </c>
      <c r="J9" s="41">
        <f t="shared" si="4"/>
        <v>2.0246944707597994</v>
      </c>
      <c r="K9" s="23">
        <f t="shared" si="5"/>
        <v>63347212.429999977</v>
      </c>
      <c r="L9" s="91">
        <f t="shared" si="6"/>
        <v>44.929673199737039</v>
      </c>
      <c r="M9" s="71" t="s">
        <v>81</v>
      </c>
    </row>
    <row r="10" spans="1:13" ht="15" customHeight="1">
      <c r="A10" s="21">
        <v>7113</v>
      </c>
      <c r="B10" s="109" t="s">
        <v>4</v>
      </c>
      <c r="C10" s="104">
        <v>0</v>
      </c>
      <c r="D10" s="110">
        <f t="shared" si="0"/>
        <v>0</v>
      </c>
      <c r="E10" s="104">
        <v>0</v>
      </c>
      <c r="F10" s="110">
        <f t="shared" si="1"/>
        <v>0</v>
      </c>
      <c r="G10" s="104">
        <f t="shared" si="2"/>
        <v>0</v>
      </c>
      <c r="H10" s="111" t="e">
        <f t="shared" si="3"/>
        <v>#DIV/0!</v>
      </c>
      <c r="I10" s="104">
        <v>0</v>
      </c>
      <c r="J10" s="41">
        <f t="shared" si="4"/>
        <v>0</v>
      </c>
      <c r="K10" s="23">
        <f t="shared" si="5"/>
        <v>0</v>
      </c>
      <c r="L10" s="91" t="e">
        <f t="shared" si="6"/>
        <v>#DIV/0!</v>
      </c>
      <c r="M10" s="71" t="s">
        <v>82</v>
      </c>
    </row>
    <row r="11" spans="1:13" ht="15" customHeight="1">
      <c r="A11" s="21">
        <v>7114</v>
      </c>
      <c r="B11" s="109" t="s">
        <v>5</v>
      </c>
      <c r="C11" s="104">
        <v>901559862.32000005</v>
      </c>
      <c r="D11" s="110">
        <f t="shared" si="0"/>
        <v>12.384574396197646</v>
      </c>
      <c r="E11" s="104">
        <v>897670432.91000009</v>
      </c>
      <c r="F11" s="110">
        <f t="shared" si="1"/>
        <v>12.331145966317294</v>
      </c>
      <c r="G11" s="104">
        <f t="shared" si="2"/>
        <v>3889429.4099999666</v>
      </c>
      <c r="H11" s="111">
        <f t="shared" si="3"/>
        <v>0.43328032955163565</v>
      </c>
      <c r="I11" s="104">
        <v>789993007.68000007</v>
      </c>
      <c r="J11" s="41">
        <f t="shared" si="4"/>
        <v>11.344581911550252</v>
      </c>
      <c r="K11" s="23">
        <f t="shared" si="5"/>
        <v>111566854.63999999</v>
      </c>
      <c r="L11" s="91">
        <f t="shared" si="6"/>
        <v>14.122511662178155</v>
      </c>
      <c r="M11" s="71" t="s">
        <v>83</v>
      </c>
    </row>
    <row r="12" spans="1:13" ht="15" customHeight="1">
      <c r="A12" s="21">
        <v>7115</v>
      </c>
      <c r="B12" s="109" t="s">
        <v>6</v>
      </c>
      <c r="C12" s="104">
        <v>276915291.29000002</v>
      </c>
      <c r="D12" s="110">
        <f t="shared" si="0"/>
        <v>3.8039382294600057</v>
      </c>
      <c r="E12" s="104">
        <v>273509667.29315323</v>
      </c>
      <c r="F12" s="110">
        <f t="shared" si="1"/>
        <v>3.7571557522034316</v>
      </c>
      <c r="G12" s="104">
        <f t="shared" si="2"/>
        <v>3405623.9968467951</v>
      </c>
      <c r="H12" s="111">
        <f t="shared" si="3"/>
        <v>1.2451567180609402</v>
      </c>
      <c r="I12" s="104">
        <v>242217273.80999997</v>
      </c>
      <c r="J12" s="41">
        <f t="shared" si="4"/>
        <v>3.4783266135477047</v>
      </c>
      <c r="K12" s="23">
        <f t="shared" si="5"/>
        <v>34698017.480000049</v>
      </c>
      <c r="L12" s="91">
        <f t="shared" si="6"/>
        <v>14.325162253794431</v>
      </c>
      <c r="M12" s="71" t="s">
        <v>84</v>
      </c>
    </row>
    <row r="13" spans="1:13" ht="15" customHeight="1">
      <c r="A13" s="21">
        <v>7116</v>
      </c>
      <c r="B13" s="109" t="s">
        <v>7</v>
      </c>
      <c r="C13" s="104">
        <v>44689346.829999998</v>
      </c>
      <c r="D13" s="110">
        <f t="shared" si="0"/>
        <v>0.61388995192109563</v>
      </c>
      <c r="E13" s="104">
        <v>44357827.739999995</v>
      </c>
      <c r="F13" s="110">
        <f t="shared" si="1"/>
        <v>0.60933593060153568</v>
      </c>
      <c r="G13" s="104">
        <f t="shared" si="2"/>
        <v>331519.09000000358</v>
      </c>
      <c r="H13" s="111">
        <f t="shared" si="3"/>
        <v>0.74737449259953337</v>
      </c>
      <c r="I13" s="104">
        <v>39032159.130000003</v>
      </c>
      <c r="J13" s="41">
        <f t="shared" si="4"/>
        <v>0.56051575410185661</v>
      </c>
      <c r="K13" s="23">
        <f t="shared" si="5"/>
        <v>5657187.6999999955</v>
      </c>
      <c r="L13" s="91">
        <f t="shared" si="6"/>
        <v>14.493658117036873</v>
      </c>
      <c r="M13" s="71" t="s">
        <v>85</v>
      </c>
    </row>
    <row r="14" spans="1:13" ht="15" customHeight="1">
      <c r="A14" s="21">
        <v>7118</v>
      </c>
      <c r="B14" s="109" t="s">
        <v>60</v>
      </c>
      <c r="C14" s="104">
        <v>11026985.989999998</v>
      </c>
      <c r="D14" s="110">
        <f t="shared" si="0"/>
        <v>0.15147582991057321</v>
      </c>
      <c r="E14" s="104">
        <v>11000032.959999999</v>
      </c>
      <c r="F14" s="110">
        <f t="shared" si="1"/>
        <v>0.15110558072448038</v>
      </c>
      <c r="G14" s="104">
        <f t="shared" si="2"/>
        <v>26953.029999999329</v>
      </c>
      <c r="H14" s="111">
        <f t="shared" si="3"/>
        <v>0.24502681126510595</v>
      </c>
      <c r="I14" s="104">
        <v>10134616.120000001</v>
      </c>
      <c r="J14" s="41">
        <f t="shared" si="4"/>
        <v>0.14553670930974788</v>
      </c>
      <c r="K14" s="23">
        <f t="shared" si="5"/>
        <v>892369.86999999732</v>
      </c>
      <c r="L14" s="91">
        <f t="shared" si="6"/>
        <v>8.8051669588053159</v>
      </c>
      <c r="M14" s="71" t="s">
        <v>86</v>
      </c>
    </row>
    <row r="15" spans="1:13" ht="15" customHeight="1">
      <c r="A15" s="18">
        <v>712</v>
      </c>
      <c r="B15" s="99" t="s">
        <v>8</v>
      </c>
      <c r="C15" s="105">
        <f>+SUM(C16:C19)</f>
        <v>430168424.79000002</v>
      </c>
      <c r="D15" s="107">
        <f t="shared" si="0"/>
        <v>5.9091504428753936</v>
      </c>
      <c r="E15" s="105">
        <f>+SUM(E16:E19)</f>
        <v>422936293.28999996</v>
      </c>
      <c r="F15" s="107">
        <f t="shared" si="1"/>
        <v>5.8098038832644194</v>
      </c>
      <c r="G15" s="105">
        <f t="shared" si="2"/>
        <v>7232131.5000000596</v>
      </c>
      <c r="H15" s="108">
        <f t="shared" si="3"/>
        <v>1.7099812938118077</v>
      </c>
      <c r="I15" s="105">
        <f>+SUM(I16:I19)</f>
        <v>387750993.43000007</v>
      </c>
      <c r="J15" s="40">
        <f t="shared" si="4"/>
        <v>5.5682428369460411</v>
      </c>
      <c r="K15" s="20">
        <f t="shared" si="5"/>
        <v>42417431.359999955</v>
      </c>
      <c r="L15" s="87">
        <f t="shared" si="6"/>
        <v>10.939348210247061</v>
      </c>
      <c r="M15" s="70" t="s">
        <v>87</v>
      </c>
    </row>
    <row r="16" spans="1:13" ht="15" customHeight="1">
      <c r="A16" s="21">
        <v>7121</v>
      </c>
      <c r="B16" s="109" t="s">
        <v>9</v>
      </c>
      <c r="C16" s="104">
        <v>394493209.23000002</v>
      </c>
      <c r="D16" s="110">
        <f t="shared" si="0"/>
        <v>5.4190860781350878</v>
      </c>
      <c r="E16" s="104">
        <v>388125869.17999995</v>
      </c>
      <c r="F16" s="110">
        <f t="shared" si="1"/>
        <v>5.3316190114977253</v>
      </c>
      <c r="G16" s="104">
        <f t="shared" si="2"/>
        <v>6367340.0500000715</v>
      </c>
      <c r="H16" s="111">
        <f t="shared" si="3"/>
        <v>1.6405348253267533</v>
      </c>
      <c r="I16" s="104">
        <v>354614891.85000002</v>
      </c>
      <c r="J16" s="41">
        <f t="shared" si="4"/>
        <v>5.0923965763471992</v>
      </c>
      <c r="K16" s="23">
        <f t="shared" si="5"/>
        <v>39878317.379999995</v>
      </c>
      <c r="L16" s="91">
        <f t="shared" si="6"/>
        <v>11.245528119802799</v>
      </c>
      <c r="M16" s="71" t="s">
        <v>88</v>
      </c>
    </row>
    <row r="17" spans="1:13" ht="15" customHeight="1">
      <c r="A17" s="21">
        <v>7122</v>
      </c>
      <c r="B17" s="109" t="s">
        <v>10</v>
      </c>
      <c r="C17" s="104">
        <v>3671378.62</v>
      </c>
      <c r="D17" s="110">
        <f t="shared" si="0"/>
        <v>5.0433103287223377E-2</v>
      </c>
      <c r="E17" s="104">
        <v>3000000</v>
      </c>
      <c r="F17" s="110">
        <f t="shared" si="1"/>
        <v>4.121048944324629E-2</v>
      </c>
      <c r="G17" s="104">
        <f t="shared" si="2"/>
        <v>671378.62000000011</v>
      </c>
      <c r="H17" s="111">
        <f t="shared" si="3"/>
        <v>22.379287333333338</v>
      </c>
      <c r="I17" s="104">
        <v>5008781.8699999992</v>
      </c>
      <c r="J17" s="41">
        <f t="shared" si="4"/>
        <v>7.1927897650860925E-2</v>
      </c>
      <c r="K17" s="23">
        <f t="shared" si="5"/>
        <v>-1337403.2499999991</v>
      </c>
      <c r="L17" s="91">
        <f t="shared" si="6"/>
        <v>-26.701167763171114</v>
      </c>
      <c r="M17" s="71" t="s">
        <v>89</v>
      </c>
    </row>
    <row r="18" spans="1:13" ht="15" customHeight="1">
      <c r="A18" s="21">
        <v>7123</v>
      </c>
      <c r="B18" s="109" t="s">
        <v>11</v>
      </c>
      <c r="C18" s="104">
        <v>18537804.940000001</v>
      </c>
      <c r="D18" s="110">
        <f t="shared" si="0"/>
        <v>0.25465067159360966</v>
      </c>
      <c r="E18" s="104">
        <v>18426783.16</v>
      </c>
      <c r="F18" s="110">
        <f t="shared" si="1"/>
        <v>0.25312558429605614</v>
      </c>
      <c r="G18" s="104">
        <f t="shared" si="2"/>
        <v>111021.78000000119</v>
      </c>
      <c r="H18" s="111">
        <f t="shared" si="3"/>
        <v>0.60250223295079763</v>
      </c>
      <c r="I18" s="104">
        <v>16215994.219999999</v>
      </c>
      <c r="J18" s="41">
        <f t="shared" si="4"/>
        <v>0.23286747213911163</v>
      </c>
      <c r="K18" s="23">
        <f t="shared" si="5"/>
        <v>2321810.7200000025</v>
      </c>
      <c r="L18" s="91">
        <f t="shared" si="6"/>
        <v>14.318028783806525</v>
      </c>
      <c r="M18" s="71" t="s">
        <v>90</v>
      </c>
    </row>
    <row r="19" spans="1:13" ht="15" customHeight="1">
      <c r="A19" s="21">
        <v>7124</v>
      </c>
      <c r="B19" s="109" t="s">
        <v>12</v>
      </c>
      <c r="C19" s="104">
        <v>13466032</v>
      </c>
      <c r="D19" s="110">
        <f t="shared" si="0"/>
        <v>0.18498058985947222</v>
      </c>
      <c r="E19" s="104">
        <v>13383640.949999999</v>
      </c>
      <c r="F19" s="110">
        <f t="shared" si="1"/>
        <v>0.18384879802739124</v>
      </c>
      <c r="G19" s="104">
        <f t="shared" si="2"/>
        <v>82391.050000000745</v>
      </c>
      <c r="H19" s="111">
        <f t="shared" si="3"/>
        <v>0.61561013410181431</v>
      </c>
      <c r="I19" s="104">
        <v>11911325.489999998</v>
      </c>
      <c r="J19" s="41">
        <f t="shared" si="4"/>
        <v>0.17105089080886865</v>
      </c>
      <c r="K19" s="23">
        <f t="shared" si="5"/>
        <v>1554706.5100000016</v>
      </c>
      <c r="L19" s="91">
        <f t="shared" si="6"/>
        <v>13.052338392609926</v>
      </c>
      <c r="M19" s="71" t="s">
        <v>91</v>
      </c>
    </row>
    <row r="20" spans="1:13" ht="15" customHeight="1">
      <c r="A20" s="18">
        <v>713</v>
      </c>
      <c r="B20" s="99" t="s">
        <v>13</v>
      </c>
      <c r="C20" s="105">
        <f>SUM(C21:C24)</f>
        <v>12019768.6</v>
      </c>
      <c r="D20" s="107">
        <f t="shared" si="0"/>
        <v>0.16511351566685439</v>
      </c>
      <c r="E20" s="105">
        <f>+SUM(E21:E24)</f>
        <v>11710346.022</v>
      </c>
      <c r="F20" s="107">
        <f t="shared" si="1"/>
        <v>0.16086303037213073</v>
      </c>
      <c r="G20" s="105">
        <f t="shared" si="2"/>
        <v>309422.57799999975</v>
      </c>
      <c r="H20" s="108">
        <f t="shared" si="3"/>
        <v>2.6423008971613058</v>
      </c>
      <c r="I20" s="105">
        <f>+SUM(I21:I24)</f>
        <v>11526189.85</v>
      </c>
      <c r="J20" s="40">
        <f t="shared" si="4"/>
        <v>0.16552020538183113</v>
      </c>
      <c r="K20" s="20">
        <f t="shared" si="5"/>
        <v>493578.75</v>
      </c>
      <c r="L20" s="87">
        <f t="shared" si="6"/>
        <v>4.2822368573080638</v>
      </c>
      <c r="M20" s="70" t="s">
        <v>92</v>
      </c>
    </row>
    <row r="21" spans="1:13" ht="15" customHeight="1">
      <c r="A21" s="21">
        <v>7131</v>
      </c>
      <c r="B21" s="109" t="s">
        <v>14</v>
      </c>
      <c r="C21" s="104">
        <v>7444749.9700000007</v>
      </c>
      <c r="D21" s="110">
        <f t="shared" si="0"/>
        <v>0.10226726334876438</v>
      </c>
      <c r="E21" s="104">
        <v>7237984.7920000004</v>
      </c>
      <c r="F21" s="110">
        <f t="shared" si="1"/>
        <v>9.9426965287031072E-2</v>
      </c>
      <c r="G21" s="104">
        <f t="shared" si="2"/>
        <v>206765.17800000031</v>
      </c>
      <c r="H21" s="111">
        <f t="shared" si="3"/>
        <v>2.8566677596301844</v>
      </c>
      <c r="I21" s="104">
        <v>7202796.5899999989</v>
      </c>
      <c r="J21" s="41">
        <f t="shared" si="4"/>
        <v>0.10343473310916813</v>
      </c>
      <c r="K21" s="23">
        <f t="shared" si="5"/>
        <v>241953.38000000175</v>
      </c>
      <c r="L21" s="91">
        <f t="shared" si="6"/>
        <v>3.3591588624884565</v>
      </c>
      <c r="M21" s="71" t="s">
        <v>93</v>
      </c>
    </row>
    <row r="22" spans="1:13" ht="15" customHeight="1">
      <c r="A22" s="21">
        <v>7132</v>
      </c>
      <c r="B22" s="109" t="s">
        <v>15</v>
      </c>
      <c r="C22" s="104">
        <v>1004989.78</v>
      </c>
      <c r="D22" s="110">
        <f t="shared" si="0"/>
        <v>1.3805373573086803E-2</v>
      </c>
      <c r="E22" s="104">
        <v>919840.18</v>
      </c>
      <c r="F22" s="110">
        <f t="shared" si="1"/>
        <v>1.2635688009121255E-2</v>
      </c>
      <c r="G22" s="104">
        <f t="shared" si="2"/>
        <v>85149.599999999977</v>
      </c>
      <c r="H22" s="111">
        <f t="shared" si="3"/>
        <v>9.2569994061359608</v>
      </c>
      <c r="I22" s="104">
        <v>843773.10999999987</v>
      </c>
      <c r="J22" s="41">
        <f t="shared" si="4"/>
        <v>1.2116883400360299E-2</v>
      </c>
      <c r="K22" s="23">
        <f t="shared" si="5"/>
        <v>161216.67000000016</v>
      </c>
      <c r="L22" s="91">
        <f t="shared" si="6"/>
        <v>19.106637565162529</v>
      </c>
      <c r="M22" s="71" t="s">
        <v>94</v>
      </c>
    </row>
    <row r="23" spans="1:13" ht="15" customHeight="1">
      <c r="A23" s="21">
        <v>7133</v>
      </c>
      <c r="B23" s="109" t="s">
        <v>16</v>
      </c>
      <c r="C23" s="104">
        <v>1957832.1199999999</v>
      </c>
      <c r="D23" s="110">
        <f t="shared" si="0"/>
        <v>2.6894406637636162E-2</v>
      </c>
      <c r="E23" s="104">
        <v>1953179.8499999999</v>
      </c>
      <c r="F23" s="110">
        <f t="shared" si="1"/>
        <v>2.6830499196395453E-2</v>
      </c>
      <c r="G23" s="104">
        <f t="shared" si="2"/>
        <v>4652.2700000000186</v>
      </c>
      <c r="H23" s="111">
        <f t="shared" si="3"/>
        <v>0.23818953487565864</v>
      </c>
      <c r="I23" s="104">
        <v>1887126.4700000002</v>
      </c>
      <c r="J23" s="41">
        <f t="shared" si="4"/>
        <v>2.7099810515084477E-2</v>
      </c>
      <c r="K23" s="23">
        <f t="shared" si="5"/>
        <v>70705.649999999674</v>
      </c>
      <c r="L23" s="91">
        <f t="shared" si="6"/>
        <v>3.7467361686680931</v>
      </c>
      <c r="M23" s="71" t="s">
        <v>95</v>
      </c>
    </row>
    <row r="24" spans="1:13" ht="15" customHeight="1">
      <c r="A24" s="21">
        <v>7136</v>
      </c>
      <c r="B24" s="109" t="s">
        <v>18</v>
      </c>
      <c r="C24" s="104">
        <v>1612196.73</v>
      </c>
      <c r="D24" s="110">
        <f t="shared" si="0"/>
        <v>2.2146472107367064E-2</v>
      </c>
      <c r="E24" s="104">
        <v>1599341.2000000002</v>
      </c>
      <c r="F24" s="110">
        <f t="shared" si="1"/>
        <v>2.1969877879582954E-2</v>
      </c>
      <c r="G24" s="104">
        <f t="shared" si="2"/>
        <v>12855.529999999795</v>
      </c>
      <c r="H24" s="111">
        <f t="shared" si="3"/>
        <v>0.80380159030480058</v>
      </c>
      <c r="I24" s="104">
        <v>1592493.68</v>
      </c>
      <c r="J24" s="41">
        <f t="shared" si="4"/>
        <v>2.2868778357218199E-2</v>
      </c>
      <c r="K24" s="23">
        <f t="shared" si="5"/>
        <v>19703.050000000047</v>
      </c>
      <c r="L24" s="91">
        <f t="shared" si="6"/>
        <v>1.2372450985174339</v>
      </c>
      <c r="M24" s="71" t="s">
        <v>96</v>
      </c>
    </row>
    <row r="25" spans="1:13" ht="15" customHeight="1">
      <c r="A25" s="18">
        <v>714</v>
      </c>
      <c r="B25" s="99" t="s">
        <v>19</v>
      </c>
      <c r="C25" s="105">
        <f>+SUM(C26:C31)</f>
        <v>37810502.590000004</v>
      </c>
      <c r="D25" s="107">
        <f t="shared" si="0"/>
        <v>0.51939643927634382</v>
      </c>
      <c r="E25" s="105">
        <f>+SUM(E26:E31)</f>
        <v>37223023.709999993</v>
      </c>
      <c r="F25" s="107">
        <f t="shared" si="1"/>
        <v>0.51132634188222037</v>
      </c>
      <c r="G25" s="105">
        <f t="shared" si="2"/>
        <v>587478.88000001013</v>
      </c>
      <c r="H25" s="108">
        <f t="shared" si="3"/>
        <v>1.5782674846003459</v>
      </c>
      <c r="I25" s="105">
        <f>+SUM(I26:I31)</f>
        <v>42436587.469999999</v>
      </c>
      <c r="J25" s="40">
        <f t="shared" si="4"/>
        <v>0.60940456171112267</v>
      </c>
      <c r="K25" s="20">
        <f t="shared" si="5"/>
        <v>-4626084.8799999952</v>
      </c>
      <c r="L25" s="87">
        <f t="shared" si="6"/>
        <v>-10.901170795767555</v>
      </c>
      <c r="M25" s="70" t="s">
        <v>97</v>
      </c>
    </row>
    <row r="26" spans="1:13" ht="15" customHeight="1">
      <c r="A26" s="21">
        <v>7141</v>
      </c>
      <c r="B26" s="109" t="s">
        <v>20</v>
      </c>
      <c r="C26" s="104">
        <v>1419948.76</v>
      </c>
      <c r="D26" s="110">
        <f t="shared" si="0"/>
        <v>1.950559446131022E-2</v>
      </c>
      <c r="E26" s="104">
        <v>1248270.3</v>
      </c>
      <c r="F26" s="110">
        <f t="shared" si="1"/>
        <v>1.7147276673489292E-2</v>
      </c>
      <c r="G26" s="104">
        <f t="shared" si="2"/>
        <v>171678.45999999996</v>
      </c>
      <c r="H26" s="111">
        <f t="shared" si="3"/>
        <v>13.75330807758543</v>
      </c>
      <c r="I26" s="104">
        <v>1609277.9700000002</v>
      </c>
      <c r="J26" s="41">
        <f t="shared" si="4"/>
        <v>2.3109806759851029E-2</v>
      </c>
      <c r="K26" s="23">
        <f t="shared" si="5"/>
        <v>-189329.2100000002</v>
      </c>
      <c r="L26" s="91">
        <f t="shared" si="6"/>
        <v>-11.764854396161297</v>
      </c>
      <c r="M26" s="71" t="s">
        <v>98</v>
      </c>
    </row>
    <row r="27" spans="1:13" ht="15" customHeight="1">
      <c r="A27" s="21">
        <v>7142</v>
      </c>
      <c r="B27" s="109" t="s">
        <v>21</v>
      </c>
      <c r="C27" s="104">
        <v>3113872.3600000003</v>
      </c>
      <c r="D27" s="110">
        <f t="shared" si="0"/>
        <v>4.2774734673132142E-2</v>
      </c>
      <c r="E27" s="104">
        <v>3113872.3600000003</v>
      </c>
      <c r="F27" s="110">
        <f t="shared" si="1"/>
        <v>4.2774734673132142E-2</v>
      </c>
      <c r="G27" s="104">
        <f t="shared" si="2"/>
        <v>0</v>
      </c>
      <c r="H27" s="111">
        <f t="shared" si="3"/>
        <v>0</v>
      </c>
      <c r="I27" s="104">
        <v>4887119.58</v>
      </c>
      <c r="J27" s="41">
        <f t="shared" si="4"/>
        <v>7.0180783687782855E-2</v>
      </c>
      <c r="K27" s="23">
        <f t="shared" si="5"/>
        <v>-1773247.2199999997</v>
      </c>
      <c r="L27" s="91">
        <f t="shared" si="6"/>
        <v>-36.284097226857703</v>
      </c>
      <c r="M27" s="71" t="s">
        <v>99</v>
      </c>
    </row>
    <row r="28" spans="1:13" ht="15" customHeight="1">
      <c r="A28" s="21">
        <v>7143</v>
      </c>
      <c r="B28" s="109" t="s">
        <v>22</v>
      </c>
      <c r="C28" s="104">
        <v>0</v>
      </c>
      <c r="D28" s="110">
        <f t="shared" si="0"/>
        <v>0</v>
      </c>
      <c r="E28" s="104">
        <v>0</v>
      </c>
      <c r="F28" s="110">
        <f t="shared" si="1"/>
        <v>0</v>
      </c>
      <c r="G28" s="104">
        <f t="shared" si="2"/>
        <v>0</v>
      </c>
      <c r="H28" s="111" t="e">
        <f t="shared" si="3"/>
        <v>#DIV/0!</v>
      </c>
      <c r="I28" s="104">
        <v>0</v>
      </c>
      <c r="J28" s="41">
        <f t="shared" si="4"/>
        <v>0</v>
      </c>
      <c r="K28" s="23">
        <f t="shared" si="5"/>
        <v>0</v>
      </c>
      <c r="L28" s="91" t="e">
        <f t="shared" si="6"/>
        <v>#DIV/0!</v>
      </c>
      <c r="M28" s="71" t="s">
        <v>100</v>
      </c>
    </row>
    <row r="29" spans="1:13" ht="15" customHeight="1">
      <c r="A29" s="21">
        <v>7144</v>
      </c>
      <c r="B29" s="109" t="s">
        <v>23</v>
      </c>
      <c r="C29" s="104">
        <v>14538846.139999999</v>
      </c>
      <c r="D29" s="110">
        <f t="shared" si="0"/>
        <v>0.19971765512315065</v>
      </c>
      <c r="E29" s="104">
        <v>14538846.139999999</v>
      </c>
      <c r="F29" s="110">
        <f t="shared" si="1"/>
        <v>0.19971765512315065</v>
      </c>
      <c r="G29" s="104">
        <f t="shared" si="2"/>
        <v>0</v>
      </c>
      <c r="H29" s="111">
        <f t="shared" si="3"/>
        <v>0</v>
      </c>
      <c r="I29" s="104">
        <v>7996456.6799999997</v>
      </c>
      <c r="J29" s="41">
        <f t="shared" si="4"/>
        <v>0.1148319756333456</v>
      </c>
      <c r="K29" s="23">
        <f t="shared" si="5"/>
        <v>6542389.459999999</v>
      </c>
      <c r="L29" s="91">
        <f t="shared" si="6"/>
        <v>81.816105830513919</v>
      </c>
      <c r="M29" s="71" t="s">
        <v>101</v>
      </c>
    </row>
    <row r="30" spans="1:13" ht="15" customHeight="1">
      <c r="A30" s="21">
        <v>7148</v>
      </c>
      <c r="B30" s="109" t="s">
        <v>24</v>
      </c>
      <c r="C30" s="106">
        <v>2735516.42</v>
      </c>
      <c r="D30" s="110">
        <f t="shared" si="0"/>
        <v>3.757732351607896E-2</v>
      </c>
      <c r="E30" s="106">
        <v>2724022.09</v>
      </c>
      <c r="F30" s="110">
        <f t="shared" si="1"/>
        <v>3.7419427861038225E-2</v>
      </c>
      <c r="G30" s="106">
        <f t="shared" si="2"/>
        <v>11494.330000000075</v>
      </c>
      <c r="H30" s="111">
        <f t="shared" si="3"/>
        <v>0.42196170296109869</v>
      </c>
      <c r="I30" s="106">
        <v>3104513.2</v>
      </c>
      <c r="J30" s="41">
        <f t="shared" si="4"/>
        <v>4.4581919017636674E-2</v>
      </c>
      <c r="K30" s="75">
        <f t="shared" si="5"/>
        <v>-368996.78000000026</v>
      </c>
      <c r="L30" s="91">
        <f t="shared" si="6"/>
        <v>-11.885817718539585</v>
      </c>
      <c r="M30" s="71" t="s">
        <v>102</v>
      </c>
    </row>
    <row r="31" spans="1:13" ht="15" customHeight="1">
      <c r="A31" s="21">
        <v>7149</v>
      </c>
      <c r="B31" s="109" t="s">
        <v>25</v>
      </c>
      <c r="C31" s="106">
        <v>16002318.91</v>
      </c>
      <c r="D31" s="110">
        <f t="shared" si="0"/>
        <v>0.2198211315026718</v>
      </c>
      <c r="E31" s="106">
        <v>15598012.82</v>
      </c>
      <c r="F31" s="110">
        <f t="shared" si="1"/>
        <v>0.21426724755141008</v>
      </c>
      <c r="G31" s="106">
        <f t="shared" si="2"/>
        <v>404306.08999999985</v>
      </c>
      <c r="H31" s="111">
        <f t="shared" si="3"/>
        <v>2.5920358872996303</v>
      </c>
      <c r="I31" s="106">
        <v>24839220.040000003</v>
      </c>
      <c r="J31" s="41">
        <f t="shared" si="4"/>
        <v>0.35670007661250658</v>
      </c>
      <c r="K31" s="75">
        <f t="shared" si="5"/>
        <v>-8836901.1300000027</v>
      </c>
      <c r="L31" s="91">
        <f t="shared" si="6"/>
        <v>-35.57640342880913</v>
      </c>
      <c r="M31" s="71" t="s">
        <v>103</v>
      </c>
    </row>
    <row r="32" spans="1:13" ht="15" customHeight="1">
      <c r="A32" s="18">
        <v>715</v>
      </c>
      <c r="B32" s="99" t="s">
        <v>26</v>
      </c>
      <c r="C32" s="105">
        <f>+SUM(C33:C36)</f>
        <v>74137533.729999989</v>
      </c>
      <c r="D32" s="107">
        <f t="shared" si="0"/>
        <v>1.0184146837094934</v>
      </c>
      <c r="E32" s="105">
        <f>+SUM(E33:E36)</f>
        <v>66701151.530000001</v>
      </c>
      <c r="F32" s="107">
        <f t="shared" si="1"/>
        <v>0.91626236699314545</v>
      </c>
      <c r="G32" s="105">
        <f t="shared" si="2"/>
        <v>7436382.1999999881</v>
      </c>
      <c r="H32" s="108">
        <f t="shared" si="3"/>
        <v>11.14880632406377</v>
      </c>
      <c r="I32" s="105">
        <f>+SUM(I33:I36)</f>
        <v>143102722.56999999</v>
      </c>
      <c r="J32" s="40">
        <f t="shared" si="4"/>
        <v>2.0550062369904136</v>
      </c>
      <c r="K32" s="20">
        <f t="shared" si="5"/>
        <v>-68965188.840000004</v>
      </c>
      <c r="L32" s="87">
        <f t="shared" si="6"/>
        <v>-48.192785994176354</v>
      </c>
      <c r="M32" s="70" t="s">
        <v>104</v>
      </c>
    </row>
    <row r="33" spans="1:105" ht="15" customHeight="1">
      <c r="A33" s="21">
        <v>7151</v>
      </c>
      <c r="B33" s="109" t="s">
        <v>27</v>
      </c>
      <c r="C33" s="106">
        <v>26520680.710000001</v>
      </c>
      <c r="D33" s="110">
        <f t="shared" si="0"/>
        <v>0.3643100774757202</v>
      </c>
      <c r="E33" s="106">
        <v>22986102.670000002</v>
      </c>
      <c r="F33" s="110">
        <f t="shared" si="1"/>
        <v>0.31575618047447013</v>
      </c>
      <c r="G33" s="106">
        <f t="shared" si="2"/>
        <v>3534578.0399999991</v>
      </c>
      <c r="H33" s="111">
        <f t="shared" si="3"/>
        <v>15.377021893376934</v>
      </c>
      <c r="I33" s="106">
        <v>72735507.999999985</v>
      </c>
      <c r="J33" s="41">
        <f t="shared" si="4"/>
        <v>1.044507888503313</v>
      </c>
      <c r="K33" s="75">
        <f t="shared" si="5"/>
        <v>-46214827.289999984</v>
      </c>
      <c r="L33" s="91">
        <f t="shared" si="6"/>
        <v>-63.538192776490945</v>
      </c>
      <c r="M33" s="71" t="s">
        <v>105</v>
      </c>
    </row>
    <row r="34" spans="1:105" ht="15" customHeight="1">
      <c r="A34" s="21">
        <v>7152</v>
      </c>
      <c r="B34" s="109" t="s">
        <v>28</v>
      </c>
      <c r="C34" s="106">
        <v>16159066.930000002</v>
      </c>
      <c r="D34" s="110">
        <f t="shared" si="0"/>
        <v>0.22197435237715843</v>
      </c>
      <c r="E34" s="106">
        <v>14869556.790000001</v>
      </c>
      <c r="F34" s="110">
        <f t="shared" si="1"/>
        <v>0.20426057104001538</v>
      </c>
      <c r="G34" s="106">
        <f t="shared" si="2"/>
        <v>1289510.1400000006</v>
      </c>
      <c r="H34" s="111">
        <f t="shared" si="3"/>
        <v>8.6721491313528389</v>
      </c>
      <c r="I34" s="106">
        <v>13326004.33</v>
      </c>
      <c r="J34" s="41">
        <f t="shared" si="4"/>
        <v>0.1913661845176679</v>
      </c>
      <c r="K34" s="75">
        <f t="shared" si="5"/>
        <v>2833062.6000000015</v>
      </c>
      <c r="L34" s="91">
        <f t="shared" si="6"/>
        <v>21.259655406400441</v>
      </c>
      <c r="M34" s="71" t="s">
        <v>106</v>
      </c>
    </row>
    <row r="35" spans="1:105">
      <c r="A35" s="21">
        <v>7153</v>
      </c>
      <c r="B35" s="109" t="s">
        <v>29</v>
      </c>
      <c r="C35" s="106">
        <v>1599004.6199999999</v>
      </c>
      <c r="D35" s="110">
        <f t="shared" si="0"/>
        <v>2.1965254337404014E-2</v>
      </c>
      <c r="E35" s="106">
        <v>1526390.0599999996</v>
      </c>
      <c r="F35" s="110">
        <f t="shared" si="1"/>
        <v>2.0967760484635351E-2</v>
      </c>
      <c r="G35" s="106">
        <f t="shared" si="2"/>
        <v>72614.560000000289</v>
      </c>
      <c r="H35" s="111">
        <f t="shared" si="3"/>
        <v>4.7572741662115021</v>
      </c>
      <c r="I35" s="106">
        <v>1496489.46</v>
      </c>
      <c r="J35" s="41">
        <f t="shared" si="4"/>
        <v>2.1490123448812147E-2</v>
      </c>
      <c r="K35" s="75">
        <f t="shared" si="5"/>
        <v>102515.15999999992</v>
      </c>
      <c r="L35" s="91">
        <f t="shared" si="6"/>
        <v>6.8503763467869589</v>
      </c>
      <c r="M35" s="71" t="s">
        <v>107</v>
      </c>
    </row>
    <row r="36" spans="1:105" s="3" customFormat="1" ht="15" customHeight="1">
      <c r="A36" s="21">
        <v>7155</v>
      </c>
      <c r="B36" s="109" t="s">
        <v>26</v>
      </c>
      <c r="C36" s="106">
        <v>29858781.469999999</v>
      </c>
      <c r="D36" s="110">
        <f t="shared" si="0"/>
        <v>0.41016499951921093</v>
      </c>
      <c r="E36" s="106">
        <v>27319102.010000002</v>
      </c>
      <c r="F36" s="110">
        <f t="shared" si="1"/>
        <v>0.3752778549940245</v>
      </c>
      <c r="G36" s="106">
        <f t="shared" si="2"/>
        <v>2539679.4599999972</v>
      </c>
      <c r="H36" s="111">
        <f t="shared" si="3"/>
        <v>9.2963504403269326</v>
      </c>
      <c r="I36" s="106">
        <v>55544720.780000009</v>
      </c>
      <c r="J36" s="41">
        <f t="shared" si="4"/>
        <v>0.79764204052062049</v>
      </c>
      <c r="K36" s="75">
        <f t="shared" si="5"/>
        <v>-25685939.31000001</v>
      </c>
      <c r="L36" s="91">
        <f t="shared" si="6"/>
        <v>-46.243709481835673</v>
      </c>
      <c r="M36" s="71"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112" t="s">
        <v>187</v>
      </c>
      <c r="C37" s="105">
        <v>0</v>
      </c>
      <c r="D37" s="107">
        <f t="shared" si="0"/>
        <v>0</v>
      </c>
      <c r="E37" s="105">
        <v>0</v>
      </c>
      <c r="F37" s="107">
        <f t="shared" si="1"/>
        <v>0</v>
      </c>
      <c r="G37" s="105">
        <f t="shared" si="2"/>
        <v>0</v>
      </c>
      <c r="H37" s="108" t="e">
        <f t="shared" si="3"/>
        <v>#DIV/0!</v>
      </c>
      <c r="I37" s="105">
        <v>0</v>
      </c>
      <c r="J37" s="40">
        <f t="shared" si="4"/>
        <v>0</v>
      </c>
      <c r="K37" s="20">
        <f t="shared" si="5"/>
        <v>0</v>
      </c>
      <c r="L37" s="87" t="e">
        <f t="shared" si="6"/>
        <v>#DIV/0!</v>
      </c>
      <c r="M37" s="70" t="s">
        <v>108</v>
      </c>
    </row>
    <row r="38" spans="1:105" ht="15" customHeight="1">
      <c r="A38" s="18">
        <v>74</v>
      </c>
      <c r="B38" s="99" t="s">
        <v>183</v>
      </c>
      <c r="C38" s="105">
        <v>23417286.149999999</v>
      </c>
      <c r="D38" s="107">
        <f t="shared" si="0"/>
        <v>0.32167927455801748</v>
      </c>
      <c r="E38" s="105">
        <v>22395533.239999998</v>
      </c>
      <c r="F38" s="107">
        <f t="shared" si="1"/>
        <v>0.30764362872096379</v>
      </c>
      <c r="G38" s="105">
        <f t="shared" si="2"/>
        <v>1021752.9100000001</v>
      </c>
      <c r="H38" s="108">
        <f t="shared" si="3"/>
        <v>4.5623066843305935</v>
      </c>
      <c r="I38" s="105">
        <v>53240916.730000004</v>
      </c>
      <c r="J38" s="40">
        <f t="shared" si="4"/>
        <v>0.76455859104789692</v>
      </c>
      <c r="K38" s="20">
        <f t="shared" si="5"/>
        <v>-29823630.580000006</v>
      </c>
      <c r="L38" s="87">
        <f t="shared" si="6"/>
        <v>-56.016373142566664</v>
      </c>
      <c r="M38" s="70" t="s">
        <v>109</v>
      </c>
    </row>
    <row r="39" spans="1:105" ht="15" customHeight="1">
      <c r="A39" s="15"/>
      <c r="B39" s="16" t="s">
        <v>72</v>
      </c>
      <c r="C39" s="17">
        <f>+C40+C50+C56+C57+C58+C59+C60+C61</f>
        <v>1989029447.05</v>
      </c>
      <c r="D39" s="39">
        <f t="shared" si="0"/>
        <v>27.322959009986675</v>
      </c>
      <c r="E39" s="17">
        <f>+E40+E50+E56+E57+E58+E59+E60+E61</f>
        <v>2079580932.5899999</v>
      </c>
      <c r="F39" s="39">
        <f t="shared" ref="F39:F78" si="7">+E39/$E$2*100</f>
        <v>28.566849356292153</v>
      </c>
      <c r="G39" s="17">
        <f t="shared" si="2"/>
        <v>-90551485.539999962</v>
      </c>
      <c r="H39" s="90">
        <f t="shared" si="3"/>
        <v>-4.3543140890036511</v>
      </c>
      <c r="I39" s="17">
        <f>+I40+I50+I56+I57+I58+I59+I60+I61</f>
        <v>1727084811.8299999</v>
      </c>
      <c r="J39" s="39">
        <f t="shared" si="4"/>
        <v>24.801555109379251</v>
      </c>
      <c r="K39" s="17">
        <f t="shared" ref="K39:K61" si="8">+C39-I39</f>
        <v>261944635.22000003</v>
      </c>
      <c r="L39" s="90">
        <f t="shared" ref="L39:L61" si="9">+C39/I39*100-100</f>
        <v>15.166865774382359</v>
      </c>
      <c r="M39" s="79" t="s">
        <v>110</v>
      </c>
    </row>
    <row r="40" spans="1:105" ht="15" customHeight="1">
      <c r="A40" s="18">
        <v>41</v>
      </c>
      <c r="B40" s="19" t="s">
        <v>69</v>
      </c>
      <c r="C40" s="105">
        <f>+SUM(C41:C49)</f>
        <v>790672902.57999992</v>
      </c>
      <c r="D40" s="107">
        <f t="shared" si="0"/>
        <v>10.86133910161133</v>
      </c>
      <c r="E40" s="105">
        <f>+SUM(E41:E49)</f>
        <v>847418862.67999983</v>
      </c>
      <c r="F40" s="107">
        <f t="shared" si="7"/>
        <v>11.640848698160635</v>
      </c>
      <c r="G40" s="105">
        <f t="shared" si="2"/>
        <v>-56745960.099999905</v>
      </c>
      <c r="H40" s="108">
        <f t="shared" si="3"/>
        <v>-6.6963295955601296</v>
      </c>
      <c r="I40" s="105">
        <f>+SUM(I41:I49)</f>
        <v>733980977.73000014</v>
      </c>
      <c r="J40" s="40">
        <f t="shared" si="4"/>
        <v>10.540229144345288</v>
      </c>
      <c r="K40" s="20">
        <f t="shared" si="8"/>
        <v>56691924.849999785</v>
      </c>
      <c r="L40" s="87">
        <f t="shared" si="9"/>
        <v>7.7238956553522939</v>
      </c>
      <c r="M40" s="70" t="s">
        <v>111</v>
      </c>
    </row>
    <row r="41" spans="1:105" ht="15" customHeight="1">
      <c r="A41" s="21">
        <v>411</v>
      </c>
      <c r="B41" s="22" t="s">
        <v>30</v>
      </c>
      <c r="C41" s="104">
        <v>503980080.55000007</v>
      </c>
      <c r="D41" s="110">
        <f t="shared" si="0"/>
        <v>6.9230885963707305</v>
      </c>
      <c r="E41" s="104">
        <v>510131892.11999989</v>
      </c>
      <c r="F41" s="110">
        <f t="shared" si="7"/>
        <v>7.0075949849581693</v>
      </c>
      <c r="G41" s="104">
        <f t="shared" si="2"/>
        <v>-6151811.569999814</v>
      </c>
      <c r="H41" s="111">
        <f t="shared" si="3"/>
        <v>-1.2059256958889932</v>
      </c>
      <c r="I41" s="104">
        <v>473496952.43000007</v>
      </c>
      <c r="J41" s="41">
        <f t="shared" si="4"/>
        <v>6.799585451378344</v>
      </c>
      <c r="K41" s="23">
        <f t="shared" si="8"/>
        <v>30483128.120000005</v>
      </c>
      <c r="L41" s="91">
        <f t="shared" si="9"/>
        <v>6.437872084193927</v>
      </c>
      <c r="M41" s="71" t="s">
        <v>112</v>
      </c>
    </row>
    <row r="42" spans="1:105" ht="15" customHeight="1">
      <c r="A42" s="21">
        <v>412</v>
      </c>
      <c r="B42" s="22" t="s">
        <v>31</v>
      </c>
      <c r="C42" s="104">
        <v>13531114.979999999</v>
      </c>
      <c r="D42" s="110">
        <f t="shared" si="0"/>
        <v>0.18587462367954721</v>
      </c>
      <c r="E42" s="104">
        <v>15161198.540000003</v>
      </c>
      <c r="F42" s="110">
        <f t="shared" si="7"/>
        <v>0.20826680412654369</v>
      </c>
      <c r="G42" s="104">
        <f t="shared" si="2"/>
        <v>-1630083.5600000042</v>
      </c>
      <c r="H42" s="111">
        <f t="shared" si="3"/>
        <v>-10.75168005813876</v>
      </c>
      <c r="I42" s="104">
        <v>12269018.379999997</v>
      </c>
      <c r="J42" s="41">
        <f t="shared" si="4"/>
        <v>0.17618748853863972</v>
      </c>
      <c r="K42" s="23">
        <f t="shared" si="8"/>
        <v>1262096.6000000015</v>
      </c>
      <c r="L42" s="91">
        <f t="shared" si="9"/>
        <v>10.286858825294232</v>
      </c>
      <c r="M42" s="71" t="s">
        <v>113</v>
      </c>
    </row>
    <row r="43" spans="1:105" ht="15" customHeight="1">
      <c r="A43" s="21">
        <v>413</v>
      </c>
      <c r="B43" s="22" t="s">
        <v>73</v>
      </c>
      <c r="C43" s="104">
        <v>24392733.470000003</v>
      </c>
      <c r="D43" s="110">
        <f t="shared" si="0"/>
        <v>0.33507882838578518</v>
      </c>
      <c r="E43" s="104">
        <v>34846049.209999993</v>
      </c>
      <c r="F43" s="110">
        <f t="shared" si="7"/>
        <v>0.4786742477025151</v>
      </c>
      <c r="G43" s="104">
        <f t="shared" si="2"/>
        <v>-10453315.739999991</v>
      </c>
      <c r="H43" s="111">
        <f t="shared" si="3"/>
        <v>-29.998567920865298</v>
      </c>
      <c r="I43" s="104">
        <v>28131246.280000001</v>
      </c>
      <c r="J43" s="41">
        <f t="shared" si="4"/>
        <v>0.40397474989642596</v>
      </c>
      <c r="K43" s="23">
        <f t="shared" si="8"/>
        <v>-3738512.8099999987</v>
      </c>
      <c r="L43" s="91">
        <f t="shared" si="9"/>
        <v>-13.289538518092272</v>
      </c>
      <c r="M43" s="71" t="s">
        <v>114</v>
      </c>
    </row>
    <row r="44" spans="1:105" ht="15" customHeight="1">
      <c r="A44" s="21">
        <v>414</v>
      </c>
      <c r="B44" s="22" t="s">
        <v>74</v>
      </c>
      <c r="C44" s="104">
        <v>41837364.809999995</v>
      </c>
      <c r="D44" s="110">
        <f t="shared" si="0"/>
        <v>0.57471276027858287</v>
      </c>
      <c r="E44" s="104">
        <v>49196737.090000004</v>
      </c>
      <c r="F44" s="110">
        <f t="shared" si="7"/>
        <v>0.67580720482986945</v>
      </c>
      <c r="G44" s="104">
        <f t="shared" si="2"/>
        <v>-7359372.2800000086</v>
      </c>
      <c r="H44" s="111">
        <f t="shared" si="3"/>
        <v>-14.95906581474469</v>
      </c>
      <c r="I44" s="104">
        <v>43467811.719999999</v>
      </c>
      <c r="J44" s="41">
        <f t="shared" si="4"/>
        <v>0.6242133104716443</v>
      </c>
      <c r="K44" s="23">
        <f t="shared" si="8"/>
        <v>-1630446.9100000039</v>
      </c>
      <c r="L44" s="91">
        <f t="shared" si="9"/>
        <v>-3.7509293555024357</v>
      </c>
      <c r="M44" s="71" t="s">
        <v>115</v>
      </c>
    </row>
    <row r="45" spans="1:105" ht="15.75" customHeight="1">
      <c r="A45" s="21">
        <v>415</v>
      </c>
      <c r="B45" s="22" t="s">
        <v>32</v>
      </c>
      <c r="C45" s="104">
        <v>20812225.350000001</v>
      </c>
      <c r="D45" s="110">
        <f t="shared" si="0"/>
        <v>0.28589399769221263</v>
      </c>
      <c r="E45" s="104">
        <v>25075515.549999997</v>
      </c>
      <c r="F45" s="110">
        <f t="shared" si="7"/>
        <v>0.34445808961907765</v>
      </c>
      <c r="G45" s="104">
        <f t="shared" si="2"/>
        <v>-4263290.1999999955</v>
      </c>
      <c r="H45" s="111">
        <f t="shared" si="3"/>
        <v>-17.001804774458549</v>
      </c>
      <c r="I45" s="104">
        <v>16351956.210000001</v>
      </c>
      <c r="J45" s="41">
        <f t="shared" si="4"/>
        <v>0.23481993490450004</v>
      </c>
      <c r="K45" s="23">
        <f t="shared" si="8"/>
        <v>4460269.1400000006</v>
      </c>
      <c r="L45" s="91">
        <f t="shared" si="9"/>
        <v>27.27667003702183</v>
      </c>
      <c r="M45" s="71" t="s">
        <v>116</v>
      </c>
    </row>
    <row r="46" spans="1:105" ht="15" customHeight="1">
      <c r="A46" s="21">
        <v>416</v>
      </c>
      <c r="B46" s="22" t="s">
        <v>33</v>
      </c>
      <c r="C46" s="104">
        <v>94109263.75999999</v>
      </c>
      <c r="D46" s="110">
        <f t="shared" si="0"/>
        <v>1.2927629402310534</v>
      </c>
      <c r="E46" s="104">
        <v>94598555.610000014</v>
      </c>
      <c r="F46" s="110">
        <f t="shared" si="7"/>
        <v>1.299484259104084</v>
      </c>
      <c r="G46" s="104">
        <f t="shared" si="2"/>
        <v>-489291.85000002384</v>
      </c>
      <c r="H46" s="111">
        <f t="shared" si="3"/>
        <v>-0.51722972601952222</v>
      </c>
      <c r="I46" s="104">
        <v>79440248.75</v>
      </c>
      <c r="J46" s="41">
        <f t="shared" si="4"/>
        <v>1.1407903617589428</v>
      </c>
      <c r="K46" s="23">
        <f t="shared" si="8"/>
        <v>14669015.00999999</v>
      </c>
      <c r="L46" s="91">
        <f t="shared" si="9"/>
        <v>18.465469633867414</v>
      </c>
      <c r="M46" s="71" t="s">
        <v>117</v>
      </c>
    </row>
    <row r="47" spans="1:105" ht="15" customHeight="1">
      <c r="A47" s="21">
        <v>417</v>
      </c>
      <c r="B47" s="22" t="s">
        <v>34</v>
      </c>
      <c r="C47" s="104">
        <v>8063092.5600000015</v>
      </c>
      <c r="D47" s="110">
        <f t="shared" si="0"/>
        <v>0.11076133027459925</v>
      </c>
      <c r="E47" s="104">
        <v>10303655.640000001</v>
      </c>
      <c r="F47" s="110">
        <f t="shared" si="7"/>
        <v>0.1415395639930217</v>
      </c>
      <c r="G47" s="104">
        <f t="shared" si="2"/>
        <v>-2240563.0799999991</v>
      </c>
      <c r="H47" s="111">
        <f t="shared" si="3"/>
        <v>-21.745321838026783</v>
      </c>
      <c r="I47" s="104">
        <v>7233534.6100000013</v>
      </c>
      <c r="J47" s="41">
        <f t="shared" si="4"/>
        <v>0.10387614206127135</v>
      </c>
      <c r="K47" s="23">
        <f t="shared" si="8"/>
        <v>829557.95000000019</v>
      </c>
      <c r="L47" s="91">
        <f t="shared" si="9"/>
        <v>11.468223969692176</v>
      </c>
      <c r="M47" s="71" t="s">
        <v>118</v>
      </c>
    </row>
    <row r="48" spans="1:105" ht="15" customHeight="1">
      <c r="A48" s="21">
        <v>418</v>
      </c>
      <c r="B48" s="22" t="s">
        <v>35</v>
      </c>
      <c r="C48" s="104">
        <v>44889147.799999967</v>
      </c>
      <c r="D48" s="110">
        <f t="shared" si="0"/>
        <v>0.61663458384274028</v>
      </c>
      <c r="E48" s="104">
        <v>52521573.910000011</v>
      </c>
      <c r="F48" s="110">
        <f t="shared" si="7"/>
        <v>0.72147992238691172</v>
      </c>
      <c r="G48" s="104">
        <f t="shared" si="2"/>
        <v>-7632426.1100000441</v>
      </c>
      <c r="H48" s="111">
        <f t="shared" si="3"/>
        <v>-14.531982844000126</v>
      </c>
      <c r="I48" s="104">
        <v>40012368.609999999</v>
      </c>
      <c r="J48" s="41">
        <f t="shared" si="4"/>
        <v>0.57459191253393527</v>
      </c>
      <c r="K48" s="23">
        <f t="shared" si="8"/>
        <v>4876779.1899999678</v>
      </c>
      <c r="L48" s="91">
        <f t="shared" si="9"/>
        <v>12.188179204120274</v>
      </c>
      <c r="M48" s="71" t="s">
        <v>119</v>
      </c>
    </row>
    <row r="49" spans="1:15" ht="15" customHeight="1">
      <c r="A49" s="21">
        <v>419</v>
      </c>
      <c r="B49" s="22" t="s">
        <v>36</v>
      </c>
      <c r="C49" s="104">
        <v>39057879.299999997</v>
      </c>
      <c r="D49" s="110">
        <f t="shared" si="0"/>
        <v>0.53653144085607929</v>
      </c>
      <c r="E49" s="104">
        <v>55583685.010000005</v>
      </c>
      <c r="F49" s="110">
        <f t="shared" si="7"/>
        <v>0.76354362144044396</v>
      </c>
      <c r="G49" s="104">
        <f t="shared" si="2"/>
        <v>-16525805.710000008</v>
      </c>
      <c r="H49" s="111">
        <f t="shared" si="3"/>
        <v>-29.731396374721953</v>
      </c>
      <c r="I49" s="104">
        <v>33577840.739999995</v>
      </c>
      <c r="J49" s="41">
        <f t="shared" si="4"/>
        <v>0.48218979280158353</v>
      </c>
      <c r="K49" s="23">
        <f t="shared" si="8"/>
        <v>5480038.5600000024</v>
      </c>
      <c r="L49" s="91">
        <f t="shared" si="9"/>
        <v>16.320401905628913</v>
      </c>
      <c r="M49" s="71" t="s">
        <v>120</v>
      </c>
    </row>
    <row r="50" spans="1:15" ht="15" customHeight="1">
      <c r="A50" s="18">
        <v>42</v>
      </c>
      <c r="B50" s="19" t="s">
        <v>37</v>
      </c>
      <c r="C50" s="105">
        <f>+SUM(C51:C55)</f>
        <v>740055099.6099999</v>
      </c>
      <c r="D50" s="107">
        <f t="shared" si="0"/>
        <v>10.166010956632828</v>
      </c>
      <c r="E50" s="105">
        <f>+SUM(E51:E55)</f>
        <v>746924806.73000002</v>
      </c>
      <c r="F50" s="107">
        <f t="shared" si="7"/>
        <v>10.260378954215147</v>
      </c>
      <c r="G50" s="105">
        <f t="shared" si="2"/>
        <v>-6869707.120000124</v>
      </c>
      <c r="H50" s="108">
        <f t="shared" si="3"/>
        <v>-0.91973208790257388</v>
      </c>
      <c r="I50" s="105">
        <f>+SUM(I51:I55)</f>
        <v>598782276.91999996</v>
      </c>
      <c r="J50" s="40">
        <f t="shared" si="4"/>
        <v>8.5987274845033781</v>
      </c>
      <c r="K50" s="20">
        <f t="shared" si="8"/>
        <v>141272822.68999994</v>
      </c>
      <c r="L50" s="87">
        <f t="shared" si="9"/>
        <v>23.593354067971958</v>
      </c>
      <c r="M50" s="70" t="s">
        <v>121</v>
      </c>
    </row>
    <row r="51" spans="1:15" ht="15" customHeight="1">
      <c r="A51" s="21">
        <v>421</v>
      </c>
      <c r="B51" s="22" t="s">
        <v>38</v>
      </c>
      <c r="C51" s="104">
        <v>156007087.56999999</v>
      </c>
      <c r="D51" s="110">
        <f t="shared" si="0"/>
        <v>2.1430428117916946</v>
      </c>
      <c r="E51" s="104">
        <v>157841235.99000001</v>
      </c>
      <c r="F51" s="110">
        <f t="shared" si="7"/>
        <v>2.1682381964916138</v>
      </c>
      <c r="G51" s="104">
        <f t="shared" si="2"/>
        <v>-1834148.4200000167</v>
      </c>
      <c r="H51" s="111">
        <f t="shared" si="3"/>
        <v>-1.1620210704104181</v>
      </c>
      <c r="I51" s="104">
        <v>154754788.06999999</v>
      </c>
      <c r="J51" s="41">
        <f t="shared" si="4"/>
        <v>2.2223340616906593</v>
      </c>
      <c r="K51" s="23">
        <f t="shared" si="8"/>
        <v>1252299.5</v>
      </c>
      <c r="L51" s="91">
        <f t="shared" si="9"/>
        <v>0.80921535005013823</v>
      </c>
      <c r="M51" s="71" t="s">
        <v>122</v>
      </c>
    </row>
    <row r="52" spans="1:15" ht="15" customHeight="1">
      <c r="A52" s="21">
        <v>422</v>
      </c>
      <c r="B52" s="22" t="s">
        <v>39</v>
      </c>
      <c r="C52" s="104">
        <v>15247403.85</v>
      </c>
      <c r="D52" s="110">
        <f t="shared" si="0"/>
        <v>0.20945099179911258</v>
      </c>
      <c r="E52" s="104">
        <v>15483295.550000001</v>
      </c>
      <c r="F52" s="110">
        <f t="shared" si="7"/>
        <v>0.21269139593664577</v>
      </c>
      <c r="G52" s="104">
        <f t="shared" si="2"/>
        <v>-235891.70000000112</v>
      </c>
      <c r="H52" s="111">
        <f t="shared" si="3"/>
        <v>-1.5235238469629309</v>
      </c>
      <c r="I52" s="104">
        <v>16452951.379999999</v>
      </c>
      <c r="J52" s="41">
        <f t="shared" si="4"/>
        <v>0.23627026163853113</v>
      </c>
      <c r="K52" s="23">
        <f t="shared" si="8"/>
        <v>-1205547.5299999993</v>
      </c>
      <c r="L52" s="91">
        <f t="shared" si="9"/>
        <v>-7.327241794839594</v>
      </c>
      <c r="M52" s="71" t="s">
        <v>123</v>
      </c>
    </row>
    <row r="53" spans="1:15">
      <c r="A53" s="21">
        <v>423</v>
      </c>
      <c r="B53" s="22" t="s">
        <v>40</v>
      </c>
      <c r="C53" s="104">
        <v>541208348.95999992</v>
      </c>
      <c r="D53" s="110">
        <f t="shared" si="0"/>
        <v>7.4344869838042769</v>
      </c>
      <c r="E53" s="104">
        <v>544198275.18999994</v>
      </c>
      <c r="F53" s="110">
        <f t="shared" si="7"/>
        <v>7.4755590915834436</v>
      </c>
      <c r="G53" s="104">
        <f t="shared" si="2"/>
        <v>-2989926.2300000191</v>
      </c>
      <c r="H53" s="111">
        <f t="shared" si="3"/>
        <v>-0.54941854215839214</v>
      </c>
      <c r="I53" s="104">
        <v>404744496.39999992</v>
      </c>
      <c r="J53" s="41">
        <f t="shared" si="4"/>
        <v>5.8122756125948936</v>
      </c>
      <c r="K53" s="23">
        <f t="shared" si="8"/>
        <v>136463852.56</v>
      </c>
      <c r="L53" s="91">
        <f t="shared" si="9"/>
        <v>33.716048957744391</v>
      </c>
      <c r="M53" s="71" t="s">
        <v>124</v>
      </c>
    </row>
    <row r="54" spans="1:15" ht="15" customHeight="1">
      <c r="A54" s="21">
        <v>424</v>
      </c>
      <c r="B54" s="22" t="s">
        <v>41</v>
      </c>
      <c r="C54" s="104">
        <v>16008471.790000001</v>
      </c>
      <c r="D54" s="110">
        <f t="shared" si="0"/>
        <v>0.21990565256810035</v>
      </c>
      <c r="E54" s="104">
        <v>17042000</v>
      </c>
      <c r="F54" s="110">
        <f t="shared" si="7"/>
        <v>0.23410305369726772</v>
      </c>
      <c r="G54" s="104">
        <f t="shared" si="2"/>
        <v>-1033528.209999999</v>
      </c>
      <c r="H54" s="111">
        <f t="shared" si="3"/>
        <v>-6.0645945898368723</v>
      </c>
      <c r="I54" s="104">
        <v>13718075.59</v>
      </c>
      <c r="J54" s="41">
        <f t="shared" si="4"/>
        <v>0.19699646792650083</v>
      </c>
      <c r="K54" s="23">
        <f t="shared" si="8"/>
        <v>2290396.2000000011</v>
      </c>
      <c r="L54" s="91">
        <f t="shared" si="9"/>
        <v>16.696191714161571</v>
      </c>
      <c r="M54" s="71" t="s">
        <v>125</v>
      </c>
    </row>
    <row r="55" spans="1:15" ht="15" customHeight="1">
      <c r="A55" s="21">
        <v>425</v>
      </c>
      <c r="B55" s="22" t="s">
        <v>42</v>
      </c>
      <c r="C55" s="104">
        <v>11583787.440000001</v>
      </c>
      <c r="D55" s="110">
        <f t="shared" si="0"/>
        <v>0.159124516669643</v>
      </c>
      <c r="E55" s="104">
        <v>12360000</v>
      </c>
      <c r="F55" s="110">
        <f t="shared" si="7"/>
        <v>0.1697872165061747</v>
      </c>
      <c r="G55" s="104">
        <f t="shared" si="2"/>
        <v>-776212.55999999866</v>
      </c>
      <c r="H55" s="111">
        <f t="shared" si="3"/>
        <v>-6.2800368932038708</v>
      </c>
      <c r="I55" s="104">
        <v>9111965.4800000004</v>
      </c>
      <c r="J55" s="41">
        <f t="shared" si="4"/>
        <v>0.13085108065279313</v>
      </c>
      <c r="K55" s="23">
        <f t="shared" si="8"/>
        <v>2471821.9600000009</v>
      </c>
      <c r="L55" s="91">
        <f t="shared" si="9"/>
        <v>27.127209441535328</v>
      </c>
      <c r="M55" s="71" t="s">
        <v>126</v>
      </c>
      <c r="O55" s="77"/>
    </row>
    <row r="56" spans="1:15" ht="15" customHeight="1">
      <c r="A56" s="18">
        <v>43</v>
      </c>
      <c r="B56" s="76" t="s">
        <v>43</v>
      </c>
      <c r="C56" s="105">
        <v>278524012.40000004</v>
      </c>
      <c r="D56" s="107">
        <f t="shared" si="0"/>
        <v>3.8260369575669335</v>
      </c>
      <c r="E56" s="105">
        <v>307221919.07000005</v>
      </c>
      <c r="F56" s="107">
        <f t="shared" si="7"/>
        <v>4.2202552175227011</v>
      </c>
      <c r="G56" s="105">
        <f t="shared" si="2"/>
        <v>-28697906.670000017</v>
      </c>
      <c r="H56" s="108">
        <f t="shared" si="3"/>
        <v>-9.3410999960133836</v>
      </c>
      <c r="I56" s="105">
        <v>255077702.99000001</v>
      </c>
      <c r="J56" s="40">
        <f t="shared" si="4"/>
        <v>3.6630069725279184</v>
      </c>
      <c r="K56" s="20">
        <f t="shared" si="8"/>
        <v>23446309.410000026</v>
      </c>
      <c r="L56" s="87">
        <f t="shared" si="9"/>
        <v>9.1918302286575084</v>
      </c>
      <c r="M56" s="70" t="s">
        <v>127</v>
      </c>
    </row>
    <row r="57" spans="1:15" ht="15" customHeight="1">
      <c r="A57" s="18">
        <v>44</v>
      </c>
      <c r="B57" s="19" t="s">
        <v>65</v>
      </c>
      <c r="C57" s="105">
        <v>137146676.69999999</v>
      </c>
      <c r="D57" s="107">
        <f t="shared" si="0"/>
        <v>1.8839605574405536</v>
      </c>
      <c r="E57" s="105">
        <v>140875938.27999997</v>
      </c>
      <c r="F57" s="107">
        <f t="shared" si="7"/>
        <v>1.9351887890984514</v>
      </c>
      <c r="G57" s="105">
        <f t="shared" si="2"/>
        <v>-3729261.5799999833</v>
      </c>
      <c r="H57" s="108">
        <f t="shared" si="3"/>
        <v>-2.6471955576883772</v>
      </c>
      <c r="I57" s="105">
        <v>113753617.38</v>
      </c>
      <c r="J57" s="40">
        <f t="shared" si="4"/>
        <v>1.6335425979178915</v>
      </c>
      <c r="K57" s="20">
        <f t="shared" si="8"/>
        <v>23393059.319999993</v>
      </c>
      <c r="L57" s="87">
        <f t="shared" si="9"/>
        <v>20.564672894624735</v>
      </c>
      <c r="M57" s="70" t="s">
        <v>128</v>
      </c>
    </row>
    <row r="58" spans="1:15" ht="15" customHeight="1">
      <c r="A58" s="18">
        <v>45</v>
      </c>
      <c r="B58" s="19" t="s">
        <v>44</v>
      </c>
      <c r="C58" s="105">
        <v>0</v>
      </c>
      <c r="D58" s="107">
        <f t="shared" si="0"/>
        <v>0</v>
      </c>
      <c r="E58" s="105">
        <v>0</v>
      </c>
      <c r="F58" s="107">
        <f t="shared" si="7"/>
        <v>0</v>
      </c>
      <c r="G58" s="105">
        <f t="shared" si="2"/>
        <v>0</v>
      </c>
      <c r="H58" s="108" t="e">
        <f t="shared" si="3"/>
        <v>#DIV/0!</v>
      </c>
      <c r="I58" s="105">
        <v>0</v>
      </c>
      <c r="J58" s="40">
        <f t="shared" si="4"/>
        <v>0</v>
      </c>
      <c r="K58" s="20">
        <f t="shared" si="8"/>
        <v>0</v>
      </c>
      <c r="L58" s="87" t="e">
        <f t="shared" si="9"/>
        <v>#DIV/0!</v>
      </c>
      <c r="M58" s="70" t="s">
        <v>129</v>
      </c>
      <c r="N58" s="85"/>
    </row>
    <row r="59" spans="1:15" ht="15" customHeight="1">
      <c r="A59" s="18">
        <v>462</v>
      </c>
      <c r="B59" s="19" t="s">
        <v>45</v>
      </c>
      <c r="C59" s="105">
        <v>5849367.6699999999</v>
      </c>
      <c r="D59" s="107">
        <f t="shared" si="0"/>
        <v>8.035176820473372E-2</v>
      </c>
      <c r="E59" s="105">
        <v>0.5</v>
      </c>
      <c r="F59" s="107">
        <f t="shared" si="7"/>
        <v>6.8684149072077141E-9</v>
      </c>
      <c r="G59" s="105">
        <f t="shared" si="2"/>
        <v>5849367.1699999999</v>
      </c>
      <c r="H59" s="113">
        <f t="shared" si="3"/>
        <v>1169873434</v>
      </c>
      <c r="I59" s="105">
        <v>2813572.16</v>
      </c>
      <c r="J59" s="40">
        <f t="shared" si="4"/>
        <v>4.0403901709097939E-2</v>
      </c>
      <c r="K59" s="20">
        <f t="shared" si="8"/>
        <v>3035795.51</v>
      </c>
      <c r="L59" s="87">
        <f t="shared" si="9"/>
        <v>107.89826375023557</v>
      </c>
      <c r="M59" s="70" t="s">
        <v>130</v>
      </c>
    </row>
    <row r="60" spans="1:15" ht="15" customHeight="1">
      <c r="A60" s="18">
        <v>463</v>
      </c>
      <c r="B60" s="19" t="s">
        <v>46</v>
      </c>
      <c r="C60" s="105">
        <v>16313395.099999998</v>
      </c>
      <c r="D60" s="107">
        <f t="shared" si="0"/>
        <v>0.22409433218401856</v>
      </c>
      <c r="E60" s="105">
        <v>6242154.6200000001</v>
      </c>
      <c r="F60" s="107">
        <f t="shared" si="7"/>
        <v>8.574741569020701E-2</v>
      </c>
      <c r="G60" s="105">
        <f t="shared" si="2"/>
        <v>10071240.479999997</v>
      </c>
      <c r="H60" s="108">
        <f t="shared" si="3"/>
        <v>161.34237443801089</v>
      </c>
      <c r="I60" s="105">
        <v>10514049.110000001</v>
      </c>
      <c r="J60" s="40">
        <f t="shared" si="4"/>
        <v>0.15098550264481883</v>
      </c>
      <c r="K60" s="20">
        <f t="shared" si="8"/>
        <v>5799345.9899999965</v>
      </c>
      <c r="L60" s="87">
        <f t="shared" si="9"/>
        <v>55.158064503276762</v>
      </c>
      <c r="M60" s="70" t="s">
        <v>131</v>
      </c>
    </row>
    <row r="61" spans="1:15" ht="15" customHeight="1">
      <c r="A61" s="18">
        <v>47</v>
      </c>
      <c r="B61" s="19" t="s">
        <v>47</v>
      </c>
      <c r="C61" s="105">
        <v>20467992.989999998</v>
      </c>
      <c r="D61" s="107">
        <f t="shared" si="0"/>
        <v>0.28116533634627799</v>
      </c>
      <c r="E61" s="105">
        <v>30897250.710000001</v>
      </c>
      <c r="F61" s="107">
        <f t="shared" si="7"/>
        <v>0.42443027473659628</v>
      </c>
      <c r="G61" s="105">
        <f t="shared" si="2"/>
        <v>-10429257.720000003</v>
      </c>
      <c r="H61" s="108">
        <f t="shared" si="3"/>
        <v>-33.754646385493885</v>
      </c>
      <c r="I61" s="105">
        <v>12162615.539999999</v>
      </c>
      <c r="J61" s="40">
        <f t="shared" si="4"/>
        <v>0.17465950573085962</v>
      </c>
      <c r="K61" s="20">
        <f t="shared" si="8"/>
        <v>8305377.4499999993</v>
      </c>
      <c r="L61" s="87">
        <f t="shared" si="9"/>
        <v>68.286113481804591</v>
      </c>
      <c r="M61" s="70" t="s">
        <v>132</v>
      </c>
    </row>
    <row r="62" spans="1:15" s="2" customFormat="1" ht="15" customHeight="1">
      <c r="A62" s="15"/>
      <c r="B62" s="16" t="s">
        <v>77</v>
      </c>
      <c r="C62" s="17">
        <f>+C6-C39</f>
        <v>86564235.249999762</v>
      </c>
      <c r="D62" s="39">
        <f t="shared" si="0"/>
        <v>1.1891181676442679</v>
      </c>
      <c r="E62" s="17">
        <f>+E6-E39</f>
        <v>-31558567.242398024</v>
      </c>
      <c r="F62" s="39">
        <f t="shared" si="7"/>
        <v>-0.43351466739560729</v>
      </c>
      <c r="G62" s="17">
        <f t="shared" si="2"/>
        <v>118122802.49239779</v>
      </c>
      <c r="H62" s="90">
        <f t="shared" si="3"/>
        <v>-374.2971015924424</v>
      </c>
      <c r="I62" s="17">
        <f>+I6-I39</f>
        <v>176664679.38000011</v>
      </c>
      <c r="J62" s="39">
        <f t="shared" si="4"/>
        <v>2.5369679308807296</v>
      </c>
      <c r="K62" s="17">
        <f t="shared" ref="K62" si="10">+C62-I62</f>
        <v>-90100444.130000353</v>
      </c>
      <c r="L62" s="90">
        <f t="shared" ref="L62" si="11">+C62/I62*100-100</f>
        <v>-51.000825092036173</v>
      </c>
      <c r="M62" s="79" t="s">
        <v>134</v>
      </c>
    </row>
    <row r="63" spans="1:15" ht="15" customHeight="1">
      <c r="A63" s="88"/>
      <c r="B63" s="89" t="s">
        <v>182</v>
      </c>
      <c r="C63" s="105">
        <v>0</v>
      </c>
      <c r="D63" s="40">
        <f t="shared" si="0"/>
        <v>0</v>
      </c>
      <c r="E63" s="20">
        <v>0</v>
      </c>
      <c r="F63" s="40">
        <f t="shared" si="7"/>
        <v>0</v>
      </c>
      <c r="G63" s="20">
        <f t="shared" ref="G63:G64" si="12">+C63-E63</f>
        <v>0</v>
      </c>
      <c r="H63" s="87" t="e">
        <f t="shared" ref="H63:H64" si="13">+C63/E63*100-100</f>
        <v>#DIV/0!</v>
      </c>
      <c r="I63" s="20">
        <v>0</v>
      </c>
      <c r="J63" s="40">
        <f t="shared" si="4"/>
        <v>0</v>
      </c>
      <c r="K63" s="20">
        <f t="shared" ref="K63:K64" si="14">+C63-I63</f>
        <v>0</v>
      </c>
      <c r="L63" s="87" t="e">
        <f t="shared" ref="L63:L64" si="15">+C63/I63*100-100</f>
        <v>#DIV/0!</v>
      </c>
      <c r="M63" s="70" t="s">
        <v>133</v>
      </c>
    </row>
    <row r="64" spans="1:15" s="2" customFormat="1" ht="15" customHeight="1">
      <c r="A64" s="15"/>
      <c r="B64" s="16" t="s">
        <v>59</v>
      </c>
      <c r="C64" s="17">
        <f>+C62-C63</f>
        <v>86564235.249999762</v>
      </c>
      <c r="D64" s="39">
        <f t="shared" si="0"/>
        <v>1.1891181676442679</v>
      </c>
      <c r="E64" s="17">
        <f>+E62-E63</f>
        <v>-31558567.242398024</v>
      </c>
      <c r="F64" s="39">
        <f t="shared" si="7"/>
        <v>-0.43351466739560729</v>
      </c>
      <c r="G64" s="17">
        <f t="shared" si="12"/>
        <v>118122802.49239779</v>
      </c>
      <c r="H64" s="90">
        <f t="shared" si="13"/>
        <v>-374.2971015924424</v>
      </c>
      <c r="I64" s="17">
        <f>+I62-I63</f>
        <v>176664679.38000011</v>
      </c>
      <c r="J64" s="39">
        <f t="shared" si="4"/>
        <v>2.5369679308807296</v>
      </c>
      <c r="K64" s="17">
        <f t="shared" si="14"/>
        <v>-90100444.130000353</v>
      </c>
      <c r="L64" s="90">
        <f t="shared" si="15"/>
        <v>-51.000825092036173</v>
      </c>
      <c r="M64" s="79" t="s">
        <v>137</v>
      </c>
    </row>
    <row r="65" spans="1:13" s="2" customFormat="1" ht="15" customHeight="1">
      <c r="A65" s="15"/>
      <c r="B65" s="16" t="s">
        <v>186</v>
      </c>
      <c r="C65" s="17">
        <f>+C64+C46</f>
        <v>180673499.00999975</v>
      </c>
      <c r="D65" s="39">
        <f t="shared" si="0"/>
        <v>2.4818811078753211</v>
      </c>
      <c r="E65" s="17">
        <f>+E64+E46</f>
        <v>63039988.367601991</v>
      </c>
      <c r="F65" s="39">
        <f t="shared" si="7"/>
        <v>0.86596959170847698</v>
      </c>
      <c r="G65" s="17">
        <f t="shared" ref="G65" si="16">+C65-E65</f>
        <v>117633510.64239776</v>
      </c>
      <c r="H65" s="90">
        <f t="shared" ref="H65" si="17">+C65/E65*100-100</f>
        <v>186.60141552762866</v>
      </c>
      <c r="I65" s="17">
        <f>+I64+I46</f>
        <v>256104928.13000011</v>
      </c>
      <c r="J65" s="39">
        <f t="shared" si="4"/>
        <v>3.6777582926396719</v>
      </c>
      <c r="K65" s="17">
        <f t="shared" ref="K65" si="18">+C65-I65</f>
        <v>-75431429.120000362</v>
      </c>
      <c r="L65" s="90">
        <f t="shared" ref="L65" si="19">+C65/I65*100-100</f>
        <v>-29.453329801490966</v>
      </c>
      <c r="M65" s="79" t="s">
        <v>136</v>
      </c>
    </row>
    <row r="66" spans="1:13" s="2" customFormat="1" ht="15" customHeight="1">
      <c r="A66" s="15"/>
      <c r="B66" s="16" t="s">
        <v>76</v>
      </c>
      <c r="C66" s="17">
        <f>+C6-(C39-C57)</f>
        <v>223710911.94999981</v>
      </c>
      <c r="D66" s="39">
        <f t="shared" si="0"/>
        <v>3.0730787250848222</v>
      </c>
      <c r="E66" s="17">
        <f>+E6-(E39-E57)</f>
        <v>109317371.03760195</v>
      </c>
      <c r="F66" s="39">
        <f>+E66/$E$2*100</f>
        <v>1.5016741217028442</v>
      </c>
      <c r="G66" s="17">
        <f>+C66-E66</f>
        <v>114393540.91239786</v>
      </c>
      <c r="H66" s="90">
        <f t="shared" ref="H66" si="20">+C66/E66*100-100</f>
        <v>104.64351623773487</v>
      </c>
      <c r="I66" s="17">
        <f>+I6-(I39-I57)</f>
        <v>290418296.76000023</v>
      </c>
      <c r="J66" s="39">
        <f t="shared" si="4"/>
        <v>4.1705105287986228</v>
      </c>
      <c r="K66" s="17">
        <f>+C66-I66</f>
        <v>-66707384.81000042</v>
      </c>
      <c r="L66" s="90">
        <f t="shared" ref="L66" si="21">+C66/I66*100-100</f>
        <v>-22.969415341322986</v>
      </c>
      <c r="M66" s="79" t="s">
        <v>135</v>
      </c>
    </row>
    <row r="67" spans="1:13" s="2" customFormat="1" ht="15" customHeight="1">
      <c r="A67" s="15"/>
      <c r="B67" s="16" t="s">
        <v>0</v>
      </c>
      <c r="C67" s="17">
        <f>+C68+C69</f>
        <v>395043236.31</v>
      </c>
      <c r="D67" s="39">
        <f t="shared" si="0"/>
        <v>5.4266417065263681</v>
      </c>
      <c r="E67" s="17">
        <f>+E68+E69</f>
        <v>390899862.31999999</v>
      </c>
      <c r="F67" s="39">
        <f t="shared" si="7"/>
        <v>5.3697248831682618</v>
      </c>
      <c r="G67" s="17">
        <f t="shared" ref="G67" si="22">+C67-E67</f>
        <v>4143373.9900000095</v>
      </c>
      <c r="H67" s="90">
        <f t="shared" ref="H67" si="23">+C67/E67*100-100</f>
        <v>1.0599579046687353</v>
      </c>
      <c r="I67" s="17">
        <f>+I68+I69</f>
        <v>214413193.60999998</v>
      </c>
      <c r="J67" s="39">
        <f t="shared" si="4"/>
        <v>3.0790500854800271</v>
      </c>
      <c r="K67" s="17">
        <f t="shared" ref="K67" si="24">+C67-I67</f>
        <v>180630042.70000002</v>
      </c>
      <c r="L67" s="90">
        <f t="shared" ref="L67" si="25">+C67/I67*100-100</f>
        <v>84.243902932835027</v>
      </c>
      <c r="M67" s="79" t="s">
        <v>138</v>
      </c>
    </row>
    <row r="68" spans="1:13">
      <c r="A68" s="21">
        <v>4611</v>
      </c>
      <c r="B68" s="22" t="s">
        <v>179</v>
      </c>
      <c r="C68" s="104">
        <v>180902439.55000001</v>
      </c>
      <c r="D68" s="110">
        <f t="shared" si="0"/>
        <v>2.4850260251109249</v>
      </c>
      <c r="E68" s="104">
        <v>180902439.54999998</v>
      </c>
      <c r="F68" s="110">
        <f t="shared" si="7"/>
        <v>2.4850260251109249</v>
      </c>
      <c r="G68" s="104">
        <f t="shared" ref="G68:G77" si="26">+C68-E68</f>
        <v>0</v>
      </c>
      <c r="H68" s="111">
        <f t="shared" ref="H68:H78" si="27">+C68/E68*100-100</f>
        <v>0</v>
      </c>
      <c r="I68" s="104">
        <v>62031433.689999998</v>
      </c>
      <c r="J68" s="41">
        <f t="shared" si="4"/>
        <v>0.89079355607683641</v>
      </c>
      <c r="K68" s="23">
        <f t="shared" ref="K68:K71" si="28">+C68-I68</f>
        <v>118871005.86000001</v>
      </c>
      <c r="L68" s="91">
        <f t="shared" ref="L68:L71" si="29">+C68/I68*100-100</f>
        <v>191.63027321608246</v>
      </c>
      <c r="M68" s="71" t="s">
        <v>139</v>
      </c>
    </row>
    <row r="69" spans="1:13" ht="15" customHeight="1">
      <c r="A69" s="21">
        <v>4612</v>
      </c>
      <c r="B69" s="22" t="s">
        <v>180</v>
      </c>
      <c r="C69" s="104">
        <v>214140796.75999999</v>
      </c>
      <c r="D69" s="110">
        <f t="shared" si="0"/>
        <v>2.9416156814154428</v>
      </c>
      <c r="E69" s="104">
        <v>209997422.77000001</v>
      </c>
      <c r="F69" s="110">
        <f t="shared" si="7"/>
        <v>2.8846988580573378</v>
      </c>
      <c r="G69" s="104">
        <f t="shared" si="26"/>
        <v>4143373.9899999797</v>
      </c>
      <c r="H69" s="111">
        <f t="shared" si="27"/>
        <v>1.9730594477523624</v>
      </c>
      <c r="I69" s="104">
        <v>152381759.91999999</v>
      </c>
      <c r="J69" s="41">
        <f t="shared" si="4"/>
        <v>2.1882565294031906</v>
      </c>
      <c r="K69" s="23">
        <f t="shared" si="28"/>
        <v>61759036.840000004</v>
      </c>
      <c r="L69" s="91">
        <f t="shared" si="29"/>
        <v>40.529153143016146</v>
      </c>
      <c r="M69" s="71" t="s">
        <v>140</v>
      </c>
    </row>
    <row r="70" spans="1:13" s="2" customFormat="1" ht="15" customHeight="1">
      <c r="A70" s="80">
        <v>4418</v>
      </c>
      <c r="B70" s="16" t="s">
        <v>63</v>
      </c>
      <c r="C70" s="17">
        <v>3266458.45</v>
      </c>
      <c r="D70" s="39">
        <f t="shared" si="0"/>
        <v>4.4870783823509217E-2</v>
      </c>
      <c r="E70" s="17">
        <v>3510793.87</v>
      </c>
      <c r="F70" s="39">
        <f t="shared" si="7"/>
        <v>4.8227177905682928E-2</v>
      </c>
      <c r="G70" s="17">
        <f t="shared" si="26"/>
        <v>-244335.41999999993</v>
      </c>
      <c r="H70" s="90">
        <f t="shared" si="27"/>
        <v>-6.9595490093526848</v>
      </c>
      <c r="I70" s="17">
        <v>720866.76</v>
      </c>
      <c r="J70" s="39">
        <f t="shared" si="4"/>
        <v>1.0351904291090189E-2</v>
      </c>
      <c r="K70" s="17">
        <f t="shared" si="28"/>
        <v>2545591.6900000004</v>
      </c>
      <c r="L70" s="90">
        <f t="shared" si="29"/>
        <v>353.12929257551008</v>
      </c>
      <c r="M70" s="79" t="s">
        <v>141</v>
      </c>
    </row>
    <row r="71" spans="1:13" s="2" customFormat="1" ht="15" customHeight="1">
      <c r="A71" s="80">
        <v>45</v>
      </c>
      <c r="B71" s="16" t="s">
        <v>44</v>
      </c>
      <c r="C71" s="17">
        <v>5764989.5</v>
      </c>
      <c r="D71" s="39">
        <f t="shared" si="0"/>
        <v>7.9192679643391897E-2</v>
      </c>
      <c r="E71" s="17">
        <v>3517467.09</v>
      </c>
      <c r="F71" s="39">
        <f t="shared" si="7"/>
        <v>4.8318846793137082E-2</v>
      </c>
      <c r="G71" s="17">
        <f t="shared" si="26"/>
        <v>2247522.41</v>
      </c>
      <c r="H71" s="90">
        <f t="shared" si="27"/>
        <v>63.896046572535255</v>
      </c>
      <c r="I71" s="17">
        <v>8777177.6899999995</v>
      </c>
      <c r="J71" s="39">
        <f t="shared" si="4"/>
        <v>0.12604340834466005</v>
      </c>
      <c r="K71" s="17">
        <f t="shared" si="28"/>
        <v>-3012188.1899999995</v>
      </c>
      <c r="L71" s="90">
        <f t="shared" si="29"/>
        <v>-34.318414146176409</v>
      </c>
      <c r="M71" s="79" t="s">
        <v>108</v>
      </c>
    </row>
    <row r="72" spans="1:13" s="2" customFormat="1" ht="15" customHeight="1">
      <c r="A72" s="15"/>
      <c r="B72" s="16" t="s">
        <v>54</v>
      </c>
      <c r="C72" s="17">
        <f>+C64-C67-C70-C71</f>
        <v>-317510449.01000023</v>
      </c>
      <c r="D72" s="39">
        <f t="shared" si="0"/>
        <v>-4.3615870023490011</v>
      </c>
      <c r="E72" s="17">
        <f>+E64-E67-E70-E71</f>
        <v>-429486690.52239799</v>
      </c>
      <c r="F72" s="39">
        <f t="shared" si="7"/>
        <v>-5.8997855752626895</v>
      </c>
      <c r="G72" s="17">
        <f t="shared" si="26"/>
        <v>111976241.51239777</v>
      </c>
      <c r="H72" s="90">
        <f t="shared" si="27"/>
        <v>-26.072109796044572</v>
      </c>
      <c r="I72" s="17">
        <f>+I64-I67-I70-I71</f>
        <v>-47246558.679999866</v>
      </c>
      <c r="J72" s="39">
        <f t="shared" si="4"/>
        <v>-0.67847746723504765</v>
      </c>
      <c r="K72" s="17">
        <f t="shared" ref="K72:K78" si="30">+C72-I72</f>
        <v>-270263890.33000034</v>
      </c>
      <c r="L72" s="90">
        <f t="shared" ref="L72:L78" si="31">+C72/I72*100-100</f>
        <v>572.02873157491331</v>
      </c>
      <c r="M72" s="79" t="s">
        <v>142</v>
      </c>
    </row>
    <row r="73" spans="1:13" s="2" customFormat="1" ht="15" customHeight="1">
      <c r="A73" s="15"/>
      <c r="B73" s="16" t="s">
        <v>48</v>
      </c>
      <c r="C73" s="17">
        <f>SUM(C74:C78)+C63</f>
        <v>317510449.01000023</v>
      </c>
      <c r="D73" s="39">
        <f t="shared" ref="D73:D78" si="32">+C73/$C$2*100</f>
        <v>4.3615870023490011</v>
      </c>
      <c r="E73" s="17">
        <f>SUM(E74:E78)+E63</f>
        <v>429486690.52239799</v>
      </c>
      <c r="F73" s="39">
        <f t="shared" si="7"/>
        <v>5.8997855752626895</v>
      </c>
      <c r="G73" s="17">
        <f t="shared" si="26"/>
        <v>-111976241.51239777</v>
      </c>
      <c r="H73" s="90">
        <f t="shared" si="27"/>
        <v>-26.072109796044572</v>
      </c>
      <c r="I73" s="17">
        <f>SUM(I74:I78)+I63</f>
        <v>47246558.679999873</v>
      </c>
      <c r="J73" s="39">
        <f t="shared" ref="J73:J78" si="33">+I73/$I$2*100</f>
        <v>0.67847746723504776</v>
      </c>
      <c r="K73" s="17">
        <f t="shared" si="30"/>
        <v>270263890.33000034</v>
      </c>
      <c r="L73" s="90">
        <f t="shared" si="31"/>
        <v>572.02873157491331</v>
      </c>
      <c r="M73" s="79" t="s">
        <v>143</v>
      </c>
    </row>
    <row r="74" spans="1:13">
      <c r="A74" s="21">
        <v>7511</v>
      </c>
      <c r="B74" s="22" t="s">
        <v>55</v>
      </c>
      <c r="C74" s="104">
        <v>0</v>
      </c>
      <c r="D74" s="110">
        <f t="shared" si="32"/>
        <v>0</v>
      </c>
      <c r="E74" s="104">
        <v>0</v>
      </c>
      <c r="F74" s="110">
        <f t="shared" si="7"/>
        <v>0</v>
      </c>
      <c r="G74" s="104">
        <f t="shared" si="26"/>
        <v>0</v>
      </c>
      <c r="H74" s="111" t="e">
        <f t="shared" si="27"/>
        <v>#DIV/0!</v>
      </c>
      <c r="I74" s="104">
        <v>0</v>
      </c>
      <c r="J74" s="41">
        <f t="shared" si="33"/>
        <v>0</v>
      </c>
      <c r="K74" s="23">
        <f t="shared" si="30"/>
        <v>0</v>
      </c>
      <c r="L74" s="91" t="e">
        <f t="shared" si="31"/>
        <v>#DIV/0!</v>
      </c>
      <c r="M74" s="71" t="s">
        <v>144</v>
      </c>
    </row>
    <row r="75" spans="1:13" ht="15" customHeight="1">
      <c r="A75" s="21">
        <v>7512</v>
      </c>
      <c r="B75" s="22" t="s">
        <v>49</v>
      </c>
      <c r="C75" s="104">
        <v>712057525.35000002</v>
      </c>
      <c r="D75" s="110">
        <f t="shared" si="32"/>
        <v>9.7814130438067508</v>
      </c>
      <c r="E75" s="104">
        <v>867000000</v>
      </c>
      <c r="F75" s="110">
        <f t="shared" si="7"/>
        <v>11.909831449098176</v>
      </c>
      <c r="G75" s="104">
        <f t="shared" si="26"/>
        <v>-154942474.64999998</v>
      </c>
      <c r="H75" s="111">
        <f t="shared" si="27"/>
        <v>-17.871104342560557</v>
      </c>
      <c r="I75" s="104">
        <v>121161922.54999998</v>
      </c>
      <c r="J75" s="41">
        <f t="shared" si="33"/>
        <v>1.739928507678842</v>
      </c>
      <c r="K75" s="23">
        <f t="shared" si="30"/>
        <v>590895602.80000007</v>
      </c>
      <c r="L75" s="91">
        <f t="shared" si="31"/>
        <v>487.6908440901924</v>
      </c>
      <c r="M75" s="71" t="s">
        <v>145</v>
      </c>
    </row>
    <row r="76" spans="1:13" ht="15" customHeight="1">
      <c r="A76" s="18">
        <v>72</v>
      </c>
      <c r="B76" s="19" t="s">
        <v>172</v>
      </c>
      <c r="C76" s="105">
        <v>1568425.31</v>
      </c>
      <c r="D76" s="107">
        <f t="shared" si="32"/>
        <v>2.1545191560091763E-2</v>
      </c>
      <c r="E76" s="105">
        <v>4500000</v>
      </c>
      <c r="F76" s="107">
        <f t="shared" si="7"/>
        <v>6.1815734164869428E-2</v>
      </c>
      <c r="G76" s="105">
        <f t="shared" si="26"/>
        <v>-2931574.69</v>
      </c>
      <c r="H76" s="108">
        <f t="shared" si="27"/>
        <v>-65.14610422222222</v>
      </c>
      <c r="I76" s="105">
        <v>2417189.5500000003</v>
      </c>
      <c r="J76" s="40">
        <f t="shared" si="33"/>
        <v>3.4711705773509884E-2</v>
      </c>
      <c r="K76" s="20">
        <f t="shared" si="30"/>
        <v>-848764.24000000022</v>
      </c>
      <c r="L76" s="87">
        <f t="shared" si="31"/>
        <v>-35.113681506690284</v>
      </c>
      <c r="M76" s="70" t="s">
        <v>146</v>
      </c>
    </row>
    <row r="77" spans="1:13" ht="15" customHeight="1">
      <c r="A77" s="28">
        <v>73</v>
      </c>
      <c r="B77" s="29" t="s">
        <v>187</v>
      </c>
      <c r="C77" s="114">
        <v>14164487.84</v>
      </c>
      <c r="D77" s="107">
        <f t="shared" si="32"/>
        <v>0.19457515886643681</v>
      </c>
      <c r="E77" s="114">
        <v>5629073.2928197626</v>
      </c>
      <c r="F77" s="107">
        <f t="shared" si="7"/>
        <v>7.732562183633615E-2</v>
      </c>
      <c r="G77" s="105">
        <f t="shared" si="26"/>
        <v>8535414.5471802372</v>
      </c>
      <c r="H77" s="108">
        <f t="shared" si="27"/>
        <v>151.63090091698922</v>
      </c>
      <c r="I77" s="114">
        <v>10106341.66</v>
      </c>
      <c r="J77" s="40">
        <f>+I77/$I$2*100</f>
        <v>0.1451306779596517</v>
      </c>
      <c r="K77" s="20">
        <f t="shared" si="30"/>
        <v>4058146.1799999997</v>
      </c>
      <c r="L77" s="87">
        <f t="shared" si="31"/>
        <v>40.154452684513728</v>
      </c>
      <c r="M77" s="70" t="s">
        <v>108</v>
      </c>
    </row>
    <row r="78" spans="1:13" ht="15" customHeight="1" thickBot="1">
      <c r="A78" s="24"/>
      <c r="B78" s="25" t="s">
        <v>50</v>
      </c>
      <c r="C78" s="115">
        <f>+-C72-(SUM(C74:C77)+C63)</f>
        <v>-410279989.48999977</v>
      </c>
      <c r="D78" s="42">
        <f t="shared" si="32"/>
        <v>-5.6359463918842776</v>
      </c>
      <c r="E78" s="26">
        <f>+-E72-(SUM(E74:E77)+E63)</f>
        <v>-447642382.77042174</v>
      </c>
      <c r="F78" s="42">
        <f t="shared" si="7"/>
        <v>-6.1491872298366932</v>
      </c>
      <c r="G78" s="26">
        <f>+C78-E78</f>
        <v>37362393.280421972</v>
      </c>
      <c r="H78" s="92">
        <f t="shared" si="27"/>
        <v>-8.3464825312538977</v>
      </c>
      <c r="I78" s="26">
        <f t="shared" ref="I78" si="34">-I72-SUM(I74:I77)</f>
        <v>-86438895.080000103</v>
      </c>
      <c r="J78" s="42">
        <f t="shared" si="33"/>
        <v>-1.2412934241769555</v>
      </c>
      <c r="K78" s="26">
        <f t="shared" si="30"/>
        <v>-323841094.40999967</v>
      </c>
      <c r="L78" s="92">
        <f t="shared" si="31"/>
        <v>374.64742476206033</v>
      </c>
      <c r="M78" s="74" t="s">
        <v>147</v>
      </c>
    </row>
    <row r="79" spans="1:13" ht="13.5" customHeight="1"/>
    <row r="82" spans="9:9">
      <c r="I82" s="7"/>
    </row>
  </sheetData>
  <sheetProtection algorithmName="SHA-512" hashValue="bgNpqTDliyL3fBwE1meEhzHti6B0vqFs/SfVSk3V8ZbDr782VJ/xeJyfTclpYDEndgScxvghx1Tfh+/btC02pA==" saltValue="g0XSO1+UoDN6IVo+Lmcb9Q==" spinCount="100000" sheet="1"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80"/>
  <sheetViews>
    <sheetView zoomScale="90" zoomScaleNormal="90" zoomScaleSheetLayoutView="90" workbookViewId="0">
      <pane ySplit="5" topLeftCell="A6" activePane="bottomLeft" state="frozen"/>
      <selection activeCell="G14" sqref="G14"/>
      <selection pane="bottomLeft" activeCell="B2" sqref="B2"/>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93" customWidth="1"/>
    <col min="9" max="9" width="9.140625" style="6" customWidth="1"/>
    <col min="10" max="10" width="10.42578125" style="7" customWidth="1"/>
    <col min="11" max="11" width="11.140625" style="6" customWidth="1"/>
    <col min="12" max="12" width="11.7109375" style="93" customWidth="1"/>
    <col min="13" max="13" width="54.42578125" style="4" customWidth="1"/>
    <col min="14" max="16384" width="9.140625" style="1"/>
  </cols>
  <sheetData>
    <row r="1" spans="1:16382" ht="18.75" customHeight="1" thickBot="1">
      <c r="B1" s="5"/>
      <c r="M1" s="5"/>
    </row>
    <row r="2" spans="1:16382" ht="15.75" customHeight="1" thickBot="1">
      <c r="A2" s="8" t="s">
        <v>58</v>
      </c>
      <c r="B2" s="8"/>
      <c r="C2" s="132">
        <f>+'Centralna država-ek klas'!C2:D2</f>
        <v>7279700000</v>
      </c>
      <c r="D2" s="133"/>
      <c r="E2" s="132">
        <f>+'Centralna država-ek klas'!E2:F2</f>
        <v>7279700000</v>
      </c>
      <c r="F2" s="133"/>
      <c r="G2" s="9"/>
      <c r="H2" s="94"/>
      <c r="I2" s="132">
        <f>+'Centralna država-ek klas'!I2:J2</f>
        <v>6963615000</v>
      </c>
      <c r="J2" s="133"/>
      <c r="K2" s="9"/>
      <c r="L2" s="94"/>
      <c r="M2" s="8" t="s">
        <v>78</v>
      </c>
    </row>
    <row r="3" spans="1:16382" ht="15" customHeight="1" thickBot="1">
      <c r="A3" s="8"/>
      <c r="B3" s="8"/>
      <c r="C3" s="11"/>
      <c r="D3" s="8"/>
      <c r="E3" s="11"/>
      <c r="F3" s="10"/>
      <c r="G3" s="11"/>
      <c r="H3" s="94"/>
      <c r="I3" s="11"/>
      <c r="J3" s="10"/>
      <c r="K3" s="11"/>
      <c r="L3" s="94"/>
      <c r="M3" s="8"/>
    </row>
    <row r="4" spans="1:16382" ht="15" customHeight="1">
      <c r="A4" s="118" t="s">
        <v>70</v>
      </c>
      <c r="B4" s="130" t="s">
        <v>71</v>
      </c>
      <c r="C4" s="122" t="s">
        <v>191</v>
      </c>
      <c r="D4" s="123"/>
      <c r="E4" s="120" t="s">
        <v>192</v>
      </c>
      <c r="F4" s="121"/>
      <c r="G4" s="120" t="s">
        <v>171</v>
      </c>
      <c r="H4" s="121"/>
      <c r="I4" s="120" t="s">
        <v>194</v>
      </c>
      <c r="J4" s="121"/>
      <c r="K4" s="120" t="s">
        <v>171</v>
      </c>
      <c r="L4" s="121"/>
      <c r="M4" s="128" t="s">
        <v>148</v>
      </c>
    </row>
    <row r="5" spans="1:16382" ht="23.25" customHeight="1">
      <c r="A5" s="119"/>
      <c r="B5" s="131"/>
      <c r="C5" s="12" t="s">
        <v>61</v>
      </c>
      <c r="D5" s="13" t="s">
        <v>56</v>
      </c>
      <c r="E5" s="12" t="s">
        <v>61</v>
      </c>
      <c r="F5" s="13" t="s">
        <v>56</v>
      </c>
      <c r="G5" s="12" t="s">
        <v>64</v>
      </c>
      <c r="H5" s="95" t="s">
        <v>62</v>
      </c>
      <c r="I5" s="12" t="s">
        <v>61</v>
      </c>
      <c r="J5" s="14" t="s">
        <v>56</v>
      </c>
      <c r="K5" s="12" t="s">
        <v>61</v>
      </c>
      <c r="L5" s="97" t="s">
        <v>62</v>
      </c>
      <c r="M5" s="129"/>
    </row>
    <row r="6" spans="1:16382" s="34" customFormat="1" ht="15" customHeight="1">
      <c r="A6" s="31"/>
      <c r="B6" s="32" t="s">
        <v>51</v>
      </c>
      <c r="C6" s="33">
        <f>+C7+C12+C19+C30+C35+C36</f>
        <v>306202924.55000001</v>
      </c>
      <c r="D6" s="43">
        <f>+C6/$C$2*100</f>
        <v>4.2062574632196386</v>
      </c>
      <c r="E6" s="33">
        <f>+E7+E12+E19+E30+E35+E36</f>
        <v>318349150.05491</v>
      </c>
      <c r="F6" s="43">
        <f t="shared" ref="F6:F62" si="0">+E6/$E$2*100</f>
        <v>4.3731080958680986</v>
      </c>
      <c r="G6" s="33">
        <f>+C6-E6</f>
        <v>-12146225.504909992</v>
      </c>
      <c r="H6" s="96">
        <f>+C6/E6*100-100</f>
        <v>-3.8153786503953171</v>
      </c>
      <c r="I6" s="33">
        <f>+I7+I12+I19+I30+I35+I36</f>
        <v>259927452.06000006</v>
      </c>
      <c r="J6" s="43">
        <f>+I6/$I$2*100</f>
        <v>3.7326511023369333</v>
      </c>
      <c r="K6" s="33">
        <f>+C6-I6</f>
        <v>46275472.48999995</v>
      </c>
      <c r="L6" s="96">
        <f>+C6/I6*100-100</f>
        <v>17.803226293819094</v>
      </c>
      <c r="M6" s="69"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ht="15" customHeight="1">
      <c r="A7" s="18">
        <v>711</v>
      </c>
      <c r="B7" s="19" t="s">
        <v>1</v>
      </c>
      <c r="C7" s="20">
        <f>+SUM(C8:C11)</f>
        <v>172425521.43999997</v>
      </c>
      <c r="D7" s="40">
        <f t="shared" ref="D7:D66" si="1">+C7/$C$2*100</f>
        <v>2.3685800436831181</v>
      </c>
      <c r="E7" s="105">
        <f>+SUM(E8:E11)</f>
        <v>178097909.69870001</v>
      </c>
      <c r="F7" s="40">
        <f t="shared" si="0"/>
        <v>2.4465006758341694</v>
      </c>
      <c r="G7" s="20">
        <f t="shared" ref="G7:G65" si="2">+C7-E7</f>
        <v>-5672388.258700043</v>
      </c>
      <c r="H7" s="87">
        <f t="shared" ref="H7:H65" si="3">+C7/E7*100-100</f>
        <v>-3.1849830625729396</v>
      </c>
      <c r="I7" s="105">
        <f>+SUM(I8:I11)</f>
        <v>149564114.19000003</v>
      </c>
      <c r="J7" s="40">
        <f t="shared" ref="J7:J66" si="4">+I7/$I$2*100</f>
        <v>2.1477941297731138</v>
      </c>
      <c r="K7" s="20">
        <f>+C7-I7</f>
        <v>22861407.24999994</v>
      </c>
      <c r="L7" s="87">
        <f t="shared" ref="L7:L65" si="5">+C7/I7*100-100</f>
        <v>15.285355965106532</v>
      </c>
      <c r="M7" s="70" t="s">
        <v>79</v>
      </c>
    </row>
    <row r="8" spans="1:16382" ht="15" customHeight="1">
      <c r="A8" s="21">
        <v>7111</v>
      </c>
      <c r="B8" s="22" t="s">
        <v>2</v>
      </c>
      <c r="C8" s="104">
        <v>72471434.639999986</v>
      </c>
      <c r="D8" s="41">
        <f t="shared" si="1"/>
        <v>0.99552776405621091</v>
      </c>
      <c r="E8" s="104">
        <v>74645577.679199994</v>
      </c>
      <c r="F8" s="41">
        <f t="shared" si="0"/>
        <v>1.0253935969778973</v>
      </c>
      <c r="G8" s="23">
        <f t="shared" si="2"/>
        <v>-2174143.0392000079</v>
      </c>
      <c r="H8" s="91">
        <f t="shared" si="3"/>
        <v>-2.9126213592233086</v>
      </c>
      <c r="I8" s="104">
        <v>55118971.920000009</v>
      </c>
      <c r="J8" s="41">
        <f t="shared" si="4"/>
        <v>0.79152813474036121</v>
      </c>
      <c r="K8" s="23">
        <f t="shared" ref="K8:K65" si="6">+C8-I8</f>
        <v>17352462.719999976</v>
      </c>
      <c r="L8" s="91">
        <f t="shared" si="5"/>
        <v>31.481833052302648</v>
      </c>
      <c r="M8" s="71" t="s">
        <v>80</v>
      </c>
    </row>
    <row r="9" spans="1:16382" ht="15" customHeight="1">
      <c r="A9" s="21">
        <v>71131</v>
      </c>
      <c r="B9" s="22" t="s">
        <v>66</v>
      </c>
      <c r="C9" s="104">
        <v>62757715.889999993</v>
      </c>
      <c r="D9" s="41">
        <f t="shared" si="1"/>
        <v>0.86209206272236483</v>
      </c>
      <c r="E9" s="104">
        <v>64012870.207799993</v>
      </c>
      <c r="F9" s="41">
        <f t="shared" si="0"/>
        <v>0.87933390397681221</v>
      </c>
      <c r="G9" s="23">
        <f t="shared" ref="G9" si="7">+C9-E9</f>
        <v>-1255154.3178000003</v>
      </c>
      <c r="H9" s="91">
        <f t="shared" ref="H9" si="8">+C9/E9*100-100</f>
        <v>-1.9607843137254974</v>
      </c>
      <c r="I9" s="104">
        <v>62267636.810000002</v>
      </c>
      <c r="J9" s="41">
        <f t="shared" ref="J9" si="9">+I9/$I$2*100</f>
        <v>0.89418551729238338</v>
      </c>
      <c r="K9" s="23">
        <f t="shared" ref="K9" si="10">+C9-I9</f>
        <v>490079.07999999076</v>
      </c>
      <c r="L9" s="91">
        <f t="shared" ref="L9" si="11">+C9/I9*100-100</f>
        <v>0.78705264099774297</v>
      </c>
      <c r="M9" s="71" t="s">
        <v>150</v>
      </c>
    </row>
    <row r="10" spans="1:16382" ht="15" customHeight="1">
      <c r="A10" s="21">
        <v>71132</v>
      </c>
      <c r="B10" s="22" t="s">
        <v>4</v>
      </c>
      <c r="C10" s="104">
        <v>19163617.810000006</v>
      </c>
      <c r="D10" s="41">
        <f t="shared" si="1"/>
        <v>0.26324735648447062</v>
      </c>
      <c r="E10" s="104">
        <v>20505071.056700006</v>
      </c>
      <c r="F10" s="41">
        <f t="shared" si="0"/>
        <v>0.28167467143838354</v>
      </c>
      <c r="G10" s="23">
        <f t="shared" si="2"/>
        <v>-1341453.2467</v>
      </c>
      <c r="H10" s="91">
        <f t="shared" si="3"/>
        <v>-6.5420560747663501</v>
      </c>
      <c r="I10" s="104">
        <v>17286736.049999997</v>
      </c>
      <c r="J10" s="41">
        <f t="shared" si="4"/>
        <v>0.24824370747090407</v>
      </c>
      <c r="K10" s="23">
        <f t="shared" si="6"/>
        <v>1876881.7600000091</v>
      </c>
      <c r="L10" s="91">
        <f t="shared" si="5"/>
        <v>10.857351871234314</v>
      </c>
      <c r="M10" s="71" t="s">
        <v>82</v>
      </c>
    </row>
    <row r="11" spans="1:16382" ht="15" customHeight="1">
      <c r="A11" s="103" t="s">
        <v>189</v>
      </c>
      <c r="B11" s="22" t="s">
        <v>190</v>
      </c>
      <c r="C11" s="104">
        <v>18032753.100000001</v>
      </c>
      <c r="D11" s="41">
        <f t="shared" si="1"/>
        <v>0.24771286042007229</v>
      </c>
      <c r="E11" s="104">
        <v>18934390.755000003</v>
      </c>
      <c r="F11" s="41">
        <f t="shared" si="0"/>
        <v>0.26009850344107588</v>
      </c>
      <c r="G11" s="23">
        <f t="shared" si="2"/>
        <v>-901637.65500000119</v>
      </c>
      <c r="H11" s="91">
        <f t="shared" si="3"/>
        <v>-4.7619047619047734</v>
      </c>
      <c r="I11" s="104">
        <v>14890769.41</v>
      </c>
      <c r="J11" s="41">
        <f t="shared" si="4"/>
        <v>0.21383677026946493</v>
      </c>
      <c r="K11" s="23">
        <f t="shared" si="6"/>
        <v>3141983.6900000013</v>
      </c>
      <c r="L11" s="91">
        <f t="shared" si="5"/>
        <v>21.100210496107621</v>
      </c>
      <c r="M11" s="71" t="s">
        <v>160</v>
      </c>
    </row>
    <row r="12" spans="1:16382" ht="15" customHeight="1">
      <c r="A12" s="18">
        <v>713</v>
      </c>
      <c r="B12" s="19" t="s">
        <v>13</v>
      </c>
      <c r="C12" s="105">
        <f>C13+C17+C18</f>
        <v>4144228.55</v>
      </c>
      <c r="D12" s="40">
        <f t="shared" si="1"/>
        <v>5.6928562303391619E-2</v>
      </c>
      <c r="E12" s="105">
        <f>SUM(E13:E18)</f>
        <v>4424331.7371299993</v>
      </c>
      <c r="F12" s="40">
        <f t="shared" si="0"/>
        <v>6.0776292115471781E-2</v>
      </c>
      <c r="G12" s="20">
        <f t="shared" si="2"/>
        <v>-280103.18712999951</v>
      </c>
      <c r="H12" s="87">
        <f t="shared" si="3"/>
        <v>-6.3309716307959008</v>
      </c>
      <c r="I12" s="105">
        <f>SUM(I13:I18)</f>
        <v>3501915.0600000005</v>
      </c>
      <c r="J12" s="40">
        <f t="shared" si="4"/>
        <v>5.028875174747599E-2</v>
      </c>
      <c r="K12" s="20">
        <f t="shared" si="6"/>
        <v>642313.48999999929</v>
      </c>
      <c r="L12" s="87">
        <f t="shared" si="5"/>
        <v>18.341778112687848</v>
      </c>
      <c r="M12" s="70" t="s">
        <v>92</v>
      </c>
    </row>
    <row r="13" spans="1:16382">
      <c r="A13" s="21">
        <v>7131</v>
      </c>
      <c r="B13" s="22" t="s">
        <v>14</v>
      </c>
      <c r="C13" s="104">
        <v>849994.92999999993</v>
      </c>
      <c r="D13" s="41">
        <f t="shared" si="1"/>
        <v>1.1676235696525955E-2</v>
      </c>
      <c r="E13" s="104">
        <v>913744.54974999989</v>
      </c>
      <c r="F13" s="41">
        <f t="shared" si="0"/>
        <v>1.25519533737654E-2</v>
      </c>
      <c r="G13" s="23">
        <f t="shared" si="2"/>
        <v>-63749.619749999954</v>
      </c>
      <c r="H13" s="91">
        <f t="shared" si="3"/>
        <v>-6.9767441860465169</v>
      </c>
      <c r="I13" s="104">
        <v>885299.2300000001</v>
      </c>
      <c r="J13" s="41">
        <f t="shared" si="4"/>
        <v>1.2713213323826779E-2</v>
      </c>
      <c r="K13" s="23">
        <f t="shared" si="6"/>
        <v>-35304.300000000163</v>
      </c>
      <c r="L13" s="91">
        <f t="shared" si="5"/>
        <v>-3.9878381007967363</v>
      </c>
      <c r="M13" s="71" t="s">
        <v>93</v>
      </c>
    </row>
    <row r="14" spans="1:16382" hidden="1">
      <c r="A14" s="21">
        <v>7132</v>
      </c>
      <c r="B14" s="22" t="s">
        <v>15</v>
      </c>
      <c r="C14" s="104"/>
      <c r="D14" s="41">
        <f t="shared" si="1"/>
        <v>0</v>
      </c>
      <c r="E14" s="104">
        <v>0</v>
      </c>
      <c r="F14" s="41">
        <f t="shared" si="0"/>
        <v>0</v>
      </c>
      <c r="G14" s="23">
        <f t="shared" si="2"/>
        <v>0</v>
      </c>
      <c r="H14" s="91" t="e">
        <f t="shared" si="3"/>
        <v>#DIV/0!</v>
      </c>
      <c r="I14" s="104"/>
      <c r="J14" s="41">
        <f t="shared" si="4"/>
        <v>0</v>
      </c>
      <c r="K14" s="23">
        <f t="shared" si="6"/>
        <v>0</v>
      </c>
      <c r="L14" s="91" t="e">
        <f t="shared" si="5"/>
        <v>#DIV/0!</v>
      </c>
      <c r="M14" s="71" t="s">
        <v>94</v>
      </c>
    </row>
    <row r="15" spans="1:16382" ht="14.25" hidden="1" customHeight="1">
      <c r="A15" s="21">
        <v>7133</v>
      </c>
      <c r="B15" s="22" t="s">
        <v>16</v>
      </c>
      <c r="C15" s="104"/>
      <c r="D15" s="41">
        <f t="shared" si="1"/>
        <v>0</v>
      </c>
      <c r="E15" s="104">
        <v>0</v>
      </c>
      <c r="F15" s="41">
        <f t="shared" si="0"/>
        <v>0</v>
      </c>
      <c r="G15" s="23">
        <f t="shared" si="2"/>
        <v>0</v>
      </c>
      <c r="H15" s="91" t="e">
        <f t="shared" si="3"/>
        <v>#DIV/0!</v>
      </c>
      <c r="I15" s="104"/>
      <c r="J15" s="41">
        <f t="shared" si="4"/>
        <v>0</v>
      </c>
      <c r="K15" s="23">
        <f t="shared" si="6"/>
        <v>0</v>
      </c>
      <c r="L15" s="91" t="e">
        <f t="shared" si="5"/>
        <v>#DIV/0!</v>
      </c>
      <c r="M15" s="71" t="s">
        <v>156</v>
      </c>
    </row>
    <row r="16" spans="1:16382" hidden="1">
      <c r="A16" s="21">
        <v>7134</v>
      </c>
      <c r="B16" s="22" t="s">
        <v>151</v>
      </c>
      <c r="C16" s="104"/>
      <c r="D16" s="41">
        <f t="shared" si="1"/>
        <v>0</v>
      </c>
      <c r="E16" s="104">
        <v>0</v>
      </c>
      <c r="F16" s="41">
        <f t="shared" ref="F16:F17" si="12">+E16/$E$2*100</f>
        <v>0</v>
      </c>
      <c r="G16" s="23">
        <f t="shared" ref="G16:G17" si="13">+C16-E16</f>
        <v>0</v>
      </c>
      <c r="H16" s="91" t="e">
        <f t="shared" ref="H16:H17" si="14">+C16/E16*100-100</f>
        <v>#DIV/0!</v>
      </c>
      <c r="I16" s="104"/>
      <c r="J16" s="41">
        <f t="shared" ref="J16:J17" si="15">+I16/$I$2*100</f>
        <v>0</v>
      </c>
      <c r="K16" s="23">
        <f t="shared" ref="K16:K17" si="16">+C16-I16</f>
        <v>0</v>
      </c>
      <c r="L16" s="91" t="e">
        <f t="shared" ref="L16:L17" si="17">+C16/I16*100-100</f>
        <v>#DIV/0!</v>
      </c>
      <c r="M16" s="71" t="s">
        <v>155</v>
      </c>
    </row>
    <row r="17" spans="1:13" ht="15" customHeight="1">
      <c r="A17" s="21">
        <v>7135</v>
      </c>
      <c r="B17" s="22" t="s">
        <v>17</v>
      </c>
      <c r="C17" s="104">
        <v>2194260.0799999996</v>
      </c>
      <c r="D17" s="41">
        <f t="shared" si="1"/>
        <v>3.0142177287525579E-2</v>
      </c>
      <c r="E17" s="104">
        <v>2325915.6847999999</v>
      </c>
      <c r="F17" s="41">
        <f t="shared" si="12"/>
        <v>3.1950707924777118E-2</v>
      </c>
      <c r="G17" s="23">
        <f t="shared" si="13"/>
        <v>-131655.60480000032</v>
      </c>
      <c r="H17" s="91">
        <f t="shared" si="14"/>
        <v>-5.6603773584905781</v>
      </c>
      <c r="I17" s="104">
        <v>1891950.05</v>
      </c>
      <c r="J17" s="41">
        <f t="shared" si="15"/>
        <v>2.7169078847696204E-2</v>
      </c>
      <c r="K17" s="23">
        <f t="shared" si="16"/>
        <v>302310.02999999956</v>
      </c>
      <c r="L17" s="91">
        <f t="shared" si="17"/>
        <v>15.978753244568992</v>
      </c>
      <c r="M17" s="71" t="s">
        <v>154</v>
      </c>
    </row>
    <row r="18" spans="1:13" ht="15" customHeight="1">
      <c r="A18" s="21">
        <v>7136</v>
      </c>
      <c r="B18" s="22" t="s">
        <v>18</v>
      </c>
      <c r="C18" s="104">
        <v>1099973.5399999998</v>
      </c>
      <c r="D18" s="41">
        <f t="shared" si="1"/>
        <v>1.511014931934008E-2</v>
      </c>
      <c r="E18" s="104">
        <v>1184671.5025799999</v>
      </c>
      <c r="F18" s="41">
        <f t="shared" si="0"/>
        <v>1.6273630816929268E-2</v>
      </c>
      <c r="G18" s="23">
        <f t="shared" si="2"/>
        <v>-84697.96258000005</v>
      </c>
      <c r="H18" s="91">
        <f t="shared" si="3"/>
        <v>-7.1494893221912861</v>
      </c>
      <c r="I18" s="104">
        <v>724665.78</v>
      </c>
      <c r="J18" s="41">
        <f t="shared" si="4"/>
        <v>1.0406459575953007E-2</v>
      </c>
      <c r="K18" s="23">
        <f t="shared" si="6"/>
        <v>375307.75999999978</v>
      </c>
      <c r="L18" s="91">
        <f t="shared" si="5"/>
        <v>51.790462632304752</v>
      </c>
      <c r="M18" s="71" t="s">
        <v>96</v>
      </c>
    </row>
    <row r="19" spans="1:13" ht="15" customHeight="1">
      <c r="A19" s="18">
        <v>714</v>
      </c>
      <c r="B19" s="19" t="s">
        <v>19</v>
      </c>
      <c r="C19" s="105">
        <f>+SUM(C20:C29)</f>
        <v>60094787.040000014</v>
      </c>
      <c r="D19" s="40">
        <f t="shared" si="1"/>
        <v>0.82551186230201812</v>
      </c>
      <c r="E19" s="105">
        <f>+SUM(E20:E29)</f>
        <v>62502775.076900005</v>
      </c>
      <c r="F19" s="40">
        <f t="shared" si="0"/>
        <v>0.85858998416006171</v>
      </c>
      <c r="G19" s="20">
        <f t="shared" si="2"/>
        <v>-2407988.0368999913</v>
      </c>
      <c r="H19" s="87">
        <f t="shared" si="3"/>
        <v>-3.8526097984246945</v>
      </c>
      <c r="I19" s="105">
        <f>+SUM(I20:I29)</f>
        <v>56909031.960000001</v>
      </c>
      <c r="J19" s="40">
        <f t="shared" si="4"/>
        <v>0.81723403663183558</v>
      </c>
      <c r="K19" s="20">
        <f t="shared" si="6"/>
        <v>3185755.0800000131</v>
      </c>
      <c r="L19" s="87">
        <f t="shared" si="5"/>
        <v>5.5979779839502584</v>
      </c>
      <c r="M19" s="70" t="s">
        <v>97</v>
      </c>
    </row>
    <row r="20" spans="1:13" ht="15" customHeight="1">
      <c r="A20" s="21">
        <v>7141</v>
      </c>
      <c r="B20" s="22" t="s">
        <v>20</v>
      </c>
      <c r="C20" s="104">
        <v>3222770.5100000007</v>
      </c>
      <c r="D20" s="41">
        <f t="shared" si="1"/>
        <v>4.4270650026786824E-2</v>
      </c>
      <c r="E20" s="104">
        <v>3448364.445700001</v>
      </c>
      <c r="F20" s="41">
        <f t="shared" si="0"/>
        <v>4.7369595528661906E-2</v>
      </c>
      <c r="G20" s="23">
        <f t="shared" si="2"/>
        <v>-225593.93570000026</v>
      </c>
      <c r="H20" s="91">
        <f t="shared" si="3"/>
        <v>-6.5420560747663501</v>
      </c>
      <c r="I20" s="104">
        <v>3751084.5799999996</v>
      </c>
      <c r="J20" s="41">
        <f t="shared" si="4"/>
        <v>5.3866915100849191E-2</v>
      </c>
      <c r="K20" s="23">
        <f t="shared" si="6"/>
        <v>-528314.0699999989</v>
      </c>
      <c r="L20" s="91">
        <f t="shared" si="5"/>
        <v>-14.084301719477594</v>
      </c>
      <c r="M20" s="71" t="s">
        <v>98</v>
      </c>
    </row>
    <row r="21" spans="1:13" ht="15" customHeight="1">
      <c r="A21" s="21">
        <v>7142</v>
      </c>
      <c r="B21" s="22" t="s">
        <v>21</v>
      </c>
      <c r="C21" s="104">
        <v>5780590.2800000012</v>
      </c>
      <c r="D21" s="41">
        <f t="shared" si="1"/>
        <v>7.9406984903224051E-2</v>
      </c>
      <c r="E21" s="104">
        <v>6243037.5024000015</v>
      </c>
      <c r="F21" s="41">
        <f t="shared" si="0"/>
        <v>8.5759543695481985E-2</v>
      </c>
      <c r="G21" s="23">
        <f t="shared" si="2"/>
        <v>-462447.22240000032</v>
      </c>
      <c r="H21" s="91">
        <f t="shared" si="3"/>
        <v>-7.4074074074074048</v>
      </c>
      <c r="I21" s="104">
        <v>10725242.540000001</v>
      </c>
      <c r="J21" s="41">
        <f t="shared" si="4"/>
        <v>0.15401831577420635</v>
      </c>
      <c r="K21" s="23">
        <f t="shared" si="6"/>
        <v>-4944652.26</v>
      </c>
      <c r="L21" s="91">
        <f t="shared" si="5"/>
        <v>-46.102941183463429</v>
      </c>
      <c r="M21" s="71" t="s">
        <v>99</v>
      </c>
    </row>
    <row r="22" spans="1:13" hidden="1">
      <c r="A22" s="21">
        <v>7143</v>
      </c>
      <c r="B22" s="22" t="s">
        <v>22</v>
      </c>
      <c r="C22" s="104"/>
      <c r="D22" s="41">
        <f t="shared" si="1"/>
        <v>0</v>
      </c>
      <c r="E22" s="104">
        <v>0</v>
      </c>
      <c r="F22" s="41">
        <f t="shared" si="0"/>
        <v>0</v>
      </c>
      <c r="G22" s="23">
        <f t="shared" si="2"/>
        <v>0</v>
      </c>
      <c r="H22" s="91" t="e">
        <f t="shared" si="3"/>
        <v>#DIV/0!</v>
      </c>
      <c r="I22" s="104"/>
      <c r="J22" s="41">
        <f t="shared" si="4"/>
        <v>0</v>
      </c>
      <c r="K22" s="23">
        <f t="shared" si="6"/>
        <v>0</v>
      </c>
      <c r="L22" s="91" t="e">
        <f t="shared" si="5"/>
        <v>#DIV/0!</v>
      </c>
      <c r="M22" s="71" t="s">
        <v>100</v>
      </c>
    </row>
    <row r="23" spans="1:13" hidden="1">
      <c r="A23" s="21">
        <v>7144</v>
      </c>
      <c r="B23" s="22" t="s">
        <v>23</v>
      </c>
      <c r="C23" s="104"/>
      <c r="D23" s="41">
        <f>+C23/$C$2*100</f>
        <v>0</v>
      </c>
      <c r="E23" s="104">
        <v>0</v>
      </c>
      <c r="F23" s="41">
        <f>+E23/$E$2*100</f>
        <v>0</v>
      </c>
      <c r="G23" s="23">
        <f>+C23-E23</f>
        <v>0</v>
      </c>
      <c r="H23" s="91" t="e">
        <f>+C23/E23*100-100</f>
        <v>#DIV/0!</v>
      </c>
      <c r="I23" s="104"/>
      <c r="J23" s="41">
        <f>+I23/$I$2*100</f>
        <v>0</v>
      </c>
      <c r="K23" s="23">
        <f>+C23-I23</f>
        <v>0</v>
      </c>
      <c r="L23" s="91" t="e">
        <f>+C23/I23*100-100</f>
        <v>#DIV/0!</v>
      </c>
      <c r="M23" s="71" t="s">
        <v>101</v>
      </c>
    </row>
    <row r="24" spans="1:13" ht="15.75" hidden="1" customHeight="1">
      <c r="A24" s="21"/>
      <c r="B24" s="22" t="s">
        <v>24</v>
      </c>
      <c r="C24" s="104"/>
      <c r="D24" s="41"/>
      <c r="E24" s="104">
        <v>0</v>
      </c>
      <c r="F24" s="41">
        <f>+E24/$E$2*100</f>
        <v>0</v>
      </c>
      <c r="G24" s="23"/>
      <c r="H24" s="91"/>
      <c r="I24" s="104"/>
      <c r="J24" s="41">
        <f>+I24/$I$2*100</f>
        <v>0</v>
      </c>
      <c r="K24" s="23">
        <f>+C24-I24</f>
        <v>0</v>
      </c>
      <c r="L24" s="91" t="e">
        <f>+C24/I24*100-100</f>
        <v>#DIV/0!</v>
      </c>
      <c r="M24" s="71"/>
    </row>
    <row r="25" spans="1:13" ht="17.25" hidden="1" customHeight="1">
      <c r="A25" s="21">
        <v>7145</v>
      </c>
      <c r="B25" s="22" t="s">
        <v>67</v>
      </c>
      <c r="C25" s="104"/>
      <c r="D25" s="41">
        <f t="shared" ref="D25:D29" si="18">+C25/$C$2*100</f>
        <v>0</v>
      </c>
      <c r="E25" s="104">
        <v>0</v>
      </c>
      <c r="F25" s="41">
        <f t="shared" ref="F25:F29" si="19">+E25/$E$2*100</f>
        <v>0</v>
      </c>
      <c r="G25" s="23">
        <f t="shared" ref="G25:G27" si="20">+C25-E25</f>
        <v>0</v>
      </c>
      <c r="H25" s="91" t="e">
        <f t="shared" ref="H25:H27" si="21">+C25/E25*100-100</f>
        <v>#DIV/0!</v>
      </c>
      <c r="I25" s="104"/>
      <c r="J25" s="41">
        <f t="shared" ref="J25:J27" si="22">+I25/$I$2*100</f>
        <v>0</v>
      </c>
      <c r="K25" s="23">
        <f t="shared" ref="K25:K27" si="23">+C25-I25</f>
        <v>0</v>
      </c>
      <c r="L25" s="91" t="e">
        <f t="shared" ref="L25:L27" si="24">+C25/I25*100-100</f>
        <v>#DIV/0!</v>
      </c>
      <c r="M25" s="71" t="s">
        <v>157</v>
      </c>
    </row>
    <row r="26" spans="1:13" ht="15" customHeight="1">
      <c r="A26" s="21">
        <v>7146</v>
      </c>
      <c r="B26" s="22" t="s">
        <v>184</v>
      </c>
      <c r="C26" s="104">
        <v>43865042.730000004</v>
      </c>
      <c r="D26" s="41">
        <f t="shared" si="18"/>
        <v>0.60256662678407091</v>
      </c>
      <c r="E26" s="104">
        <v>45180994.011900008</v>
      </c>
      <c r="F26" s="41">
        <f t="shared" si="19"/>
        <v>0.62064362558759301</v>
      </c>
      <c r="G26" s="23">
        <f t="shared" si="20"/>
        <v>-1315951.2819000036</v>
      </c>
      <c r="H26" s="91">
        <f t="shared" si="21"/>
        <v>-2.9126213592233086</v>
      </c>
      <c r="I26" s="104">
        <v>35747059.849999994</v>
      </c>
      <c r="J26" s="41">
        <f t="shared" si="22"/>
        <v>0.5133405544390377</v>
      </c>
      <c r="K26" s="23">
        <f t="shared" si="23"/>
        <v>8117982.8800000101</v>
      </c>
      <c r="L26" s="91">
        <f t="shared" si="24"/>
        <v>22.709512094321255</v>
      </c>
      <c r="M26" s="71" t="s">
        <v>185</v>
      </c>
    </row>
    <row r="27" spans="1:13" ht="26.25" customHeight="1">
      <c r="A27" s="21">
        <v>7147</v>
      </c>
      <c r="B27" s="27" t="s">
        <v>68</v>
      </c>
      <c r="C27" s="104">
        <v>4267642.09</v>
      </c>
      <c r="D27" s="41">
        <f t="shared" si="18"/>
        <v>5.8623873099166175E-2</v>
      </c>
      <c r="E27" s="104">
        <v>4523700.6154000005</v>
      </c>
      <c r="F27" s="41">
        <f t="shared" si="19"/>
        <v>6.2141305485116149E-2</v>
      </c>
      <c r="G27" s="23">
        <f t="shared" si="20"/>
        <v>-256058.52540000062</v>
      </c>
      <c r="H27" s="91">
        <f t="shared" si="21"/>
        <v>-5.6603773584905781</v>
      </c>
      <c r="I27" s="104">
        <v>3486056.8200000003</v>
      </c>
      <c r="J27" s="41">
        <f t="shared" si="22"/>
        <v>5.0061021753787363E-2</v>
      </c>
      <c r="K27" s="23">
        <f t="shared" si="23"/>
        <v>781585.26999999955</v>
      </c>
      <c r="L27" s="91">
        <f t="shared" si="24"/>
        <v>22.420325036469137</v>
      </c>
      <c r="M27" s="72" t="s">
        <v>158</v>
      </c>
    </row>
    <row r="28" spans="1:13" ht="15" hidden="1" customHeight="1">
      <c r="A28" s="21">
        <v>7148</v>
      </c>
      <c r="B28" s="22" t="s">
        <v>24</v>
      </c>
      <c r="C28" s="116"/>
      <c r="D28" s="41">
        <f t="shared" si="18"/>
        <v>0</v>
      </c>
      <c r="E28" s="106"/>
      <c r="F28" s="41">
        <f t="shared" si="19"/>
        <v>0</v>
      </c>
      <c r="G28" s="75">
        <f t="shared" si="2"/>
        <v>0</v>
      </c>
      <c r="H28" s="91" t="e">
        <f t="shared" si="3"/>
        <v>#DIV/0!</v>
      </c>
      <c r="I28" s="116"/>
      <c r="J28" s="41">
        <f t="shared" si="4"/>
        <v>0</v>
      </c>
      <c r="K28" s="75">
        <f t="shared" si="6"/>
        <v>0</v>
      </c>
      <c r="L28" s="91" t="e">
        <f t="shared" si="5"/>
        <v>#DIV/0!</v>
      </c>
      <c r="M28" s="71" t="s">
        <v>102</v>
      </c>
    </row>
    <row r="29" spans="1:13" ht="15" customHeight="1">
      <c r="A29" s="21">
        <v>7149</v>
      </c>
      <c r="B29" s="22" t="s">
        <v>25</v>
      </c>
      <c r="C29" s="116">
        <v>2958741.4299999992</v>
      </c>
      <c r="D29" s="41">
        <f t="shared" si="18"/>
        <v>4.0643727488770133E-2</v>
      </c>
      <c r="E29" s="106">
        <v>3106678.5014999993</v>
      </c>
      <c r="F29" s="41">
        <f t="shared" si="19"/>
        <v>4.2675913863208639E-2</v>
      </c>
      <c r="G29" s="75">
        <f t="shared" si="2"/>
        <v>-147937.07150000008</v>
      </c>
      <c r="H29" s="91">
        <f t="shared" si="3"/>
        <v>-4.7619047619047734</v>
      </c>
      <c r="I29" s="116">
        <v>3199588.1700000004</v>
      </c>
      <c r="J29" s="41">
        <f t="shared" si="4"/>
        <v>4.5947229563954937E-2</v>
      </c>
      <c r="K29" s="75">
        <f t="shared" si="6"/>
        <v>-240846.74000000115</v>
      </c>
      <c r="L29" s="91">
        <f t="shared" si="5"/>
        <v>-7.5274293816382425</v>
      </c>
      <c r="M29" s="71" t="s">
        <v>103</v>
      </c>
    </row>
    <row r="30" spans="1:13" ht="15" customHeight="1">
      <c r="A30" s="18">
        <v>715</v>
      </c>
      <c r="B30" s="19" t="s">
        <v>26</v>
      </c>
      <c r="C30" s="105">
        <f>+SUM(C31:C34)</f>
        <v>24232593.120000005</v>
      </c>
      <c r="D30" s="40">
        <f t="shared" si="1"/>
        <v>0.33287900765141426</v>
      </c>
      <c r="E30" s="105">
        <f>+SUM(E31:E34)</f>
        <v>25750078.593000002</v>
      </c>
      <c r="F30" s="40">
        <f t="shared" si="0"/>
        <v>0.35372444733986297</v>
      </c>
      <c r="G30" s="20">
        <f t="shared" si="2"/>
        <v>-1517485.4729999974</v>
      </c>
      <c r="H30" s="87">
        <f t="shared" si="3"/>
        <v>-5.8931294812145438</v>
      </c>
      <c r="I30" s="105">
        <f>+SUM(I31:I34)</f>
        <v>11751057.190000001</v>
      </c>
      <c r="J30" s="40">
        <f t="shared" si="4"/>
        <v>0.16874938074548923</v>
      </c>
      <c r="K30" s="20">
        <f t="shared" si="6"/>
        <v>12481535.930000003</v>
      </c>
      <c r="L30" s="87">
        <f t="shared" si="5"/>
        <v>106.21628103913605</v>
      </c>
      <c r="M30" s="70" t="s">
        <v>104</v>
      </c>
    </row>
    <row r="31" spans="1:13" ht="15" customHeight="1">
      <c r="A31" s="21">
        <v>7151</v>
      </c>
      <c r="B31" s="22" t="s">
        <v>27</v>
      </c>
      <c r="C31" s="116">
        <v>1655233.8</v>
      </c>
      <c r="D31" s="41">
        <f t="shared" si="1"/>
        <v>2.2737665013668147E-2</v>
      </c>
      <c r="E31" s="106">
        <v>1787652.5040000002</v>
      </c>
      <c r="F31" s="41">
        <f t="shared" si="0"/>
        <v>2.4556678214761599E-2</v>
      </c>
      <c r="G31" s="75">
        <f t="shared" si="2"/>
        <v>-132418.70400000014</v>
      </c>
      <c r="H31" s="91">
        <f t="shared" si="3"/>
        <v>-7.407407407407419</v>
      </c>
      <c r="I31" s="116">
        <v>1228458.3900000001</v>
      </c>
      <c r="J31" s="41">
        <f t="shared" si="4"/>
        <v>1.7641101496851851E-2</v>
      </c>
      <c r="K31" s="75">
        <f t="shared" si="6"/>
        <v>426775.40999999992</v>
      </c>
      <c r="L31" s="91">
        <f t="shared" si="5"/>
        <v>34.740729802008161</v>
      </c>
      <c r="M31" s="71" t="s">
        <v>105</v>
      </c>
    </row>
    <row r="32" spans="1:13" ht="15" customHeight="1">
      <c r="A32" s="21">
        <v>7152</v>
      </c>
      <c r="B32" s="22" t="s">
        <v>28</v>
      </c>
      <c r="C32" s="116">
        <v>13168871.460000001</v>
      </c>
      <c r="D32" s="41">
        <f t="shared" si="1"/>
        <v>0.18089854609393247</v>
      </c>
      <c r="E32" s="106">
        <v>13959003.747600002</v>
      </c>
      <c r="F32" s="41">
        <f t="shared" si="0"/>
        <v>0.19175245885956843</v>
      </c>
      <c r="G32" s="75">
        <f t="shared" si="2"/>
        <v>-790132.28760000132</v>
      </c>
      <c r="H32" s="91">
        <f t="shared" si="3"/>
        <v>-5.6603773584905781</v>
      </c>
      <c r="I32" s="116">
        <v>2445272.7800000003</v>
      </c>
      <c r="J32" s="41">
        <f t="shared" si="4"/>
        <v>3.5114990992465844E-2</v>
      </c>
      <c r="K32" s="75">
        <f t="shared" si="6"/>
        <v>10723598.68</v>
      </c>
      <c r="L32" s="91">
        <f t="shared" si="5"/>
        <v>438.54406623706006</v>
      </c>
      <c r="M32" s="71" t="s">
        <v>106</v>
      </c>
    </row>
    <row r="33" spans="1:16382">
      <c r="A33" s="21">
        <v>7153</v>
      </c>
      <c r="B33" s="22" t="s">
        <v>29</v>
      </c>
      <c r="C33" s="116">
        <v>3182983.4399999995</v>
      </c>
      <c r="D33" s="41">
        <f t="shared" si="1"/>
        <v>4.372410181738258E-2</v>
      </c>
      <c r="E33" s="106">
        <v>3342132.6119999997</v>
      </c>
      <c r="F33" s="41">
        <f t="shared" si="0"/>
        <v>4.5910306908251708E-2</v>
      </c>
      <c r="G33" s="75">
        <f t="shared" si="2"/>
        <v>-159149.17200000025</v>
      </c>
      <c r="H33" s="91">
        <f t="shared" si="3"/>
        <v>-4.7619047619047734</v>
      </c>
      <c r="I33" s="116">
        <v>2878756.7499999995</v>
      </c>
      <c r="J33" s="41">
        <f t="shared" si="4"/>
        <v>4.1339975716635682E-2</v>
      </c>
      <c r="K33" s="75">
        <f t="shared" si="6"/>
        <v>304226.68999999994</v>
      </c>
      <c r="L33" s="91">
        <f t="shared" si="5"/>
        <v>10.56798876806802</v>
      </c>
      <c r="M33" s="71" t="s">
        <v>107</v>
      </c>
    </row>
    <row r="34" spans="1:16382" s="3" customFormat="1" ht="15" customHeight="1">
      <c r="A34" s="21">
        <v>7155</v>
      </c>
      <c r="B34" s="22" t="s">
        <v>26</v>
      </c>
      <c r="C34" s="116">
        <v>6225504.4199999999</v>
      </c>
      <c r="D34" s="41">
        <f t="shared" si="1"/>
        <v>8.5518694726431033E-2</v>
      </c>
      <c r="E34" s="106">
        <v>6661289.7294000005</v>
      </c>
      <c r="F34" s="41">
        <f t="shared" si="0"/>
        <v>9.1505003357281206E-2</v>
      </c>
      <c r="G34" s="75">
        <f t="shared" si="2"/>
        <v>-435785.30940000061</v>
      </c>
      <c r="H34" s="91">
        <f t="shared" si="3"/>
        <v>-6.5420560747663643</v>
      </c>
      <c r="I34" s="116">
        <v>5198569.2700000014</v>
      </c>
      <c r="J34" s="41">
        <f t="shared" si="4"/>
        <v>7.4653312539535874E-2</v>
      </c>
      <c r="K34" s="75">
        <f t="shared" si="6"/>
        <v>1026935.1499999985</v>
      </c>
      <c r="L34" s="91">
        <f t="shared" si="5"/>
        <v>19.754188059515812</v>
      </c>
      <c r="M34" s="71" t="s">
        <v>104</v>
      </c>
      <c r="N34" s="1"/>
      <c r="O34" s="1"/>
      <c r="P34" s="1"/>
    </row>
    <row r="35" spans="1:16382" ht="15" customHeight="1">
      <c r="A35" s="18">
        <v>73</v>
      </c>
      <c r="B35" s="99" t="s">
        <v>188</v>
      </c>
      <c r="C35" s="105">
        <v>135037.69</v>
      </c>
      <c r="D35" s="40">
        <f t="shared" si="1"/>
        <v>1.8549897660617885E-3</v>
      </c>
      <c r="E35" s="105">
        <v>144760.40368000002</v>
      </c>
      <c r="F35" s="40">
        <f t="shared" si="0"/>
        <v>1.9885490292182373E-3</v>
      </c>
      <c r="G35" s="20">
        <f t="shared" si="2"/>
        <v>-9722.7136800000153</v>
      </c>
      <c r="H35" s="87">
        <v>0</v>
      </c>
      <c r="I35" s="116">
        <v>190414.36000000002</v>
      </c>
      <c r="J35" s="40">
        <f t="shared" si="4"/>
        <v>2.7344182583327772E-3</v>
      </c>
      <c r="K35" s="20">
        <f t="shared" si="6"/>
        <v>-55376.670000000013</v>
      </c>
      <c r="L35" s="87">
        <v>0</v>
      </c>
      <c r="M35" s="70" t="s">
        <v>108</v>
      </c>
    </row>
    <row r="36" spans="1:16382" ht="15" customHeight="1">
      <c r="A36" s="18">
        <v>74</v>
      </c>
      <c r="B36" s="19" t="s">
        <v>183</v>
      </c>
      <c r="C36" s="105">
        <v>45170756.710000001</v>
      </c>
      <c r="D36" s="40">
        <f t="shared" si="1"/>
        <v>0.6205029975136338</v>
      </c>
      <c r="E36" s="105">
        <v>47429294.545500003</v>
      </c>
      <c r="F36" s="40">
        <f t="shared" si="0"/>
        <v>0.65152814738931553</v>
      </c>
      <c r="G36" s="20">
        <f t="shared" si="2"/>
        <v>-2258537.8355000019</v>
      </c>
      <c r="H36" s="87">
        <f t="shared" si="3"/>
        <v>-4.7619047619047734</v>
      </c>
      <c r="I36" s="105">
        <v>38010919.299999997</v>
      </c>
      <c r="J36" s="40">
        <f t="shared" si="4"/>
        <v>0.54585038518068563</v>
      </c>
      <c r="K36" s="20">
        <f t="shared" si="6"/>
        <v>7159837.4100000039</v>
      </c>
      <c r="L36" s="87">
        <f t="shared" si="5"/>
        <v>18.836264794048276</v>
      </c>
      <c r="M36" s="70" t="s">
        <v>109</v>
      </c>
    </row>
    <row r="37" spans="1:16382" s="34" customFormat="1" ht="15" customHeight="1">
      <c r="A37" s="31"/>
      <c r="B37" s="32" t="s">
        <v>72</v>
      </c>
      <c r="C37" s="33">
        <f>+C38+C48+C49++C50+C51+C52+C53+C54</f>
        <v>275058765.17300004</v>
      </c>
      <c r="D37" s="43">
        <f t="shared" si="1"/>
        <v>3.7784354461447593</v>
      </c>
      <c r="E37" s="33">
        <f>+E38+E48+E49++E50+E51+E52+E53+E54</f>
        <v>303319542.97245002</v>
      </c>
      <c r="F37" s="43">
        <f t="shared" si="0"/>
        <v>4.1666489411988135</v>
      </c>
      <c r="G37" s="33">
        <f t="shared" si="2"/>
        <v>-28260777.79944998</v>
      </c>
      <c r="H37" s="96">
        <f t="shared" si="3"/>
        <v>-9.3171635175570771</v>
      </c>
      <c r="I37" s="33">
        <f>+I38+I48+I49++I50+I51+I52+I53+I54</f>
        <v>223803675.01100001</v>
      </c>
      <c r="J37" s="43">
        <f t="shared" si="4"/>
        <v>3.2139007542921316</v>
      </c>
      <c r="K37" s="33">
        <f t="shared" si="6"/>
        <v>51255090.16200003</v>
      </c>
      <c r="L37" s="96">
        <f t="shared" si="5"/>
        <v>22.901808989276361</v>
      </c>
      <c r="M37" s="69"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ht="15" customHeight="1">
      <c r="A38" s="18">
        <v>41</v>
      </c>
      <c r="B38" s="19" t="s">
        <v>69</v>
      </c>
      <c r="C38" s="105">
        <f>SUM(C39:C47)</f>
        <v>91007670.560000017</v>
      </c>
      <c r="D38" s="40">
        <f t="shared" si="1"/>
        <v>1.2501568822891056</v>
      </c>
      <c r="E38" s="105">
        <f>SUM(E39:E47)</f>
        <v>104111332.61929998</v>
      </c>
      <c r="F38" s="40">
        <f t="shared" si="0"/>
        <v>1.4301596579433216</v>
      </c>
      <c r="G38" s="20">
        <f t="shared" si="2"/>
        <v>-13103662.059299961</v>
      </c>
      <c r="H38" s="87">
        <f t="shared" si="3"/>
        <v>-12.586201453414901</v>
      </c>
      <c r="I38" s="105">
        <f>SUM(I39:I47)</f>
        <v>81664701.612999991</v>
      </c>
      <c r="J38" s="40">
        <f t="shared" si="4"/>
        <v>1.1727342998284656</v>
      </c>
      <c r="K38" s="20">
        <f t="shared" si="6"/>
        <v>9342968.9470000267</v>
      </c>
      <c r="L38" s="87">
        <f t="shared" si="5"/>
        <v>11.440645422639676</v>
      </c>
      <c r="M38" s="70" t="s">
        <v>111</v>
      </c>
    </row>
    <row r="39" spans="1:16382" ht="15" customHeight="1">
      <c r="A39" s="21">
        <v>411</v>
      </c>
      <c r="B39" s="22" t="s">
        <v>30</v>
      </c>
      <c r="C39" s="104">
        <v>56353788.449999996</v>
      </c>
      <c r="D39" s="41">
        <f t="shared" si="1"/>
        <v>0.77412240133521981</v>
      </c>
      <c r="E39" s="104">
        <v>64806856.717499986</v>
      </c>
      <c r="F39" s="41">
        <f>+E39/$E$2*100</f>
        <v>0.89024076153550269</v>
      </c>
      <c r="G39" s="23">
        <f>+C39-E39</f>
        <v>-8453068.2674999908</v>
      </c>
      <c r="H39" s="91">
        <f>+C39/E39*100-100</f>
        <v>-13.043478260869563</v>
      </c>
      <c r="I39" s="104">
        <v>50589615.399999991</v>
      </c>
      <c r="J39" s="41">
        <f t="shared" si="4"/>
        <v>0.72648495644862598</v>
      </c>
      <c r="K39" s="23">
        <f t="shared" si="6"/>
        <v>5764173.0500000045</v>
      </c>
      <c r="L39" s="91">
        <f t="shared" si="5"/>
        <v>11.393984722801449</v>
      </c>
      <c r="M39" s="71" t="s">
        <v>112</v>
      </c>
    </row>
    <row r="40" spans="1:16382" ht="15" customHeight="1">
      <c r="A40" s="21">
        <v>412</v>
      </c>
      <c r="B40" s="22" t="s">
        <v>31</v>
      </c>
      <c r="C40" s="104">
        <v>3320107.3499999996</v>
      </c>
      <c r="D40" s="41">
        <f t="shared" si="1"/>
        <v>4.5607749632539801E-2</v>
      </c>
      <c r="E40" s="104">
        <v>3851324.5259999991</v>
      </c>
      <c r="F40" s="41">
        <f t="shared" si="0"/>
        <v>5.2904989573746161E-2</v>
      </c>
      <c r="G40" s="23">
        <f t="shared" si="2"/>
        <v>-531217.17599999951</v>
      </c>
      <c r="H40" s="91">
        <f t="shared" si="3"/>
        <v>-13.793103448275858</v>
      </c>
      <c r="I40" s="104">
        <v>2984367.5</v>
      </c>
      <c r="J40" s="41">
        <f t="shared" si="4"/>
        <v>4.2856583828945166E-2</v>
      </c>
      <c r="K40" s="23">
        <f t="shared" si="6"/>
        <v>335739.84999999963</v>
      </c>
      <c r="L40" s="91">
        <f t="shared" si="5"/>
        <v>11.249949947518175</v>
      </c>
      <c r="M40" s="71" t="s">
        <v>113</v>
      </c>
    </row>
    <row r="41" spans="1:16382" ht="15" customHeight="1">
      <c r="A41" s="21">
        <v>413</v>
      </c>
      <c r="B41" s="22" t="s">
        <v>73</v>
      </c>
      <c r="C41" s="104">
        <v>6321693.4500000002</v>
      </c>
      <c r="D41" s="41">
        <f t="shared" si="1"/>
        <v>8.6840027061554748E-2</v>
      </c>
      <c r="E41" s="104">
        <v>7206730.5329999998</v>
      </c>
      <c r="F41" s="41">
        <f t="shared" si="0"/>
        <v>9.8997630850172394E-2</v>
      </c>
      <c r="G41" s="23">
        <f t="shared" si="2"/>
        <v>-885037.08299999963</v>
      </c>
      <c r="H41" s="91">
        <f t="shared" si="3"/>
        <v>-12.280701754385959</v>
      </c>
      <c r="I41" s="104">
        <v>6183414.0499999998</v>
      </c>
      <c r="J41" s="41">
        <f t="shared" si="4"/>
        <v>8.879603553614035E-2</v>
      </c>
      <c r="K41" s="23">
        <f t="shared" si="6"/>
        <v>138279.40000000037</v>
      </c>
      <c r="L41" s="91">
        <f t="shared" si="5"/>
        <v>2.2362953359075277</v>
      </c>
      <c r="M41" s="71" t="s">
        <v>114</v>
      </c>
    </row>
    <row r="42" spans="1:16382" ht="15" customHeight="1">
      <c r="A42" s="21">
        <v>414</v>
      </c>
      <c r="B42" s="22" t="s">
        <v>74</v>
      </c>
      <c r="C42" s="104">
        <v>8184860.9999999981</v>
      </c>
      <c r="D42" s="41">
        <f t="shared" si="1"/>
        <v>0.11243404261164607</v>
      </c>
      <c r="E42" s="104">
        <v>9085195.709999999</v>
      </c>
      <c r="F42" s="41">
        <f t="shared" si="0"/>
        <v>0.12480178729892714</v>
      </c>
      <c r="G42" s="23">
        <f t="shared" si="2"/>
        <v>-900334.71000000089</v>
      </c>
      <c r="H42" s="91">
        <f t="shared" si="3"/>
        <v>-9.9099099099099135</v>
      </c>
      <c r="I42" s="104">
        <v>6944864.3100000005</v>
      </c>
      <c r="J42" s="41">
        <f t="shared" si="4"/>
        <v>9.9730733390631168E-2</v>
      </c>
      <c r="K42" s="23">
        <f t="shared" si="6"/>
        <v>1239996.6899999976</v>
      </c>
      <c r="L42" s="91">
        <f t="shared" si="5"/>
        <v>17.854872818962207</v>
      </c>
      <c r="M42" s="71" t="s">
        <v>115</v>
      </c>
    </row>
    <row r="43" spans="1:16382" ht="15.75" customHeight="1">
      <c r="A43" s="21">
        <v>415</v>
      </c>
      <c r="B43" s="22" t="s">
        <v>32</v>
      </c>
      <c r="C43" s="104">
        <v>4016301.6999999993</v>
      </c>
      <c r="D43" s="41">
        <f t="shared" si="1"/>
        <v>5.5171252936247368E-2</v>
      </c>
      <c r="E43" s="104">
        <v>4498257.9039999992</v>
      </c>
      <c r="F43" s="41">
        <f t="shared" si="0"/>
        <v>6.1791803288597048E-2</v>
      </c>
      <c r="G43" s="23">
        <f t="shared" si="2"/>
        <v>-481956.20399999991</v>
      </c>
      <c r="H43" s="91">
        <f t="shared" si="3"/>
        <v>-10.714285714285708</v>
      </c>
      <c r="I43" s="104">
        <v>4483282.5</v>
      </c>
      <c r="J43" s="41">
        <f t="shared" si="4"/>
        <v>6.4381538898977034E-2</v>
      </c>
      <c r="K43" s="23">
        <f t="shared" si="6"/>
        <v>-466980.80000000075</v>
      </c>
      <c r="L43" s="91">
        <f t="shared" si="5"/>
        <v>-10.416046724693359</v>
      </c>
      <c r="M43" s="71" t="s">
        <v>116</v>
      </c>
    </row>
    <row r="44" spans="1:16382" ht="15" customHeight="1">
      <c r="A44" s="21">
        <v>416</v>
      </c>
      <c r="B44" s="22" t="s">
        <v>33</v>
      </c>
      <c r="C44" s="104">
        <v>1868988.92</v>
      </c>
      <c r="D44" s="41">
        <f t="shared" si="1"/>
        <v>2.5673982719068095E-2</v>
      </c>
      <c r="E44" s="104">
        <v>2111957.4795999997</v>
      </c>
      <c r="F44" s="41">
        <f t="shared" si="0"/>
        <v>2.9011600472546941E-2</v>
      </c>
      <c r="G44" s="23">
        <f t="shared" si="2"/>
        <v>-242968.5595999998</v>
      </c>
      <c r="H44" s="91">
        <f t="shared" si="3"/>
        <v>-11.504424778761063</v>
      </c>
      <c r="I44" s="104">
        <v>1598512.6800000002</v>
      </c>
      <c r="J44" s="41">
        <f t="shared" si="4"/>
        <v>2.2955213348239387E-2</v>
      </c>
      <c r="K44" s="23">
        <f t="shared" si="6"/>
        <v>270476.23999999976</v>
      </c>
      <c r="L44" s="91">
        <f t="shared" si="5"/>
        <v>16.920493868087405</v>
      </c>
      <c r="M44" s="71" t="s">
        <v>117</v>
      </c>
    </row>
    <row r="45" spans="1:16382" ht="15" customHeight="1">
      <c r="A45" s="21">
        <v>417</v>
      </c>
      <c r="B45" s="22" t="s">
        <v>34</v>
      </c>
      <c r="C45" s="104">
        <v>457196.19999999995</v>
      </c>
      <c r="D45" s="41">
        <f t="shared" si="1"/>
        <v>6.2804263911974394E-3</v>
      </c>
      <c r="E45" s="104">
        <v>525775.62999999989</v>
      </c>
      <c r="F45" s="41">
        <f t="shared" si="0"/>
        <v>7.2224903498770542E-3</v>
      </c>
      <c r="G45" s="23">
        <f t="shared" si="2"/>
        <v>-68579.429999999935</v>
      </c>
      <c r="H45" s="91">
        <f t="shared" si="3"/>
        <v>-13.043478260869563</v>
      </c>
      <c r="I45" s="104">
        <v>498916.77000000008</v>
      </c>
      <c r="J45" s="41">
        <f t="shared" si="4"/>
        <v>7.164623116010866E-3</v>
      </c>
      <c r="K45" s="23">
        <f t="shared" si="6"/>
        <v>-41720.570000000123</v>
      </c>
      <c r="L45" s="91">
        <f t="shared" si="5"/>
        <v>-8.3622304377542065</v>
      </c>
      <c r="M45" s="71" t="s">
        <v>118</v>
      </c>
    </row>
    <row r="46" spans="1:16382" ht="15" customHeight="1">
      <c r="A46" s="21">
        <v>418</v>
      </c>
      <c r="B46" s="22" t="s">
        <v>35</v>
      </c>
      <c r="C46" s="104">
        <v>3220939.43</v>
      </c>
      <c r="D46" s="41">
        <f t="shared" si="1"/>
        <v>4.4245496792450247E-2</v>
      </c>
      <c r="E46" s="104">
        <v>3671870.9501999998</v>
      </c>
      <c r="F46" s="41">
        <f t="shared" si="0"/>
        <v>5.0439866343393265E-2</v>
      </c>
      <c r="G46" s="23">
        <f t="shared" si="2"/>
        <v>-450931.52019999968</v>
      </c>
      <c r="H46" s="91">
        <f t="shared" si="3"/>
        <v>-12.280701754385959</v>
      </c>
      <c r="I46" s="104">
        <v>1798099.3199999998</v>
      </c>
      <c r="J46" s="41">
        <f t="shared" si="4"/>
        <v>2.5821348825286861E-2</v>
      </c>
      <c r="K46" s="23">
        <f t="shared" si="6"/>
        <v>1422840.1100000003</v>
      </c>
      <c r="L46" s="91">
        <f t="shared" si="5"/>
        <v>79.130229024278833</v>
      </c>
      <c r="M46" s="71" t="s">
        <v>119</v>
      </c>
    </row>
    <row r="47" spans="1:16382" ht="15" customHeight="1">
      <c r="A47" s="21">
        <v>419</v>
      </c>
      <c r="B47" s="22" t="s">
        <v>36</v>
      </c>
      <c r="C47" s="104">
        <v>7263794.0599999996</v>
      </c>
      <c r="D47" s="41">
        <f t="shared" si="1"/>
        <v>9.9781502809181688E-2</v>
      </c>
      <c r="E47" s="104">
        <v>8353363.1689999988</v>
      </c>
      <c r="F47" s="41">
        <f t="shared" si="0"/>
        <v>0.11474872823055893</v>
      </c>
      <c r="G47" s="23">
        <f t="shared" si="2"/>
        <v>-1089569.1089999992</v>
      </c>
      <c r="H47" s="91">
        <f t="shared" si="3"/>
        <v>-13.043478260869563</v>
      </c>
      <c r="I47" s="104">
        <v>6583629.0829999987</v>
      </c>
      <c r="J47" s="41">
        <f t="shared" si="4"/>
        <v>9.4543266435608495E-2</v>
      </c>
      <c r="K47" s="23">
        <f t="shared" si="6"/>
        <v>680164.97700000089</v>
      </c>
      <c r="L47" s="91">
        <f t="shared" si="5"/>
        <v>10.331155786954909</v>
      </c>
      <c r="M47" s="71" t="s">
        <v>120</v>
      </c>
    </row>
    <row r="48" spans="1:16382" ht="15" customHeight="1">
      <c r="A48" s="18">
        <v>42</v>
      </c>
      <c r="B48" s="19" t="s">
        <v>37</v>
      </c>
      <c r="C48" s="105">
        <v>1448235.17</v>
      </c>
      <c r="D48" s="40">
        <f t="shared" si="1"/>
        <v>1.9894160061540999E-2</v>
      </c>
      <c r="E48" s="105">
        <v>1665470.4454999997</v>
      </c>
      <c r="F48" s="40">
        <f t="shared" si="0"/>
        <v>2.2878284070772144E-2</v>
      </c>
      <c r="G48" s="20">
        <f t="shared" si="2"/>
        <v>-217235.27549999976</v>
      </c>
      <c r="H48" s="87">
        <f t="shared" si="3"/>
        <v>-13.043478260869563</v>
      </c>
      <c r="I48" s="105">
        <v>377420.18999999994</v>
      </c>
      <c r="J48" s="40">
        <f t="shared" si="4"/>
        <v>5.4198888077528692E-3</v>
      </c>
      <c r="K48" s="20">
        <f t="shared" si="6"/>
        <v>1070814.98</v>
      </c>
      <c r="L48" s="87">
        <f t="shared" si="5"/>
        <v>283.71958055556064</v>
      </c>
      <c r="M48" s="70" t="s">
        <v>121</v>
      </c>
    </row>
    <row r="49" spans="1:16382" ht="15" customHeight="1">
      <c r="A49" s="18">
        <v>43</v>
      </c>
      <c r="B49" s="19" t="s">
        <v>173</v>
      </c>
      <c r="C49" s="105">
        <v>81037740.47299999</v>
      </c>
      <c r="D49" s="40">
        <f t="shared" si="1"/>
        <v>1.1132016494223662</v>
      </c>
      <c r="E49" s="105">
        <v>85089627.496649995</v>
      </c>
      <c r="F49" s="40">
        <f t="shared" si="0"/>
        <v>1.1688617318934846</v>
      </c>
      <c r="G49" s="20">
        <f t="shared" si="2"/>
        <v>-4051887.0236500055</v>
      </c>
      <c r="H49" s="87">
        <f t="shared" si="3"/>
        <v>-4.7619047619047734</v>
      </c>
      <c r="I49" s="105">
        <v>61170029.618000001</v>
      </c>
      <c r="J49" s="40">
        <f t="shared" si="4"/>
        <v>0.87842348576134666</v>
      </c>
      <c r="K49" s="20">
        <f t="shared" si="6"/>
        <v>19867710.854999989</v>
      </c>
      <c r="L49" s="87">
        <f t="shared" si="5"/>
        <v>32.479485426231804</v>
      </c>
      <c r="M49" s="70" t="s">
        <v>127</v>
      </c>
    </row>
    <row r="50" spans="1:16382" ht="15" customHeight="1">
      <c r="A50" s="18">
        <v>44</v>
      </c>
      <c r="B50" s="19" t="s">
        <v>65</v>
      </c>
      <c r="C50" s="105">
        <v>73762063.870000005</v>
      </c>
      <c r="D50" s="40">
        <f t="shared" si="1"/>
        <v>1.0132569181422313</v>
      </c>
      <c r="E50" s="105">
        <v>81138270.257000014</v>
      </c>
      <c r="F50" s="40">
        <f t="shared" si="0"/>
        <v>1.1145826099564544</v>
      </c>
      <c r="G50" s="20">
        <f t="shared" si="2"/>
        <v>-7376206.3870000094</v>
      </c>
      <c r="H50" s="87">
        <f t="shared" si="3"/>
        <v>-9.0909090909091077</v>
      </c>
      <c r="I50" s="105">
        <v>51325830.119999997</v>
      </c>
      <c r="J50" s="40">
        <f t="shared" si="4"/>
        <v>0.73705726293024532</v>
      </c>
      <c r="K50" s="20">
        <f t="shared" si="6"/>
        <v>22436233.750000007</v>
      </c>
      <c r="L50" s="87">
        <f t="shared" si="5"/>
        <v>43.713338289013564</v>
      </c>
      <c r="M50" s="70" t="s">
        <v>128</v>
      </c>
    </row>
    <row r="51" spans="1:16382" ht="15" customHeight="1">
      <c r="A51" s="18">
        <v>45</v>
      </c>
      <c r="B51" s="19" t="s">
        <v>44</v>
      </c>
      <c r="C51" s="105">
        <v>405191.74</v>
      </c>
      <c r="D51" s="40">
        <f t="shared" si="1"/>
        <v>5.5660499745868652E-3</v>
      </c>
      <c r="E51" s="105">
        <v>486230.08799999999</v>
      </c>
      <c r="F51" s="40">
        <f t="shared" si="0"/>
        <v>6.6792599695042372E-3</v>
      </c>
      <c r="G51" s="20">
        <f t="shared" si="2"/>
        <v>-81038.347999999998</v>
      </c>
      <c r="H51" s="87">
        <f t="shared" si="3"/>
        <v>-16.666666666666657</v>
      </c>
      <c r="I51" s="105">
        <v>749602.83</v>
      </c>
      <c r="J51" s="40">
        <f t="shared" si="4"/>
        <v>1.0764564525752788E-2</v>
      </c>
      <c r="K51" s="20">
        <f t="shared" si="6"/>
        <v>-344411.08999999997</v>
      </c>
      <c r="L51" s="87">
        <f t="shared" si="5"/>
        <v>-45.945809729667111</v>
      </c>
      <c r="M51" s="70" t="s">
        <v>129</v>
      </c>
    </row>
    <row r="52" spans="1:16382" ht="15" customHeight="1">
      <c r="A52" s="18">
        <v>462</v>
      </c>
      <c r="B52" s="19" t="s">
        <v>45</v>
      </c>
      <c r="C52" s="105">
        <v>0</v>
      </c>
      <c r="D52" s="40">
        <f t="shared" si="1"/>
        <v>0</v>
      </c>
      <c r="E52" s="105">
        <v>0</v>
      </c>
      <c r="F52" s="40">
        <f t="shared" si="0"/>
        <v>0</v>
      </c>
      <c r="G52" s="20">
        <f t="shared" si="2"/>
        <v>0</v>
      </c>
      <c r="H52" s="87">
        <v>0</v>
      </c>
      <c r="I52" s="105">
        <v>0</v>
      </c>
      <c r="J52" s="40">
        <f t="shared" si="4"/>
        <v>0</v>
      </c>
      <c r="K52" s="20">
        <f t="shared" si="6"/>
        <v>0</v>
      </c>
      <c r="L52" s="87" t="e">
        <f t="shared" si="5"/>
        <v>#DIV/0!</v>
      </c>
      <c r="M52" s="70" t="s">
        <v>130</v>
      </c>
    </row>
    <row r="53" spans="1:16382" ht="15" customHeight="1">
      <c r="A53" s="18">
        <v>463</v>
      </c>
      <c r="B53" s="19" t="s">
        <v>46</v>
      </c>
      <c r="C53" s="105">
        <v>25014444.98</v>
      </c>
      <c r="D53" s="40">
        <f>+C53/$C$2*100</f>
        <v>0.34361917359231836</v>
      </c>
      <c r="E53" s="105">
        <v>28016178.377600003</v>
      </c>
      <c r="F53" s="40">
        <f>+E53/$E$2*100</f>
        <v>0.38485347442339657</v>
      </c>
      <c r="G53" s="20">
        <f>+C53-E53</f>
        <v>-3001733.3976000026</v>
      </c>
      <c r="H53" s="87">
        <f>+C53/E53*100-100</f>
        <v>-10.714285714285722</v>
      </c>
      <c r="I53" s="105">
        <v>26550071.789999995</v>
      </c>
      <c r="J53" s="40">
        <v>0</v>
      </c>
      <c r="K53" s="20">
        <f>+C53-I53</f>
        <v>-1535626.8099999949</v>
      </c>
      <c r="L53" s="87">
        <f>+C53/I53*100-100</f>
        <v>-5.783889483034784</v>
      </c>
      <c r="M53" s="70" t="s">
        <v>131</v>
      </c>
    </row>
    <row r="54" spans="1:16382" ht="15" customHeight="1">
      <c r="A54" s="18">
        <v>47</v>
      </c>
      <c r="B54" s="19" t="s">
        <v>47</v>
      </c>
      <c r="C54" s="105">
        <v>2383418.3800000004</v>
      </c>
      <c r="D54" s="40">
        <f t="shared" si="1"/>
        <v>3.2740612662609726E-2</v>
      </c>
      <c r="E54" s="105">
        <v>2812433.6884000003</v>
      </c>
      <c r="F54" s="40">
        <f t="shared" si="0"/>
        <v>3.8633922941879478E-2</v>
      </c>
      <c r="G54" s="20">
        <f t="shared" si="2"/>
        <v>-429015.30839999998</v>
      </c>
      <c r="H54" s="87">
        <f t="shared" si="3"/>
        <v>-15.254237288135585</v>
      </c>
      <c r="I54" s="105">
        <v>1966018.85</v>
      </c>
      <c r="J54" s="40">
        <f t="shared" si="4"/>
        <v>2.8232733285800549E-2</v>
      </c>
      <c r="K54" s="20">
        <f t="shared" si="6"/>
        <v>417399.53000000026</v>
      </c>
      <c r="L54" s="87">
        <f t="shared" si="5"/>
        <v>21.230698271280573</v>
      </c>
      <c r="M54" s="70" t="s">
        <v>132</v>
      </c>
    </row>
    <row r="55" spans="1:16382" s="34" customFormat="1" ht="15" customHeight="1">
      <c r="A55" s="31"/>
      <c r="B55" s="32" t="s">
        <v>77</v>
      </c>
      <c r="C55" s="33">
        <f>+C6-C37</f>
        <v>31144159.376999974</v>
      </c>
      <c r="D55" s="43">
        <f t="shared" si="1"/>
        <v>0.4278220170748791</v>
      </c>
      <c r="E55" s="33">
        <f>+E6-E37</f>
        <v>15029607.082459986</v>
      </c>
      <c r="F55" s="43">
        <f t="shared" si="0"/>
        <v>0.20645915466928566</v>
      </c>
      <c r="G55" s="33">
        <f t="shared" si="2"/>
        <v>16114552.294539988</v>
      </c>
      <c r="H55" s="96">
        <f t="shared" si="3"/>
        <v>107.21871973184292</v>
      </c>
      <c r="I55" s="33">
        <f>+I6-I37</f>
        <v>36123777.049000055</v>
      </c>
      <c r="J55" s="43">
        <f t="shared" si="4"/>
        <v>0.51875034804480225</v>
      </c>
      <c r="K55" s="33">
        <f t="shared" si="6"/>
        <v>-4979617.6720000803</v>
      </c>
      <c r="L55" s="96">
        <f t="shared" si="5"/>
        <v>-13.784875444352025</v>
      </c>
      <c r="M55" s="69"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row r="56" spans="1:16382" ht="15" hidden="1" customHeight="1">
      <c r="A56" s="18"/>
      <c r="B56" s="19" t="s">
        <v>182</v>
      </c>
      <c r="C56" s="33">
        <v>0</v>
      </c>
      <c r="D56" s="43">
        <f>+C56/$C$2*100</f>
        <v>0</v>
      </c>
      <c r="E56" s="33">
        <v>0</v>
      </c>
      <c r="F56" s="43">
        <f>+E56/$E$2*100</f>
        <v>0</v>
      </c>
      <c r="G56" s="33">
        <f>+C56-E56</f>
        <v>0</v>
      </c>
      <c r="H56" s="96" t="e">
        <f>+C56/E56*100-100</f>
        <v>#DIV/0!</v>
      </c>
      <c r="I56" s="33">
        <v>0</v>
      </c>
      <c r="J56" s="40">
        <f t="shared" si="4"/>
        <v>0</v>
      </c>
      <c r="K56" s="20">
        <f>+C56-I56</f>
        <v>0</v>
      </c>
      <c r="L56" s="87" t="e">
        <f>+C56/I56*100-100</f>
        <v>#DIV/0!</v>
      </c>
      <c r="M56" s="70" t="s">
        <v>133</v>
      </c>
    </row>
    <row r="57" spans="1:16382" s="34" customFormat="1" ht="15" customHeight="1">
      <c r="A57" s="31"/>
      <c r="B57" s="32" t="s">
        <v>59</v>
      </c>
      <c r="C57" s="33">
        <f>+C55-C56</f>
        <v>31144159.376999974</v>
      </c>
      <c r="D57" s="43">
        <f t="shared" si="1"/>
        <v>0.4278220170748791</v>
      </c>
      <c r="E57" s="33">
        <f>+E55-E56</f>
        <v>15029607.082459986</v>
      </c>
      <c r="F57" s="43">
        <f t="shared" si="0"/>
        <v>0.20645915466928566</v>
      </c>
      <c r="G57" s="33">
        <f t="shared" si="2"/>
        <v>16114552.294539988</v>
      </c>
      <c r="H57" s="96">
        <f t="shared" si="3"/>
        <v>107.21871973184292</v>
      </c>
      <c r="I57" s="33">
        <f>+I55-I56</f>
        <v>36123777.049000055</v>
      </c>
      <c r="J57" s="43">
        <f t="shared" si="4"/>
        <v>0.51875034804480225</v>
      </c>
      <c r="K57" s="33">
        <f t="shared" si="6"/>
        <v>-4979617.6720000803</v>
      </c>
      <c r="L57" s="96">
        <f t="shared" si="5"/>
        <v>-13.784875444352025</v>
      </c>
      <c r="M57" s="69"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row>
    <row r="58" spans="1:16382" s="34" customFormat="1" ht="15" customHeight="1">
      <c r="A58" s="31"/>
      <c r="B58" s="32" t="s">
        <v>75</v>
      </c>
      <c r="C58" s="33">
        <f>+C57+C44</f>
        <v>33013148.296999976</v>
      </c>
      <c r="D58" s="43">
        <f t="shared" si="1"/>
        <v>0.45349599979394722</v>
      </c>
      <c r="E58" s="33">
        <f>+E57+E44</f>
        <v>17141564.562059987</v>
      </c>
      <c r="F58" s="43">
        <f t="shared" si="0"/>
        <v>0.23547075514183261</v>
      </c>
      <c r="G58" s="33">
        <f t="shared" si="2"/>
        <v>15871583.734939989</v>
      </c>
      <c r="H58" s="96">
        <f t="shared" si="3"/>
        <v>92.591219882396899</v>
      </c>
      <c r="I58" s="33">
        <f>+I57+I44</f>
        <v>37722289.729000054</v>
      </c>
      <c r="J58" s="43">
        <f t="shared" si="4"/>
        <v>0.5417055613930416</v>
      </c>
      <c r="K58" s="33">
        <f t="shared" si="6"/>
        <v>-4709141.4320000783</v>
      </c>
      <c r="L58" s="96">
        <f t="shared" si="5"/>
        <v>-12.483710468879082</v>
      </c>
      <c r="M58" s="69"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s="34" customFormat="1" ht="15" customHeight="1">
      <c r="A59" s="31"/>
      <c r="B59" s="32" t="s">
        <v>76</v>
      </c>
      <c r="C59" s="33">
        <f>+C6-(C37-C50)</f>
        <v>104906223.24699998</v>
      </c>
      <c r="D59" s="43">
        <f t="shared" si="1"/>
        <v>1.4410789352171103</v>
      </c>
      <c r="E59" s="33">
        <f>+E6-(E37-E50)</f>
        <v>96167877.339460015</v>
      </c>
      <c r="F59" s="43">
        <f t="shared" si="0"/>
        <v>1.3210417646257402</v>
      </c>
      <c r="G59" s="33">
        <f t="shared" si="2"/>
        <v>8738345.9075399637</v>
      </c>
      <c r="H59" s="96">
        <f t="shared" si="3"/>
        <v>9.0865537945635992</v>
      </c>
      <c r="I59" s="33">
        <f>+I6-(I37-I50)</f>
        <v>87449607.169000059</v>
      </c>
      <c r="J59" s="43">
        <f t="shared" si="4"/>
        <v>1.2558076109750476</v>
      </c>
      <c r="K59" s="33">
        <f t="shared" si="6"/>
        <v>17456616.07799992</v>
      </c>
      <c r="L59" s="96">
        <f t="shared" si="5"/>
        <v>19.961914802274961</v>
      </c>
      <c r="M59" s="69"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row>
    <row r="60" spans="1:16382" s="34" customFormat="1" ht="15" customHeight="1">
      <c r="A60" s="31"/>
      <c r="B60" s="32" t="s">
        <v>0</v>
      </c>
      <c r="C60" s="33">
        <f>+C61+C62</f>
        <v>10624546.300000001</v>
      </c>
      <c r="D60" s="43">
        <f t="shared" si="1"/>
        <v>0.14594758437847716</v>
      </c>
      <c r="E60" s="33">
        <f>+E61+E62</f>
        <v>12340698</v>
      </c>
      <c r="F60" s="43">
        <f t="shared" si="0"/>
        <v>0.16952206821709687</v>
      </c>
      <c r="G60" s="33">
        <f t="shared" si="2"/>
        <v>-1716151.6999999993</v>
      </c>
      <c r="H60" s="96">
        <f t="shared" si="3"/>
        <v>-13.906439489889465</v>
      </c>
      <c r="I60" s="33">
        <f>+I61+I62</f>
        <v>9253824.9100000001</v>
      </c>
      <c r="J60" s="43">
        <f t="shared" si="4"/>
        <v>0.13288823276416056</v>
      </c>
      <c r="K60" s="33">
        <f t="shared" si="6"/>
        <v>1370721.3900000006</v>
      </c>
      <c r="L60" s="96">
        <f t="shared" si="5"/>
        <v>14.812484603190981</v>
      </c>
      <c r="M60" s="69"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row>
    <row r="61" spans="1:16382">
      <c r="A61" s="21">
        <v>4611</v>
      </c>
      <c r="B61" s="22" t="s">
        <v>52</v>
      </c>
      <c r="C61" s="104">
        <v>8924013.75</v>
      </c>
      <c r="D61" s="41">
        <f t="shared" si="1"/>
        <v>0.12258765814525324</v>
      </c>
      <c r="E61" s="104">
        <v>10200000</v>
      </c>
      <c r="F61" s="41">
        <f t="shared" si="0"/>
        <v>0.14011566410703738</v>
      </c>
      <c r="G61" s="23">
        <f t="shared" si="2"/>
        <v>-1275986.25</v>
      </c>
      <c r="H61" s="91">
        <f t="shared" si="3"/>
        <v>-12.509669117647064</v>
      </c>
      <c r="I61" s="104">
        <v>7002340.4900000002</v>
      </c>
      <c r="J61" s="41">
        <f t="shared" si="4"/>
        <v>0.10055611187580013</v>
      </c>
      <c r="K61" s="23">
        <f t="shared" si="6"/>
        <v>1921673.2599999998</v>
      </c>
      <c r="L61" s="91">
        <f t="shared" si="5"/>
        <v>27.443299318911002</v>
      </c>
      <c r="M61" s="71" t="s">
        <v>139</v>
      </c>
    </row>
    <row r="62" spans="1:16382" ht="15" customHeight="1">
      <c r="A62" s="21">
        <v>4612</v>
      </c>
      <c r="B62" s="22" t="s">
        <v>53</v>
      </c>
      <c r="C62" s="104">
        <v>1700532.55</v>
      </c>
      <c r="D62" s="41">
        <f t="shared" si="1"/>
        <v>2.3359926233223895E-2</v>
      </c>
      <c r="E62" s="104">
        <v>2140698</v>
      </c>
      <c r="F62" s="41">
        <f t="shared" si="0"/>
        <v>2.9406404110059479E-2</v>
      </c>
      <c r="G62" s="23">
        <f t="shared" si="2"/>
        <v>-440165.44999999995</v>
      </c>
      <c r="H62" s="91">
        <f t="shared" si="3"/>
        <v>-20.561772375178563</v>
      </c>
      <c r="I62" s="104">
        <v>2251484.42</v>
      </c>
      <c r="J62" s="41">
        <f t="shared" si="4"/>
        <v>3.2332120888360426E-2</v>
      </c>
      <c r="K62" s="23">
        <f t="shared" si="6"/>
        <v>-550951.86999999988</v>
      </c>
      <c r="L62" s="91">
        <f t="shared" si="5"/>
        <v>-24.470605486135227</v>
      </c>
      <c r="M62" s="71" t="s">
        <v>140</v>
      </c>
    </row>
    <row r="63" spans="1:16382" ht="15" hidden="1" customHeight="1">
      <c r="A63" s="21">
        <v>463</v>
      </c>
      <c r="B63" s="22" t="s">
        <v>46</v>
      </c>
      <c r="C63" s="104"/>
      <c r="D63" s="41"/>
      <c r="E63" s="104"/>
      <c r="F63" s="41"/>
      <c r="G63" s="23"/>
      <c r="H63" s="91"/>
      <c r="I63" s="104"/>
      <c r="J63" s="41">
        <f t="shared" si="4"/>
        <v>0</v>
      </c>
      <c r="K63" s="23"/>
      <c r="L63" s="91"/>
      <c r="M63" s="71"/>
    </row>
    <row r="64" spans="1:16382" s="34" customFormat="1" ht="15" customHeight="1">
      <c r="A64" s="31">
        <v>4418</v>
      </c>
      <c r="B64" s="32" t="s">
        <v>63</v>
      </c>
      <c r="C64" s="33">
        <v>0</v>
      </c>
      <c r="D64" s="43">
        <f t="shared" si="1"/>
        <v>0</v>
      </c>
      <c r="E64" s="33">
        <v>0</v>
      </c>
      <c r="F64" s="43">
        <f t="shared" ref="F64:F73" si="25">+E64/$E$2*100</f>
        <v>0</v>
      </c>
      <c r="G64" s="33">
        <f t="shared" si="2"/>
        <v>0</v>
      </c>
      <c r="H64" s="96" t="e">
        <f t="shared" si="3"/>
        <v>#DIV/0!</v>
      </c>
      <c r="I64" s="33">
        <v>0</v>
      </c>
      <c r="J64" s="43">
        <f t="shared" si="4"/>
        <v>0</v>
      </c>
      <c r="K64" s="33">
        <f t="shared" si="6"/>
        <v>0</v>
      </c>
      <c r="L64" s="96" t="e">
        <f t="shared" si="5"/>
        <v>#DIV/0!</v>
      </c>
      <c r="M64" s="69"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row>
    <row r="65" spans="1:16382" s="34" customFormat="1" ht="15" customHeight="1">
      <c r="A65" s="31">
        <v>45</v>
      </c>
      <c r="B65" s="32" t="s">
        <v>44</v>
      </c>
      <c r="C65" s="33">
        <v>0</v>
      </c>
      <c r="D65" s="43">
        <f t="shared" si="1"/>
        <v>0</v>
      </c>
      <c r="E65" s="33">
        <v>0</v>
      </c>
      <c r="F65" s="43">
        <f t="shared" si="25"/>
        <v>0</v>
      </c>
      <c r="G65" s="33">
        <f t="shared" si="2"/>
        <v>0</v>
      </c>
      <c r="H65" s="96" t="e">
        <f t="shared" si="3"/>
        <v>#DIV/0!</v>
      </c>
      <c r="I65" s="33">
        <v>749602.83</v>
      </c>
      <c r="J65" s="43">
        <f t="shared" si="4"/>
        <v>1.0764564525752788E-2</v>
      </c>
      <c r="K65" s="33">
        <f t="shared" si="6"/>
        <v>-749602.83</v>
      </c>
      <c r="L65" s="96">
        <f t="shared" si="5"/>
        <v>-100</v>
      </c>
      <c r="M65" s="69"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row>
    <row r="66" spans="1:16382" s="34" customFormat="1" ht="15" customHeight="1">
      <c r="A66" s="31"/>
      <c r="B66" s="32" t="s">
        <v>54</v>
      </c>
      <c r="C66" s="33">
        <f>+C57-C60-C64-C65</f>
        <v>20519613.076999974</v>
      </c>
      <c r="D66" s="43">
        <f t="shared" si="1"/>
        <v>0.28187443269640194</v>
      </c>
      <c r="E66" s="33">
        <f>+E57-E60-E64-E65</f>
        <v>2688909.0824599862</v>
      </c>
      <c r="F66" s="43">
        <f t="shared" si="25"/>
        <v>3.6937086452188773E-2</v>
      </c>
      <c r="G66" s="33">
        <f t="shared" ref="G66:G73" si="26">+C66-E66</f>
        <v>17830703.994539987</v>
      </c>
      <c r="H66" s="96">
        <f t="shared" ref="H66:H73" si="27">+C66/E66*100-100</f>
        <v>663.12037513099244</v>
      </c>
      <c r="I66" s="33">
        <f>+I57-I60-I64-I65</f>
        <v>26120349.309000056</v>
      </c>
      <c r="J66" s="43">
        <f t="shared" si="4"/>
        <v>0.37509755075488888</v>
      </c>
      <c r="K66" s="33">
        <f t="shared" ref="K66:K73" si="28">+C66-I66</f>
        <v>-5600736.2320000827</v>
      </c>
      <c r="L66" s="96">
        <f t="shared" ref="L66:L73" si="29">+C66/I66*100-100</f>
        <v>-21.442041856883918</v>
      </c>
      <c r="M66" s="69"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row>
    <row r="67" spans="1:16382" s="34" customFormat="1" ht="15" customHeight="1">
      <c r="A67" s="31"/>
      <c r="B67" s="32" t="s">
        <v>48</v>
      </c>
      <c r="C67" s="33">
        <f>+SUM(C68:C73)+C56</f>
        <v>-20519613.07699997</v>
      </c>
      <c r="D67" s="43">
        <f t="shared" ref="D67:D73" si="30">+C67/$C$2*100</f>
        <v>-0.28187443269640189</v>
      </c>
      <c r="E67" s="33">
        <f>+SUM(E68:E73)+E56</f>
        <v>-2688909.0824599862</v>
      </c>
      <c r="F67" s="43">
        <f t="shared" si="25"/>
        <v>-3.6937086452188773E-2</v>
      </c>
      <c r="G67" s="33">
        <f t="shared" si="26"/>
        <v>-17830703.994539984</v>
      </c>
      <c r="H67" s="96">
        <f t="shared" si="27"/>
        <v>663.12037513099233</v>
      </c>
      <c r="I67" s="33">
        <f>+SUM(I68:I73)+I56</f>
        <v>-26120349.30900006</v>
      </c>
      <c r="J67" s="43">
        <f t="shared" ref="J67:J73" si="31">+I67/$I$2*100</f>
        <v>-0.37509755075488893</v>
      </c>
      <c r="K67" s="33">
        <f t="shared" si="28"/>
        <v>5600736.2320000902</v>
      </c>
      <c r="L67" s="96">
        <f t="shared" si="29"/>
        <v>-21.442041856883947</v>
      </c>
      <c r="M67" s="69"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row>
    <row r="68" spans="1:16382">
      <c r="A68" s="21">
        <v>7511</v>
      </c>
      <c r="B68" s="22" t="s">
        <v>55</v>
      </c>
      <c r="C68" s="104">
        <v>1207821.6000000001</v>
      </c>
      <c r="D68" s="41">
        <f t="shared" si="30"/>
        <v>1.6591639765374949E-2</v>
      </c>
      <c r="E68" s="104">
        <v>1507821.6</v>
      </c>
      <c r="F68" s="41">
        <f t="shared" si="25"/>
        <v>2.0712688709699577E-2</v>
      </c>
      <c r="G68" s="23">
        <f t="shared" si="26"/>
        <v>-300000</v>
      </c>
      <c r="H68" s="91">
        <f t="shared" si="27"/>
        <v>-19.896252978469064</v>
      </c>
      <c r="I68" s="104">
        <v>1886416.87</v>
      </c>
      <c r="J68" s="41">
        <f t="shared" si="31"/>
        <v>2.7089620405493415E-2</v>
      </c>
      <c r="K68" s="23">
        <f t="shared" si="28"/>
        <v>-678595.27</v>
      </c>
      <c r="L68" s="91">
        <f t="shared" si="29"/>
        <v>-35.972709998082237</v>
      </c>
      <c r="M68" s="71" t="s">
        <v>144</v>
      </c>
    </row>
    <row r="69" spans="1:16382" ht="15" customHeight="1">
      <c r="A69" s="21">
        <v>7512</v>
      </c>
      <c r="B69" s="22" t="s">
        <v>49</v>
      </c>
      <c r="C69" s="104">
        <v>749434.96</v>
      </c>
      <c r="D69" s="41">
        <f t="shared" si="30"/>
        <v>1.0294860502493234E-2</v>
      </c>
      <c r="E69" s="104">
        <v>949434.96</v>
      </c>
      <c r="F69" s="41">
        <f t="shared" si="25"/>
        <v>1.304222646537632E-2</v>
      </c>
      <c r="G69" s="23">
        <f t="shared" si="26"/>
        <v>-200000</v>
      </c>
      <c r="H69" s="91">
        <f t="shared" si="27"/>
        <v>-21.06516069305053</v>
      </c>
      <c r="I69" s="104">
        <v>1182468.4099999999</v>
      </c>
      <c r="J69" s="41">
        <f t="shared" si="31"/>
        <v>1.6980668948527452E-2</v>
      </c>
      <c r="K69" s="23">
        <f t="shared" si="28"/>
        <v>-433033.44999999995</v>
      </c>
      <c r="L69" s="91">
        <f t="shared" si="29"/>
        <v>-36.621143223606289</v>
      </c>
      <c r="M69" s="71" t="s">
        <v>145</v>
      </c>
    </row>
    <row r="70" spans="1:16382" ht="15" customHeight="1">
      <c r="A70" s="18">
        <v>72</v>
      </c>
      <c r="B70" s="19" t="s">
        <v>172</v>
      </c>
      <c r="C70" s="105">
        <v>5527163.7100000009</v>
      </c>
      <c r="D70" s="40">
        <f t="shared" si="30"/>
        <v>7.592570724068301E-2</v>
      </c>
      <c r="E70" s="105">
        <v>7827163.71</v>
      </c>
      <c r="F70" s="40">
        <f t="shared" si="25"/>
        <v>0.10752041581383848</v>
      </c>
      <c r="G70" s="20">
        <f t="shared" si="26"/>
        <v>-2299999.9999999991</v>
      </c>
      <c r="H70" s="87">
        <f t="shared" si="27"/>
        <v>-29.384845969958633</v>
      </c>
      <c r="I70" s="105">
        <v>4608844.62</v>
      </c>
      <c r="J70" s="40">
        <f t="shared" si="31"/>
        <v>6.6184655814544593E-2</v>
      </c>
      <c r="K70" s="20">
        <f t="shared" si="28"/>
        <v>918319.09000000078</v>
      </c>
      <c r="L70" s="87">
        <f t="shared" si="29"/>
        <v>19.925147530792657</v>
      </c>
      <c r="M70" s="70" t="s">
        <v>146</v>
      </c>
    </row>
    <row r="71" spans="1:16382" ht="15" customHeight="1">
      <c r="A71" s="28">
        <v>73</v>
      </c>
      <c r="B71" s="19" t="s">
        <v>188</v>
      </c>
      <c r="C71" s="114">
        <v>135037.69</v>
      </c>
      <c r="D71" s="40">
        <f t="shared" si="30"/>
        <v>1.8549897660617885E-3</v>
      </c>
      <c r="E71" s="114">
        <v>195037.69</v>
      </c>
      <c r="F71" s="40">
        <f t="shared" si="25"/>
        <v>2.6791995549267141E-3</v>
      </c>
      <c r="G71" s="20">
        <f t="shared" si="26"/>
        <v>-60000</v>
      </c>
      <c r="H71" s="87">
        <f t="shared" si="27"/>
        <v>-30.763284778444628</v>
      </c>
      <c r="I71" s="114">
        <v>190414.36000000002</v>
      </c>
      <c r="J71" s="40">
        <f t="shared" si="31"/>
        <v>2.7344182583327772E-3</v>
      </c>
      <c r="K71" s="20">
        <f t="shared" si="28"/>
        <v>-55376.670000000013</v>
      </c>
      <c r="L71" s="87">
        <f t="shared" si="29"/>
        <v>-29.082192120384192</v>
      </c>
      <c r="M71" s="73" t="s">
        <v>108</v>
      </c>
    </row>
    <row r="72" spans="1:16382" ht="15" customHeight="1">
      <c r="A72" s="28"/>
      <c r="B72" s="29" t="s">
        <v>152</v>
      </c>
      <c r="C72" s="114">
        <v>15856423.719999999</v>
      </c>
      <c r="D72" s="40">
        <f t="shared" si="30"/>
        <v>0.21781699410689997</v>
      </c>
      <c r="E72" s="114">
        <v>16856423.719999999</v>
      </c>
      <c r="F72" s="40">
        <f t="shared" ref="F72" si="32">+E72/$E$2*100</f>
        <v>0.23155382392131543</v>
      </c>
      <c r="G72" s="20">
        <f t="shared" ref="G72" si="33">+C72-E72</f>
        <v>-1000000</v>
      </c>
      <c r="H72" s="87">
        <f t="shared" ref="H72" si="34">+C72/E72*100-100</f>
        <v>-5.9324564724456224</v>
      </c>
      <c r="I72" s="114">
        <v>14790886.709999999</v>
      </c>
      <c r="J72" s="40">
        <f t="shared" ref="J72" si="35">+I72/$I$2*100</f>
        <v>0.21240241900219928</v>
      </c>
      <c r="K72" s="20">
        <f t="shared" ref="K72" si="36">+C72-I72</f>
        <v>1065537.0099999998</v>
      </c>
      <c r="L72" s="87">
        <f t="shared" ref="L72" si="37">+C72/I72*100-100</f>
        <v>7.20401035375113</v>
      </c>
      <c r="M72" s="73" t="s">
        <v>153</v>
      </c>
    </row>
    <row r="73" spans="1:16382" ht="15" customHeight="1" thickBot="1">
      <c r="A73" s="24"/>
      <c r="B73" s="25" t="s">
        <v>50</v>
      </c>
      <c r="C73" s="26">
        <f>+-C66-(SUM(C68:C72)+C56)</f>
        <v>-43995494.756999969</v>
      </c>
      <c r="D73" s="42">
        <f t="shared" si="30"/>
        <v>-0.60435862407791485</v>
      </c>
      <c r="E73" s="26">
        <f>+-E66-SUM(E68:E72)</f>
        <v>-30024790.762459986</v>
      </c>
      <c r="F73" s="42">
        <f t="shared" si="25"/>
        <v>-0.41244544091734536</v>
      </c>
      <c r="G73" s="26">
        <f t="shared" si="26"/>
        <v>-13970703.994539984</v>
      </c>
      <c r="H73" s="92">
        <f t="shared" si="27"/>
        <v>46.530562377831984</v>
      </c>
      <c r="I73" s="26">
        <f>+-I66-(SUM(I68:I72)+I56)</f>
        <v>-48779380.279000059</v>
      </c>
      <c r="J73" s="42">
        <f t="shared" si="31"/>
        <v>-0.70048933318398643</v>
      </c>
      <c r="K73" s="26">
        <f t="shared" si="28"/>
        <v>4783885.5220000893</v>
      </c>
      <c r="L73" s="92">
        <f t="shared" si="29"/>
        <v>-9.8071879852470971</v>
      </c>
      <c r="M73" s="74" t="s">
        <v>147</v>
      </c>
    </row>
    <row r="74" spans="1:16382" ht="13.5" customHeight="1"/>
    <row r="78" spans="1:16382">
      <c r="G78" s="82"/>
    </row>
    <row r="80" spans="1:16382">
      <c r="J80" s="83"/>
    </row>
  </sheetData>
  <sheetProtection algorithmName="SHA-512" hashValue="DasSCH/c/0svXzYLGR+nSsYoK3BCpoJGJB/61x7evf+eX64DQ+EPgJ+5PQFNgiDTa8sIZgrCDgTWYkzxatguCg==" saltValue="DeMD/6c/ZiqK5I4u26KnFA==" spinCount="100000" sheet="1"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4"/>
  <sheetViews>
    <sheetView topLeftCell="B1" zoomScale="90" zoomScaleNormal="90" zoomScaleSheetLayoutView="90" workbookViewId="0">
      <pane ySplit="5" topLeftCell="A6" activePane="bottomLeft" state="frozen"/>
      <selection activeCell="G14" sqref="G14"/>
      <selection pane="bottomLeft" activeCell="B1" sqref="B1"/>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93" customWidth="1"/>
    <col min="9" max="9" width="9.140625" style="6"/>
    <col min="10" max="10" width="9.5703125" style="7" customWidth="1"/>
    <col min="11" max="11" width="11.28515625" style="6" customWidth="1"/>
    <col min="12" max="12" width="11.7109375" style="93"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2"/>
      <c r="M1" s="5"/>
    </row>
    <row r="2" spans="1:16357" ht="15.75" customHeight="1" thickBot="1">
      <c r="A2" s="8" t="s">
        <v>58</v>
      </c>
      <c r="B2" s="8"/>
      <c r="C2" s="126">
        <f>'Centralna država-ek klas'!C2:D2</f>
        <v>7279700000</v>
      </c>
      <c r="D2" s="127"/>
      <c r="E2" s="126">
        <f>'Centralna država-ek klas'!E2:F2</f>
        <v>7279700000</v>
      </c>
      <c r="F2" s="127"/>
      <c r="G2" s="9"/>
      <c r="H2" s="94"/>
      <c r="I2" s="126">
        <v>6963615000</v>
      </c>
      <c r="J2" s="127"/>
      <c r="K2" s="9"/>
      <c r="L2" s="94"/>
      <c r="M2" s="8" t="s">
        <v>78</v>
      </c>
    </row>
    <row r="3" spans="1:16357" ht="15" customHeight="1" thickBot="1">
      <c r="A3" s="8"/>
      <c r="B3" s="8"/>
      <c r="C3" s="11"/>
      <c r="D3" s="8"/>
      <c r="E3" s="11"/>
      <c r="F3" s="10"/>
      <c r="G3" s="11"/>
      <c r="H3" s="94"/>
      <c r="I3" s="11"/>
      <c r="J3" s="10"/>
      <c r="K3" s="11"/>
      <c r="L3" s="94"/>
      <c r="M3" s="8"/>
    </row>
    <row r="4" spans="1:16357" ht="15" customHeight="1">
      <c r="A4" s="118" t="s">
        <v>70</v>
      </c>
      <c r="B4" s="130" t="s">
        <v>71</v>
      </c>
      <c r="C4" s="122" t="s">
        <v>191</v>
      </c>
      <c r="D4" s="123"/>
      <c r="E4" s="120" t="s">
        <v>192</v>
      </c>
      <c r="F4" s="121"/>
      <c r="G4" s="120" t="s">
        <v>171</v>
      </c>
      <c r="H4" s="121"/>
      <c r="I4" s="120" t="s">
        <v>193</v>
      </c>
      <c r="J4" s="121"/>
      <c r="K4" s="120" t="s">
        <v>171</v>
      </c>
      <c r="L4" s="121"/>
      <c r="M4" s="128" t="s">
        <v>148</v>
      </c>
    </row>
    <row r="5" spans="1:16357" ht="24" customHeight="1">
      <c r="A5" s="119"/>
      <c r="B5" s="131"/>
      <c r="C5" s="12" t="s">
        <v>61</v>
      </c>
      <c r="D5" s="13" t="s">
        <v>56</v>
      </c>
      <c r="E5" s="12" t="s">
        <v>61</v>
      </c>
      <c r="F5" s="13" t="s">
        <v>56</v>
      </c>
      <c r="G5" s="12" t="s">
        <v>64</v>
      </c>
      <c r="H5" s="95" t="s">
        <v>62</v>
      </c>
      <c r="I5" s="12" t="s">
        <v>61</v>
      </c>
      <c r="J5" s="14" t="s">
        <v>56</v>
      </c>
      <c r="K5" s="12" t="s">
        <v>61</v>
      </c>
      <c r="L5" s="97" t="s">
        <v>62</v>
      </c>
      <c r="M5" s="129"/>
    </row>
    <row r="6" spans="1:16357" s="38" customFormat="1" ht="15" customHeight="1">
      <c r="A6" s="35"/>
      <c r="B6" s="36" t="s">
        <v>51</v>
      </c>
      <c r="C6" s="37">
        <f>+C7+C17+C22+C23+C24+C25+C26</f>
        <v>2381796606.8499999</v>
      </c>
      <c r="D6" s="44">
        <f>+C6/$C$2*100</f>
        <v>32.718334640850586</v>
      </c>
      <c r="E6" s="37">
        <f>+E7+E17+E22+E23+E24+E25+E26</f>
        <v>2366371515.4025116</v>
      </c>
      <c r="F6" s="44">
        <f t="shared" ref="F6:F52" si="0">+E6/$E$2*100</f>
        <v>32.506442784764637</v>
      </c>
      <c r="G6" s="37">
        <f>+C6-E6</f>
        <v>15425091.447488308</v>
      </c>
      <c r="H6" s="98">
        <f>+C6/E6*100-100</f>
        <v>0.65184572021289</v>
      </c>
      <c r="I6" s="37">
        <f>+I7+I17+I22+I23+I24+I25+I26</f>
        <v>2163676943.2700005</v>
      </c>
      <c r="J6" s="44">
        <f>+I6/$I$2*100</f>
        <v>31.07117414259692</v>
      </c>
      <c r="K6" s="37">
        <f>+C6-I6</f>
        <v>218119663.57999945</v>
      </c>
      <c r="L6" s="98">
        <f>+C6/I6*100-100</f>
        <v>10.08097185018535</v>
      </c>
      <c r="M6" s="78" t="s">
        <v>149</v>
      </c>
      <c r="N6" s="1"/>
      <c r="O6" s="1"/>
      <c r="P6" s="8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1670465687.8799999</v>
      </c>
      <c r="D7" s="40">
        <f t="shared" ref="D7:D56" si="1">+C7/$C$2*100</f>
        <v>22.946902865227962</v>
      </c>
      <c r="E7" s="20">
        <f>+SUM(E8:E16)</f>
        <v>1665153927.2543018</v>
      </c>
      <c r="F7" s="40">
        <f t="shared" si="0"/>
        <v>22.873936113497834</v>
      </c>
      <c r="G7" s="20">
        <f t="shared" ref="G7:G55" si="2">+C7-E7</f>
        <v>5311760.6256980896</v>
      </c>
      <c r="H7" s="87">
        <f t="shared" ref="H7:H55" si="3">+C7/E7*100-100</f>
        <v>0.31899517148283962</v>
      </c>
      <c r="I7" s="20">
        <f>+SUM(I8:I16)</f>
        <v>1415256195.3500001</v>
      </c>
      <c r="J7" s="40">
        <f t="shared" ref="J7:J56" si="4">+I7/$I$2*100</f>
        <v>20.323584737955791</v>
      </c>
      <c r="K7" s="20">
        <f t="shared" ref="K7:K55" si="5">+C7-I7</f>
        <v>255209492.52999973</v>
      </c>
      <c r="L7" s="87">
        <f t="shared" ref="L7:L55" si="6">+C7/I7*100-100</f>
        <v>18.032741589015615</v>
      </c>
      <c r="M7" s="70" t="s">
        <v>79</v>
      </c>
      <c r="Q7" s="81"/>
    </row>
    <row r="8" spans="1:16357" ht="15" customHeight="1">
      <c r="A8" s="21">
        <v>7111</v>
      </c>
      <c r="B8" s="22" t="s">
        <v>2</v>
      </c>
      <c r="C8" s="23">
        <f>+'Centralna država-ek klas'!C8+'Lokalna država-ek klas '!C8</f>
        <v>131980974.34999999</v>
      </c>
      <c r="D8" s="41">
        <f t="shared" si="1"/>
        <v>1.813000183386678</v>
      </c>
      <c r="E8" s="23">
        <f>+'Centralna država-ek klas'!E8+'Lokalna država-ek klas '!E8</f>
        <v>133183001.85164836</v>
      </c>
      <c r="F8" s="41">
        <f t="shared" si="0"/>
        <v>1.8295122306090685</v>
      </c>
      <c r="G8" s="23">
        <f t="shared" si="2"/>
        <v>-1202027.5016483665</v>
      </c>
      <c r="H8" s="91">
        <f t="shared" si="3"/>
        <v>-0.90253822555170871</v>
      </c>
      <c r="I8" s="23">
        <f>+'Centralna država-ek klas'!I8+'Lokalna država-ek klas '!I8</f>
        <v>98442068.469999999</v>
      </c>
      <c r="J8" s="41">
        <f t="shared" si="4"/>
        <v>1.4136632836536771</v>
      </c>
      <c r="K8" s="23">
        <f t="shared" si="5"/>
        <v>33538905.879999995</v>
      </c>
      <c r="L8" s="91">
        <f t="shared" si="6"/>
        <v>34.069688296138253</v>
      </c>
      <c r="M8" s="71" t="s">
        <v>80</v>
      </c>
      <c r="P8" s="84"/>
      <c r="Q8" s="84"/>
      <c r="R8" s="84"/>
    </row>
    <row r="9" spans="1:16357" ht="15" customHeight="1">
      <c r="A9" s="21">
        <v>7112</v>
      </c>
      <c r="B9" s="22" t="s">
        <v>3</v>
      </c>
      <c r="C9" s="23">
        <f>+'Centralna država-ek klas'!C9</f>
        <v>204339140.29999998</v>
      </c>
      <c r="D9" s="41">
        <f t="shared" si="1"/>
        <v>2.8069719947250569</v>
      </c>
      <c r="E9" s="23">
        <f>+'Centralna država-ek klas'!E9</f>
        <v>201980632.47999999</v>
      </c>
      <c r="F9" s="41">
        <f t="shared" si="0"/>
        <v>2.7745735741857493</v>
      </c>
      <c r="G9" s="23">
        <f t="shared" si="2"/>
        <v>2358507.8199999928</v>
      </c>
      <c r="H9" s="91">
        <f t="shared" si="3"/>
        <v>1.1676900854509</v>
      </c>
      <c r="I9" s="23">
        <f>+'Centralna država-ek klas'!I9</f>
        <v>140991927.87</v>
      </c>
      <c r="J9" s="41">
        <f t="shared" si="4"/>
        <v>2.0246944707597994</v>
      </c>
      <c r="K9" s="23">
        <f t="shared" si="5"/>
        <v>63347212.429999977</v>
      </c>
      <c r="L9" s="91">
        <f t="shared" si="6"/>
        <v>44.929673199737039</v>
      </c>
      <c r="M9" s="71" t="s">
        <v>81</v>
      </c>
    </row>
    <row r="10" spans="1:16357" ht="15" customHeight="1">
      <c r="A10" s="21">
        <v>71131</v>
      </c>
      <c r="B10" s="22" t="s">
        <v>66</v>
      </c>
      <c r="C10" s="23">
        <f>+'Lokalna država-ek klas '!C9</f>
        <v>62757715.889999993</v>
      </c>
      <c r="D10" s="41">
        <f t="shared" si="1"/>
        <v>0.86209206272236483</v>
      </c>
      <c r="E10" s="23">
        <f>+'Lokalna država-ek klas '!E9</f>
        <v>64012870.207799993</v>
      </c>
      <c r="F10" s="41">
        <f t="shared" si="0"/>
        <v>0.87933390397681221</v>
      </c>
      <c r="G10" s="23">
        <f t="shared" si="2"/>
        <v>-1255154.3178000003</v>
      </c>
      <c r="H10" s="91">
        <f t="shared" si="3"/>
        <v>-1.9607843137254974</v>
      </c>
      <c r="I10" s="23">
        <f>+'Lokalna država-ek klas '!I9</f>
        <v>62267636.810000002</v>
      </c>
      <c r="J10" s="41">
        <f t="shared" si="4"/>
        <v>0.89418551729238338</v>
      </c>
      <c r="K10" s="23">
        <f t="shared" si="5"/>
        <v>490079.07999999076</v>
      </c>
      <c r="L10" s="91">
        <f t="shared" si="6"/>
        <v>0.78705264099774297</v>
      </c>
      <c r="M10" s="71" t="s">
        <v>150</v>
      </c>
    </row>
    <row r="11" spans="1:16357" ht="15" customHeight="1">
      <c r="A11" s="21">
        <v>71132</v>
      </c>
      <c r="B11" s="22" t="s">
        <v>4</v>
      </c>
      <c r="C11" s="23">
        <f>+'Centralna država-ek klas'!C10+'Lokalna država-ek klas '!C10</f>
        <v>19163617.810000006</v>
      </c>
      <c r="D11" s="41">
        <f t="shared" si="1"/>
        <v>0.26324735648447062</v>
      </c>
      <c r="E11" s="23">
        <f>+'Centralna država-ek klas'!E10+'Lokalna država-ek klas '!E10</f>
        <v>20505071.056700006</v>
      </c>
      <c r="F11" s="41">
        <f t="shared" si="0"/>
        <v>0.28167467143838354</v>
      </c>
      <c r="G11" s="23">
        <f t="shared" si="2"/>
        <v>-1341453.2467</v>
      </c>
      <c r="H11" s="91">
        <f t="shared" si="3"/>
        <v>-6.5420560747663501</v>
      </c>
      <c r="I11" s="23">
        <f>+'Centralna država-ek klas'!I10+'Lokalna država-ek klas '!I10</f>
        <v>17286736.049999997</v>
      </c>
      <c r="J11" s="41">
        <f t="shared" si="4"/>
        <v>0.24824370747090407</v>
      </c>
      <c r="K11" s="23">
        <f t="shared" si="5"/>
        <v>1876881.7600000091</v>
      </c>
      <c r="L11" s="91">
        <f t="shared" si="6"/>
        <v>10.857351871234314</v>
      </c>
      <c r="M11" s="71" t="s">
        <v>82</v>
      </c>
    </row>
    <row r="12" spans="1:16357" ht="15" customHeight="1">
      <c r="A12" s="21">
        <v>7114</v>
      </c>
      <c r="B12" s="22" t="s">
        <v>5</v>
      </c>
      <c r="C12" s="23">
        <f>+'Centralna država-ek klas'!C11</f>
        <v>901559862.32000005</v>
      </c>
      <c r="D12" s="41">
        <f t="shared" si="1"/>
        <v>12.384574396197646</v>
      </c>
      <c r="E12" s="23">
        <f>+'Centralna država-ek klas'!E11</f>
        <v>897670432.91000009</v>
      </c>
      <c r="F12" s="41">
        <f t="shared" si="0"/>
        <v>12.331145966317294</v>
      </c>
      <c r="G12" s="23">
        <f t="shared" si="2"/>
        <v>3889429.4099999666</v>
      </c>
      <c r="H12" s="91">
        <f t="shared" si="3"/>
        <v>0.43328032955163565</v>
      </c>
      <c r="I12" s="23">
        <f>+'Centralna država-ek klas'!I11</f>
        <v>789993007.68000007</v>
      </c>
      <c r="J12" s="41">
        <f t="shared" si="4"/>
        <v>11.344581911550252</v>
      </c>
      <c r="K12" s="23">
        <f t="shared" si="5"/>
        <v>111566854.63999999</v>
      </c>
      <c r="L12" s="91">
        <f t="shared" si="6"/>
        <v>14.122511662178155</v>
      </c>
      <c r="M12" s="71" t="s">
        <v>83</v>
      </c>
    </row>
    <row r="13" spans="1:16357" ht="15" customHeight="1">
      <c r="A13" s="21">
        <v>7115</v>
      </c>
      <c r="B13" s="22" t="s">
        <v>6</v>
      </c>
      <c r="C13" s="23">
        <f>+'Centralna država-ek klas'!C12</f>
        <v>276915291.29000002</v>
      </c>
      <c r="D13" s="41">
        <f t="shared" si="1"/>
        <v>3.8039382294600057</v>
      </c>
      <c r="E13" s="23">
        <f>+'Centralna država-ek klas'!E12</f>
        <v>273509667.29315323</v>
      </c>
      <c r="F13" s="41">
        <f t="shared" si="0"/>
        <v>3.7571557522034316</v>
      </c>
      <c r="G13" s="23">
        <f t="shared" si="2"/>
        <v>3405623.9968467951</v>
      </c>
      <c r="H13" s="91">
        <f t="shared" si="3"/>
        <v>1.2451567180609402</v>
      </c>
      <c r="I13" s="23">
        <f>+'Centralna država-ek klas'!I12</f>
        <v>242217273.80999997</v>
      </c>
      <c r="J13" s="41">
        <f t="shared" si="4"/>
        <v>3.4783266135477047</v>
      </c>
      <c r="K13" s="23">
        <f t="shared" si="5"/>
        <v>34698017.480000049</v>
      </c>
      <c r="L13" s="91">
        <f t="shared" si="6"/>
        <v>14.325162253794431</v>
      </c>
      <c r="M13" s="71" t="s">
        <v>84</v>
      </c>
    </row>
    <row r="14" spans="1:16357" ht="15" customHeight="1">
      <c r="A14" s="21">
        <v>7116</v>
      </c>
      <c r="B14" s="22" t="s">
        <v>7</v>
      </c>
      <c r="C14" s="23">
        <f>+'Centralna država-ek klas'!C13</f>
        <v>44689346.829999998</v>
      </c>
      <c r="D14" s="41">
        <f t="shared" si="1"/>
        <v>0.61388995192109563</v>
      </c>
      <c r="E14" s="23">
        <f>+'Centralna država-ek klas'!E13</f>
        <v>44357827.739999995</v>
      </c>
      <c r="F14" s="41">
        <f t="shared" si="0"/>
        <v>0.60933593060153568</v>
      </c>
      <c r="G14" s="23">
        <f t="shared" si="2"/>
        <v>331519.09000000358</v>
      </c>
      <c r="H14" s="91">
        <f t="shared" si="3"/>
        <v>0.74737449259953337</v>
      </c>
      <c r="I14" s="23">
        <f>+'Centralna država-ek klas'!I13</f>
        <v>39032159.130000003</v>
      </c>
      <c r="J14" s="41">
        <f t="shared" si="4"/>
        <v>0.56051575410185661</v>
      </c>
      <c r="K14" s="23">
        <f t="shared" si="5"/>
        <v>5657187.6999999955</v>
      </c>
      <c r="L14" s="91">
        <f t="shared" si="6"/>
        <v>14.493658117036873</v>
      </c>
      <c r="M14" s="71" t="s">
        <v>85</v>
      </c>
    </row>
    <row r="15" spans="1:16357" ht="15" customHeight="1">
      <c r="A15" s="21"/>
      <c r="B15" s="22" t="s">
        <v>159</v>
      </c>
      <c r="C15" s="23">
        <f>+'Lokalna država-ek klas '!C11</f>
        <v>18032753.100000001</v>
      </c>
      <c r="D15" s="41">
        <f t="shared" si="1"/>
        <v>0.24771286042007229</v>
      </c>
      <c r="E15" s="23">
        <f>+'Lokalna država-ek klas '!E11</f>
        <v>18934390.755000003</v>
      </c>
      <c r="F15" s="41">
        <f t="shared" si="0"/>
        <v>0.26009850344107588</v>
      </c>
      <c r="G15" s="23">
        <f t="shared" si="2"/>
        <v>-901637.65500000119</v>
      </c>
      <c r="H15" s="91">
        <f t="shared" si="3"/>
        <v>-4.7619047619047734</v>
      </c>
      <c r="I15" s="23">
        <f>+'Lokalna država-ek klas '!I11</f>
        <v>14890769.41</v>
      </c>
      <c r="J15" s="41">
        <f t="shared" si="4"/>
        <v>0.21383677026946493</v>
      </c>
      <c r="K15" s="23">
        <f t="shared" si="5"/>
        <v>3141983.6900000013</v>
      </c>
      <c r="L15" s="91">
        <f t="shared" si="6"/>
        <v>21.100210496107621</v>
      </c>
      <c r="M15" s="71" t="s">
        <v>160</v>
      </c>
    </row>
    <row r="16" spans="1:16357" ht="15" customHeight="1">
      <c r="A16" s="21">
        <v>7118</v>
      </c>
      <c r="B16" s="22" t="s">
        <v>60</v>
      </c>
      <c r="C16" s="23">
        <f>+'Centralna država-ek klas'!C14</f>
        <v>11026985.989999998</v>
      </c>
      <c r="D16" s="41">
        <f t="shared" si="1"/>
        <v>0.15147582991057321</v>
      </c>
      <c r="E16" s="23">
        <f>+'Centralna država-ek klas'!E14</f>
        <v>11000032.959999999</v>
      </c>
      <c r="F16" s="41">
        <f t="shared" si="0"/>
        <v>0.15110558072448038</v>
      </c>
      <c r="G16" s="23">
        <f t="shared" si="2"/>
        <v>26953.029999999329</v>
      </c>
      <c r="H16" s="91">
        <f t="shared" si="3"/>
        <v>0.24502681126510595</v>
      </c>
      <c r="I16" s="23">
        <f>+'Centralna država-ek klas'!I14</f>
        <v>10134616.120000001</v>
      </c>
      <c r="J16" s="41">
        <f t="shared" si="4"/>
        <v>0.14553670930974788</v>
      </c>
      <c r="K16" s="23">
        <f t="shared" si="5"/>
        <v>892369.86999999732</v>
      </c>
      <c r="L16" s="91">
        <f t="shared" si="6"/>
        <v>8.8051669588053159</v>
      </c>
      <c r="M16" s="71" t="s">
        <v>86</v>
      </c>
    </row>
    <row r="17" spans="1:16357" ht="15" customHeight="1">
      <c r="A17" s="18">
        <v>712</v>
      </c>
      <c r="B17" s="19" t="s">
        <v>8</v>
      </c>
      <c r="C17" s="20">
        <f>+SUM(C18:C21)</f>
        <v>430168424.79000002</v>
      </c>
      <c r="D17" s="40">
        <f t="shared" si="1"/>
        <v>5.9091504428753936</v>
      </c>
      <c r="E17" s="20">
        <f>+SUM(E18:E21)</f>
        <v>422936293.28999996</v>
      </c>
      <c r="F17" s="40">
        <f t="shared" si="0"/>
        <v>5.8098038832644194</v>
      </c>
      <c r="G17" s="20">
        <f t="shared" si="2"/>
        <v>7232131.5000000596</v>
      </c>
      <c r="H17" s="87">
        <f t="shared" si="3"/>
        <v>1.7099812938118077</v>
      </c>
      <c r="I17" s="20">
        <f>+SUM(I18:I21)</f>
        <v>387750993.43000007</v>
      </c>
      <c r="J17" s="40">
        <f t="shared" si="4"/>
        <v>5.5682428369460411</v>
      </c>
      <c r="K17" s="20">
        <f t="shared" si="5"/>
        <v>42417431.359999955</v>
      </c>
      <c r="L17" s="87">
        <f t="shared" si="6"/>
        <v>10.939348210247061</v>
      </c>
      <c r="M17" s="70" t="s">
        <v>87</v>
      </c>
    </row>
    <row r="18" spans="1:16357" ht="15" customHeight="1">
      <c r="A18" s="21">
        <v>7121</v>
      </c>
      <c r="B18" s="22" t="s">
        <v>9</v>
      </c>
      <c r="C18" s="23">
        <f>+'Centralna država-ek klas'!C16</f>
        <v>394493209.23000002</v>
      </c>
      <c r="D18" s="41">
        <f t="shared" si="1"/>
        <v>5.4190860781350878</v>
      </c>
      <c r="E18" s="23">
        <f>+'Centralna država-ek klas'!E16</f>
        <v>388125869.17999995</v>
      </c>
      <c r="F18" s="41">
        <f t="shared" si="0"/>
        <v>5.3316190114977253</v>
      </c>
      <c r="G18" s="23">
        <f t="shared" si="2"/>
        <v>6367340.0500000715</v>
      </c>
      <c r="H18" s="91">
        <f t="shared" si="3"/>
        <v>1.6405348253267533</v>
      </c>
      <c r="I18" s="23">
        <f>+'Centralna država-ek klas'!I16</f>
        <v>354614891.85000002</v>
      </c>
      <c r="J18" s="41">
        <f t="shared" si="4"/>
        <v>5.0923965763471992</v>
      </c>
      <c r="K18" s="23">
        <f t="shared" si="5"/>
        <v>39878317.379999995</v>
      </c>
      <c r="L18" s="91">
        <f t="shared" si="6"/>
        <v>11.245528119802799</v>
      </c>
      <c r="M18" s="71" t="s">
        <v>88</v>
      </c>
    </row>
    <row r="19" spans="1:16357" ht="15" customHeight="1">
      <c r="A19" s="21">
        <v>7122</v>
      </c>
      <c r="B19" s="22" t="s">
        <v>10</v>
      </c>
      <c r="C19" s="23">
        <f>+'Centralna država-ek klas'!C17</f>
        <v>3671378.62</v>
      </c>
      <c r="D19" s="41">
        <f t="shared" si="1"/>
        <v>5.0433103287223377E-2</v>
      </c>
      <c r="E19" s="23">
        <f>+'Centralna država-ek klas'!E17</f>
        <v>3000000</v>
      </c>
      <c r="F19" s="41">
        <f t="shared" si="0"/>
        <v>4.121048944324629E-2</v>
      </c>
      <c r="G19" s="23">
        <f t="shared" si="2"/>
        <v>671378.62000000011</v>
      </c>
      <c r="H19" s="91">
        <f t="shared" si="3"/>
        <v>22.379287333333338</v>
      </c>
      <c r="I19" s="23">
        <f>+'Centralna država-ek klas'!I17</f>
        <v>5008781.8699999992</v>
      </c>
      <c r="J19" s="41">
        <f t="shared" si="4"/>
        <v>7.1927897650860925E-2</v>
      </c>
      <c r="K19" s="23">
        <f t="shared" si="5"/>
        <v>-1337403.2499999991</v>
      </c>
      <c r="L19" s="91">
        <f t="shared" si="6"/>
        <v>-26.701167763171114</v>
      </c>
      <c r="M19" s="71" t="s">
        <v>89</v>
      </c>
    </row>
    <row r="20" spans="1:16357" ht="15" customHeight="1">
      <c r="A20" s="21">
        <v>7123</v>
      </c>
      <c r="B20" s="22" t="s">
        <v>11</v>
      </c>
      <c r="C20" s="23">
        <f>+'Centralna država-ek klas'!C18</f>
        <v>18537804.940000001</v>
      </c>
      <c r="D20" s="41">
        <f t="shared" si="1"/>
        <v>0.25465067159360966</v>
      </c>
      <c r="E20" s="23">
        <f>+'Centralna država-ek klas'!E18</f>
        <v>18426783.16</v>
      </c>
      <c r="F20" s="41">
        <f t="shared" si="0"/>
        <v>0.25312558429605614</v>
      </c>
      <c r="G20" s="23">
        <f t="shared" si="2"/>
        <v>111021.78000000119</v>
      </c>
      <c r="H20" s="91">
        <f t="shared" si="3"/>
        <v>0.60250223295079763</v>
      </c>
      <c r="I20" s="23">
        <f>+'Centralna država-ek klas'!I18</f>
        <v>16215994.219999999</v>
      </c>
      <c r="J20" s="41">
        <f t="shared" si="4"/>
        <v>0.23286747213911163</v>
      </c>
      <c r="K20" s="23">
        <f t="shared" si="5"/>
        <v>2321810.7200000025</v>
      </c>
      <c r="L20" s="91">
        <f t="shared" si="6"/>
        <v>14.318028783806525</v>
      </c>
      <c r="M20" s="71" t="s">
        <v>90</v>
      </c>
    </row>
    <row r="21" spans="1:16357" ht="15" customHeight="1">
      <c r="A21" s="21">
        <v>7124</v>
      </c>
      <c r="B21" s="22" t="s">
        <v>12</v>
      </c>
      <c r="C21" s="23">
        <f>+'Centralna država-ek klas'!C19</f>
        <v>13466032</v>
      </c>
      <c r="D21" s="41">
        <f t="shared" si="1"/>
        <v>0.18498058985947222</v>
      </c>
      <c r="E21" s="23">
        <f>+'Centralna država-ek klas'!E19</f>
        <v>13383640.949999999</v>
      </c>
      <c r="F21" s="41">
        <f t="shared" si="0"/>
        <v>0.18384879802739124</v>
      </c>
      <c r="G21" s="23">
        <f t="shared" si="2"/>
        <v>82391.050000000745</v>
      </c>
      <c r="H21" s="91">
        <f t="shared" si="3"/>
        <v>0.61561013410181431</v>
      </c>
      <c r="I21" s="23">
        <f>+'Centralna država-ek klas'!I19</f>
        <v>11911325.489999998</v>
      </c>
      <c r="J21" s="41">
        <f t="shared" si="4"/>
        <v>0.17105089080886865</v>
      </c>
      <c r="K21" s="23">
        <f t="shared" si="5"/>
        <v>1554706.5100000016</v>
      </c>
      <c r="L21" s="91">
        <f t="shared" si="6"/>
        <v>13.052338392609926</v>
      </c>
      <c r="M21" s="71" t="s">
        <v>91</v>
      </c>
    </row>
    <row r="22" spans="1:16357" ht="15" customHeight="1">
      <c r="A22" s="18">
        <v>713</v>
      </c>
      <c r="B22" s="19" t="s">
        <v>13</v>
      </c>
      <c r="C22" s="20">
        <f>+'Centralna država-ek klas'!C20+'Lokalna država-ek klas '!C12</f>
        <v>16163997.149999999</v>
      </c>
      <c r="D22" s="40">
        <f t="shared" si="1"/>
        <v>0.222042077970246</v>
      </c>
      <c r="E22" s="20">
        <f>+'Centralna država-ek klas'!E20+'Lokalna država-ek klas '!E12</f>
        <v>16134677.759129999</v>
      </c>
      <c r="F22" s="40">
        <f t="shared" si="0"/>
        <v>0.22163932248760251</v>
      </c>
      <c r="G22" s="20">
        <f t="shared" si="2"/>
        <v>29319.390869999304</v>
      </c>
      <c r="H22" s="87">
        <f t="shared" si="3"/>
        <v>0.18171661874937683</v>
      </c>
      <c r="I22" s="20">
        <f>+'Centralna država-ek klas'!I20+'Lokalna država-ek klas '!I12</f>
        <v>15028104.91</v>
      </c>
      <c r="J22" s="40">
        <f t="shared" si="4"/>
        <v>0.21580895712930712</v>
      </c>
      <c r="K22" s="20">
        <f t="shared" si="5"/>
        <v>1135892.2399999984</v>
      </c>
      <c r="L22" s="87">
        <f t="shared" si="6"/>
        <v>7.5584529573263382</v>
      </c>
      <c r="M22" s="70" t="s">
        <v>92</v>
      </c>
    </row>
    <row r="23" spans="1:16357" ht="15" customHeight="1">
      <c r="A23" s="18">
        <v>714</v>
      </c>
      <c r="B23" s="19" t="s">
        <v>19</v>
      </c>
      <c r="C23" s="20">
        <f>+'Centralna država-ek klas'!C25+'Lokalna država-ek klas '!C19</f>
        <v>97905289.630000025</v>
      </c>
      <c r="D23" s="40">
        <f t="shared" si="1"/>
        <v>1.3449083015783621</v>
      </c>
      <c r="E23" s="20">
        <f>+'Centralna država-ek klas'!E25+'Lokalna država-ek klas '!E19</f>
        <v>99725798.786899999</v>
      </c>
      <c r="F23" s="40">
        <f t="shared" si="0"/>
        <v>1.369916326042282</v>
      </c>
      <c r="G23" s="20">
        <f t="shared" si="2"/>
        <v>-1820509.1568999738</v>
      </c>
      <c r="H23" s="87">
        <f t="shared" si="3"/>
        <v>-1.825514740463646</v>
      </c>
      <c r="I23" s="20">
        <f>+'Centralna država-ek klas'!I25+'Lokalna država-ek klas '!I19</f>
        <v>99345619.430000007</v>
      </c>
      <c r="J23" s="40">
        <f t="shared" si="4"/>
        <v>1.4266385983429586</v>
      </c>
      <c r="K23" s="20">
        <f t="shared" si="5"/>
        <v>-1440329.7999999821</v>
      </c>
      <c r="L23" s="87">
        <f t="shared" si="6"/>
        <v>-1.4498171215439015</v>
      </c>
      <c r="M23" s="70" t="s">
        <v>97</v>
      </c>
    </row>
    <row r="24" spans="1:16357" ht="15" customHeight="1">
      <c r="A24" s="18">
        <v>715</v>
      </c>
      <c r="B24" s="19" t="s">
        <v>26</v>
      </c>
      <c r="C24" s="20">
        <f>+'Centralna država-ek klas'!C32+'Lokalna država-ek klas '!C30</f>
        <v>98370126.849999994</v>
      </c>
      <c r="D24" s="40">
        <f t="shared" si="1"/>
        <v>1.3512936913609077</v>
      </c>
      <c r="E24" s="20">
        <f>+'Centralna država-ek klas'!E32+'Lokalna država-ek klas '!E30</f>
        <v>92451230.122999996</v>
      </c>
      <c r="F24" s="40">
        <f t="shared" si="0"/>
        <v>1.2699868143330082</v>
      </c>
      <c r="G24" s="20">
        <f t="shared" si="2"/>
        <v>5918896.7269999981</v>
      </c>
      <c r="H24" s="87">
        <f t="shared" si="3"/>
        <v>6.4021827715275492</v>
      </c>
      <c r="I24" s="20">
        <f>+'Centralna država-ek klas'!I32+'Lokalna država-ek klas '!I30</f>
        <v>154853779.75999999</v>
      </c>
      <c r="J24" s="40">
        <f t="shared" si="4"/>
        <v>2.223755617735903</v>
      </c>
      <c r="K24" s="20">
        <f t="shared" si="5"/>
        <v>-56483652.909999996</v>
      </c>
      <c r="L24" s="87">
        <f t="shared" si="6"/>
        <v>-36.475475766585184</v>
      </c>
      <c r="M24" s="70" t="s">
        <v>104</v>
      </c>
    </row>
    <row r="25" spans="1:16357" ht="15" customHeight="1">
      <c r="A25" s="18">
        <v>73</v>
      </c>
      <c r="B25" s="19" t="s">
        <v>187</v>
      </c>
      <c r="C25" s="20">
        <f>+'Centralna država-ek klas'!C37+'Lokalna država-ek klas '!C35</f>
        <v>135037.69</v>
      </c>
      <c r="D25" s="40">
        <f t="shared" si="1"/>
        <v>1.8549897660617885E-3</v>
      </c>
      <c r="E25" s="20">
        <f>+'Centralna država-ek klas'!E37+'Lokalna država-ek klas '!E35</f>
        <v>144760.40368000002</v>
      </c>
      <c r="F25" s="40">
        <f t="shared" si="0"/>
        <v>1.9885490292182373E-3</v>
      </c>
      <c r="G25" s="20">
        <f t="shared" si="2"/>
        <v>-9722.7136800000153</v>
      </c>
      <c r="H25" s="87">
        <f t="shared" si="3"/>
        <v>-6.7164179104477739</v>
      </c>
      <c r="I25" s="20">
        <f>+'Centralna država-ek klas'!I37+'Lokalna država-ek klas '!I35</f>
        <v>190414.36000000002</v>
      </c>
      <c r="J25" s="40">
        <f t="shared" si="4"/>
        <v>2.7344182583327772E-3</v>
      </c>
      <c r="K25" s="20">
        <f t="shared" si="5"/>
        <v>-55376.670000000013</v>
      </c>
      <c r="L25" s="87">
        <f t="shared" si="6"/>
        <v>-29.082192120384192</v>
      </c>
      <c r="M25" s="70" t="s">
        <v>108</v>
      </c>
    </row>
    <row r="26" spans="1:16357" ht="15" customHeight="1">
      <c r="A26" s="18">
        <v>74</v>
      </c>
      <c r="B26" s="19" t="s">
        <v>183</v>
      </c>
      <c r="C26" s="20">
        <f>+'Centralna država-ek klas'!C38+'Lokalna država-ek klas '!C36</f>
        <v>68588042.859999999</v>
      </c>
      <c r="D26" s="40">
        <f t="shared" si="1"/>
        <v>0.94218227207165128</v>
      </c>
      <c r="E26" s="20">
        <f>+'Centralna država-ek klas'!E38+'Lokalna država-ek klas '!E36</f>
        <v>69824827.785500005</v>
      </c>
      <c r="F26" s="40">
        <f t="shared" si="0"/>
        <v>0.95917177611027937</v>
      </c>
      <c r="G26" s="20">
        <f t="shared" si="2"/>
        <v>-1236784.9255000055</v>
      </c>
      <c r="H26" s="87">
        <f t="shared" si="3"/>
        <v>-1.7712681358833748</v>
      </c>
      <c r="I26" s="20">
        <f>+'Centralna država-ek klas'!I38+'Lokalna država-ek klas '!I36</f>
        <v>91251836.030000001</v>
      </c>
      <c r="J26" s="40">
        <f t="shared" si="4"/>
        <v>1.3104089762285824</v>
      </c>
      <c r="K26" s="20">
        <f t="shared" si="5"/>
        <v>-22663793.170000002</v>
      </c>
      <c r="L26" s="87">
        <f t="shared" si="6"/>
        <v>-24.836533878122779</v>
      </c>
      <c r="M26" s="70" t="s">
        <v>109</v>
      </c>
    </row>
    <row r="27" spans="1:16357" s="38" customFormat="1" ht="15" customHeight="1">
      <c r="A27" s="35"/>
      <c r="B27" s="36" t="s">
        <v>72</v>
      </c>
      <c r="C27" s="37">
        <f>+C28+C38+C39+C40+C41+C42+C43+C44</f>
        <v>2264088212.2229996</v>
      </c>
      <c r="D27" s="44">
        <f t="shared" si="1"/>
        <v>31.101394456131427</v>
      </c>
      <c r="E27" s="37">
        <f>+E28+E38+E39+E40+E41+E42+E43+E44</f>
        <v>2382900475.5624499</v>
      </c>
      <c r="F27" s="44">
        <f t="shared" si="0"/>
        <v>32.733498297490968</v>
      </c>
      <c r="G27" s="37">
        <f>+C27-E27</f>
        <v>-118812263.33945036</v>
      </c>
      <c r="H27" s="98">
        <f t="shared" si="3"/>
        <v>-4.9860354873363519</v>
      </c>
      <c r="I27" s="37">
        <f>+I28+I38+I39+I40+I41+I42+I43+I44</f>
        <v>1950888486.8410003</v>
      </c>
      <c r="J27" s="44">
        <f t="shared" si="4"/>
        <v>28.015455863671392</v>
      </c>
      <c r="K27" s="37">
        <f t="shared" si="5"/>
        <v>313199725.38199925</v>
      </c>
      <c r="L27" s="98">
        <f t="shared" si="6"/>
        <v>16.054209530404862</v>
      </c>
      <c r="M27" s="78" t="s">
        <v>110</v>
      </c>
      <c r="N27" s="1"/>
      <c r="O27" s="1"/>
      <c r="P27" s="8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881680573.13999999</v>
      </c>
      <c r="D28" s="40">
        <f t="shared" si="1"/>
        <v>12.111495983900435</v>
      </c>
      <c r="E28" s="20">
        <f>+SUM(E29:E37)</f>
        <v>951530195.29929984</v>
      </c>
      <c r="F28" s="40">
        <f t="shared" si="0"/>
        <v>13.071008356103958</v>
      </c>
      <c r="G28" s="20">
        <f t="shared" si="2"/>
        <v>-69849622.15929985</v>
      </c>
      <c r="H28" s="87">
        <f t="shared" si="3"/>
        <v>-7.3407677974243342</v>
      </c>
      <c r="I28" s="20">
        <f>+SUM(I29:I37)</f>
        <v>815645679.34299994</v>
      </c>
      <c r="J28" s="40">
        <f t="shared" si="4"/>
        <v>11.71296344417375</v>
      </c>
      <c r="K28" s="20">
        <f t="shared" si="5"/>
        <v>66034893.797000051</v>
      </c>
      <c r="L28" s="87">
        <f t="shared" si="6"/>
        <v>8.096026923135426</v>
      </c>
      <c r="M28" s="70" t="s">
        <v>111</v>
      </c>
    </row>
    <row r="29" spans="1:16357" ht="15" customHeight="1">
      <c r="A29" s="21">
        <v>411</v>
      </c>
      <c r="B29" s="22" t="s">
        <v>30</v>
      </c>
      <c r="C29" s="23">
        <f>+'Centralna država-ek klas'!C41+'Lokalna država-ek klas '!C39</f>
        <v>560333869.00000012</v>
      </c>
      <c r="D29" s="41">
        <f t="shared" si="1"/>
        <v>7.6972109977059517</v>
      </c>
      <c r="E29" s="23">
        <f>+'Centralna država-ek klas'!E41+'Lokalna država-ek klas '!E39</f>
        <v>574938748.83749986</v>
      </c>
      <c r="F29" s="41">
        <f t="shared" si="0"/>
        <v>7.8978357464936728</v>
      </c>
      <c r="G29" s="23">
        <f t="shared" si="2"/>
        <v>-14604879.837499738</v>
      </c>
      <c r="H29" s="91">
        <f t="shared" si="3"/>
        <v>-2.5402496991253685</v>
      </c>
      <c r="I29" s="23">
        <f>+'Centralna država-ek klas'!I41+'Lokalna država-ek klas '!I39</f>
        <v>524086567.83000004</v>
      </c>
      <c r="J29" s="41">
        <f t="shared" si="4"/>
        <v>7.5260704078269693</v>
      </c>
      <c r="K29" s="23">
        <f t="shared" si="5"/>
        <v>36247301.170000076</v>
      </c>
      <c r="L29" s="91">
        <f t="shared" si="6"/>
        <v>6.9162812777445026</v>
      </c>
      <c r="M29" s="71" t="s">
        <v>112</v>
      </c>
    </row>
    <row r="30" spans="1:16357" ht="15" customHeight="1">
      <c r="A30" s="21">
        <v>412</v>
      </c>
      <c r="B30" s="22" t="s">
        <v>31</v>
      </c>
      <c r="C30" s="23">
        <f>+'Centralna država-ek klas'!C42+'Lokalna država-ek klas '!C40</f>
        <v>16851222.329999998</v>
      </c>
      <c r="D30" s="41">
        <f t="shared" si="1"/>
        <v>0.23148237331208701</v>
      </c>
      <c r="E30" s="23">
        <f>+'Centralna država-ek klas'!E42+'Lokalna država-ek klas '!E40</f>
        <v>19012523.066000003</v>
      </c>
      <c r="F30" s="41">
        <f t="shared" si="0"/>
        <v>0.26117179370028987</v>
      </c>
      <c r="G30" s="23">
        <f t="shared" si="2"/>
        <v>-2161300.7360000052</v>
      </c>
      <c r="H30" s="91">
        <f t="shared" si="3"/>
        <v>-11.367774432132308</v>
      </c>
      <c r="I30" s="23">
        <f>+'Centralna država-ek klas'!I42+'Lokalna država-ek klas '!I40</f>
        <v>15253385.879999997</v>
      </c>
      <c r="J30" s="41">
        <f t="shared" si="4"/>
        <v>0.21904407236758489</v>
      </c>
      <c r="K30" s="23">
        <f t="shared" si="5"/>
        <v>1597836.4500000011</v>
      </c>
      <c r="L30" s="91">
        <f t="shared" si="6"/>
        <v>10.475290290105747</v>
      </c>
      <c r="M30" s="71" t="s">
        <v>113</v>
      </c>
    </row>
    <row r="31" spans="1:16357" ht="15" customHeight="1">
      <c r="A31" s="21">
        <v>413</v>
      </c>
      <c r="B31" s="22" t="s">
        <v>73</v>
      </c>
      <c r="C31" s="23">
        <f>+'Centralna država-ek klas'!C43+'Lokalna država-ek klas '!C41</f>
        <v>30714426.920000002</v>
      </c>
      <c r="D31" s="41">
        <f t="shared" si="1"/>
        <v>0.42191885544733992</v>
      </c>
      <c r="E31" s="23">
        <f>+'Centralna država-ek klas'!E43+'Lokalna država-ek klas '!E41</f>
        <v>42052779.742999993</v>
      </c>
      <c r="F31" s="41">
        <f t="shared" si="0"/>
        <v>0.57767187855268753</v>
      </c>
      <c r="G31" s="23">
        <f t="shared" si="2"/>
        <v>-11338352.822999991</v>
      </c>
      <c r="H31" s="91">
        <f t="shared" si="3"/>
        <v>-26.962195822232999</v>
      </c>
      <c r="I31" s="23">
        <f>+'Centralna država-ek klas'!I43+'Lokalna država-ek klas '!I41</f>
        <v>34314660.329999998</v>
      </c>
      <c r="J31" s="41">
        <f t="shared" si="4"/>
        <v>0.49277078543256625</v>
      </c>
      <c r="K31" s="23">
        <f t="shared" si="5"/>
        <v>-3600233.4099999964</v>
      </c>
      <c r="L31" s="91">
        <f t="shared" si="6"/>
        <v>-10.491822956651703</v>
      </c>
      <c r="M31" s="71" t="s">
        <v>114</v>
      </c>
    </row>
    <row r="32" spans="1:16357" ht="15" customHeight="1">
      <c r="A32" s="21">
        <v>414</v>
      </c>
      <c r="B32" s="22" t="s">
        <v>74</v>
      </c>
      <c r="C32" s="23">
        <f>+'Centralna država-ek klas'!C44+'Lokalna država-ek klas '!C42</f>
        <v>50022225.809999995</v>
      </c>
      <c r="D32" s="41">
        <f t="shared" si="1"/>
        <v>0.68714680289022889</v>
      </c>
      <c r="E32" s="23">
        <f>+'Centralna država-ek klas'!E44+'Lokalna država-ek klas '!E42</f>
        <v>58281932.800000004</v>
      </c>
      <c r="F32" s="41">
        <f t="shared" si="0"/>
        <v>0.80060899212879655</v>
      </c>
      <c r="G32" s="23">
        <f t="shared" si="2"/>
        <v>-8259706.9900000095</v>
      </c>
      <c r="H32" s="91">
        <f t="shared" si="3"/>
        <v>-14.171985370395973</v>
      </c>
      <c r="I32" s="23">
        <f>+'Centralna država-ek klas'!I44+'Lokalna država-ek klas '!I42</f>
        <v>50412676.030000001</v>
      </c>
      <c r="J32" s="41">
        <f t="shared" si="4"/>
        <v>0.72394404386227562</v>
      </c>
      <c r="K32" s="23">
        <f t="shared" si="5"/>
        <v>-390450.22000000626</v>
      </c>
      <c r="L32" s="91">
        <f t="shared" si="6"/>
        <v>-0.77450802208487346</v>
      </c>
      <c r="M32" s="71" t="s">
        <v>115</v>
      </c>
    </row>
    <row r="33" spans="1:16357" ht="15.75" customHeight="1">
      <c r="A33" s="21">
        <v>415</v>
      </c>
      <c r="B33" s="22" t="s">
        <v>32</v>
      </c>
      <c r="C33" s="23">
        <f>+'Centralna država-ek klas'!C45+'Lokalna država-ek klas '!C43</f>
        <v>24828527.050000001</v>
      </c>
      <c r="D33" s="41">
        <f t="shared" si="1"/>
        <v>0.34106525062845999</v>
      </c>
      <c r="E33" s="23">
        <f>+'Centralna država-ek klas'!E45+'Lokalna država-ek klas '!E43</f>
        <v>29573773.453999996</v>
      </c>
      <c r="F33" s="41">
        <f t="shared" si="0"/>
        <v>0.40624989290767471</v>
      </c>
      <c r="G33" s="23">
        <f t="shared" si="2"/>
        <v>-4745246.4039999954</v>
      </c>
      <c r="H33" s="91">
        <f t="shared" si="3"/>
        <v>-16.04545463696374</v>
      </c>
      <c r="I33" s="23">
        <f>+'Centralna država-ek klas'!I45+'Lokalna država-ek klas '!I43</f>
        <v>20835238.710000001</v>
      </c>
      <c r="J33" s="41">
        <f t="shared" si="4"/>
        <v>0.29920147380347706</v>
      </c>
      <c r="K33" s="23">
        <f t="shared" si="5"/>
        <v>3993288.34</v>
      </c>
      <c r="L33" s="91">
        <f t="shared" si="6"/>
        <v>19.166031143590388</v>
      </c>
      <c r="M33" s="71" t="s">
        <v>116</v>
      </c>
    </row>
    <row r="34" spans="1:16357" ht="15" customHeight="1">
      <c r="A34" s="21">
        <v>416</v>
      </c>
      <c r="B34" s="22" t="s">
        <v>33</v>
      </c>
      <c r="C34" s="23">
        <f>+'Centralna država-ek klas'!C46+'Lokalna država-ek klas '!C44</f>
        <v>95978252.679999992</v>
      </c>
      <c r="D34" s="41">
        <f t="shared" si="1"/>
        <v>1.3184369229501214</v>
      </c>
      <c r="E34" s="23">
        <f>+'Centralna država-ek klas'!E46+'Lokalna država-ek klas '!E44</f>
        <v>96710513.089600012</v>
      </c>
      <c r="F34" s="41">
        <f t="shared" si="0"/>
        <v>1.328495859576631</v>
      </c>
      <c r="G34" s="23">
        <f t="shared" si="2"/>
        <v>-732260.40960001945</v>
      </c>
      <c r="H34" s="91">
        <f t="shared" si="3"/>
        <v>-0.75716732980374957</v>
      </c>
      <c r="I34" s="23">
        <f>+'Centralna država-ek klas'!I46+'Lokalna država-ek klas '!I44</f>
        <v>81038761.430000007</v>
      </c>
      <c r="J34" s="41">
        <f t="shared" si="4"/>
        <v>1.1637455751071824</v>
      </c>
      <c r="K34" s="23">
        <f t="shared" si="5"/>
        <v>14939491.249999985</v>
      </c>
      <c r="L34" s="91">
        <f t="shared" si="6"/>
        <v>18.434994546288166</v>
      </c>
      <c r="M34" s="71" t="s">
        <v>117</v>
      </c>
    </row>
    <row r="35" spans="1:16357" ht="15" customHeight="1">
      <c r="A35" s="21">
        <v>417</v>
      </c>
      <c r="B35" s="22" t="s">
        <v>34</v>
      </c>
      <c r="C35" s="23">
        <f>+'Centralna država-ek klas'!C47+'Lokalna država-ek klas '!C45</f>
        <v>8520288.7600000016</v>
      </c>
      <c r="D35" s="41">
        <f t="shared" si="1"/>
        <v>0.11704175666579668</v>
      </c>
      <c r="E35" s="23">
        <f>+'Centralna država-ek klas'!E47+'Lokalna država-ek klas '!E45</f>
        <v>10829431.27</v>
      </c>
      <c r="F35" s="41">
        <f t="shared" si="0"/>
        <v>0.14876205434289874</v>
      </c>
      <c r="G35" s="23">
        <f t="shared" si="2"/>
        <v>-2309142.5099999979</v>
      </c>
      <c r="H35" s="91">
        <f t="shared" si="3"/>
        <v>-21.322841915039902</v>
      </c>
      <c r="I35" s="23">
        <f>+'Centralna država-ek klas'!I47+'Lokalna država-ek klas '!I45</f>
        <v>7732451.3800000018</v>
      </c>
      <c r="J35" s="41">
        <f t="shared" si="4"/>
        <v>0.11104076517728223</v>
      </c>
      <c r="K35" s="23">
        <f t="shared" si="5"/>
        <v>787837.37999999989</v>
      </c>
      <c r="L35" s="91">
        <f t="shared" si="6"/>
        <v>10.188714306535985</v>
      </c>
      <c r="M35" s="71" t="s">
        <v>118</v>
      </c>
    </row>
    <row r="36" spans="1:16357" ht="15" customHeight="1">
      <c r="A36" s="21">
        <v>418</v>
      </c>
      <c r="B36" s="22" t="s">
        <v>35</v>
      </c>
      <c r="C36" s="23">
        <f>+'Centralna država-ek klas'!C48+'Lokalna država-ek klas '!C46</f>
        <v>48110087.229999967</v>
      </c>
      <c r="D36" s="41">
        <f t="shared" si="1"/>
        <v>0.66088008063519055</v>
      </c>
      <c r="E36" s="23">
        <f>+'Centralna država-ek klas'!E48+'Lokalna država-ek klas '!E46</f>
        <v>56193444.86020001</v>
      </c>
      <c r="F36" s="41">
        <f t="shared" si="0"/>
        <v>0.77191978873030498</v>
      </c>
      <c r="G36" s="23">
        <f t="shared" si="2"/>
        <v>-8083357.6302000433</v>
      </c>
      <c r="H36" s="91">
        <f t="shared" si="3"/>
        <v>-14.384876475023205</v>
      </c>
      <c r="I36" s="23">
        <f>+'Centralna država-ek klas'!I48+'Lokalna država-ek klas '!I46</f>
        <v>41810467.93</v>
      </c>
      <c r="J36" s="41">
        <f t="shared" si="4"/>
        <v>0.60041326135922224</v>
      </c>
      <c r="K36" s="23">
        <f t="shared" si="5"/>
        <v>6299619.2999999672</v>
      </c>
      <c r="L36" s="91">
        <f t="shared" si="6"/>
        <v>15.067086334807172</v>
      </c>
      <c r="M36" s="71" t="s">
        <v>119</v>
      </c>
    </row>
    <row r="37" spans="1:16357" ht="15" customHeight="1">
      <c r="A37" s="21">
        <v>419</v>
      </c>
      <c r="B37" s="22" t="s">
        <v>36</v>
      </c>
      <c r="C37" s="23">
        <f>+'Centralna država-ek klas'!C49+'Lokalna država-ek klas '!C47</f>
        <v>46321673.359999999</v>
      </c>
      <c r="D37" s="41">
        <f t="shared" si="1"/>
        <v>0.63631294366526092</v>
      </c>
      <c r="E37" s="23">
        <f>+'Centralna država-ek klas'!E49+'Lokalna država-ek klas '!E47</f>
        <v>63937048.179000005</v>
      </c>
      <c r="F37" s="41">
        <f t="shared" si="0"/>
        <v>0.878292349671003</v>
      </c>
      <c r="G37" s="23">
        <f t="shared" si="2"/>
        <v>-17615374.819000006</v>
      </c>
      <c r="H37" s="91">
        <f t="shared" si="3"/>
        <v>-27.551123051041543</v>
      </c>
      <c r="I37" s="23">
        <f>+'Centralna država-ek klas'!I49+'Lokalna država-ek klas '!I47</f>
        <v>40161469.822999991</v>
      </c>
      <c r="J37" s="41">
        <f t="shared" si="4"/>
        <v>0.57673305923719209</v>
      </c>
      <c r="K37" s="23">
        <f t="shared" si="5"/>
        <v>6160203.5370000079</v>
      </c>
      <c r="L37" s="91">
        <f t="shared" si="6"/>
        <v>15.338590853744421</v>
      </c>
      <c r="M37" s="71" t="s">
        <v>120</v>
      </c>
    </row>
    <row r="38" spans="1:16357" ht="15" customHeight="1">
      <c r="A38" s="18">
        <v>42</v>
      </c>
      <c r="B38" s="19" t="s">
        <v>37</v>
      </c>
      <c r="C38" s="20">
        <f>+'Centralna država-ek klas'!C50+'Lokalna država-ek klas '!C48</f>
        <v>741503334.77999985</v>
      </c>
      <c r="D38" s="40">
        <f t="shared" si="1"/>
        <v>10.185905116694368</v>
      </c>
      <c r="E38" s="20">
        <f>+'Centralna država-ek klas'!E50+'Lokalna država-ek klas '!E48</f>
        <v>748590277.17550004</v>
      </c>
      <c r="F38" s="40">
        <f t="shared" si="0"/>
        <v>10.283257238285918</v>
      </c>
      <c r="G38" s="20">
        <f t="shared" si="2"/>
        <v>-7086942.3955001831</v>
      </c>
      <c r="H38" s="87">
        <f t="shared" si="3"/>
        <v>-0.94670510846599143</v>
      </c>
      <c r="I38" s="20">
        <f>+'Centralna država-ek klas'!I50+'Lokalna država-ek klas '!I48</f>
        <v>599159697.11000001</v>
      </c>
      <c r="J38" s="40">
        <f t="shared" si="4"/>
        <v>8.6041473733111324</v>
      </c>
      <c r="K38" s="20">
        <f t="shared" si="5"/>
        <v>142343637.66999984</v>
      </c>
      <c r="L38" s="87">
        <f t="shared" si="6"/>
        <v>23.757211701084586</v>
      </c>
      <c r="M38" s="70" t="s">
        <v>121</v>
      </c>
    </row>
    <row r="39" spans="1:16357" ht="15" customHeight="1">
      <c r="A39" s="18">
        <v>43</v>
      </c>
      <c r="B39" s="19" t="s">
        <v>43</v>
      </c>
      <c r="C39" s="20">
        <f>+'Centralna država-ek klas'!C56+'Lokalna država-ek klas '!C49</f>
        <v>359561752.87300003</v>
      </c>
      <c r="D39" s="40">
        <f t="shared" si="1"/>
        <v>4.9392386069892993</v>
      </c>
      <c r="E39" s="20">
        <f>+'Centralna država-ek klas'!E56+'Lokalna država-ek klas '!E49</f>
        <v>392311546.56665003</v>
      </c>
      <c r="F39" s="40">
        <f t="shared" si="0"/>
        <v>5.3891169494161852</v>
      </c>
      <c r="G39" s="20">
        <f t="shared" si="2"/>
        <v>-32749793.693650007</v>
      </c>
      <c r="H39" s="87">
        <f t="shared" si="3"/>
        <v>-8.3479046131226085</v>
      </c>
      <c r="I39" s="20">
        <f>+'Centralna država-ek klas'!I56+'Lokalna država-ek klas '!I49</f>
        <v>316247732.60800004</v>
      </c>
      <c r="J39" s="40">
        <f t="shared" si="4"/>
        <v>4.5414304582892653</v>
      </c>
      <c r="K39" s="20">
        <f t="shared" si="5"/>
        <v>43314020.264999986</v>
      </c>
      <c r="L39" s="87">
        <f t="shared" si="6"/>
        <v>13.696231086876836</v>
      </c>
      <c r="M39" s="70" t="s">
        <v>127</v>
      </c>
    </row>
    <row r="40" spans="1:16357" ht="15" customHeight="1">
      <c r="A40" s="18">
        <v>44</v>
      </c>
      <c r="B40" s="19" t="s">
        <v>65</v>
      </c>
      <c r="C40" s="20">
        <f>+'Centralna država-ek klas'!C57+'Lokalna država-ek klas '!C50</f>
        <v>210908740.56999999</v>
      </c>
      <c r="D40" s="40">
        <f t="shared" si="1"/>
        <v>2.8972174755827846</v>
      </c>
      <c r="E40" s="20">
        <f>+'Centralna država-ek klas'!E57+'Lokalna država-ek klas '!E50</f>
        <v>222014208.537</v>
      </c>
      <c r="F40" s="40">
        <f t="shared" si="0"/>
        <v>3.0497713990549062</v>
      </c>
      <c r="G40" s="20">
        <f t="shared" si="2"/>
        <v>-11105467.967000008</v>
      </c>
      <c r="H40" s="87">
        <f t="shared" si="3"/>
        <v>-5.0021428989528829</v>
      </c>
      <c r="I40" s="20">
        <f>+'Centralna država-ek klas'!I57+'Lokalna država-ek klas '!I50</f>
        <v>165079447.5</v>
      </c>
      <c r="J40" s="40">
        <f t="shared" si="4"/>
        <v>2.3705998608481371</v>
      </c>
      <c r="K40" s="20">
        <f t="shared" si="5"/>
        <v>45829293.069999993</v>
      </c>
      <c r="L40" s="87">
        <f t="shared" si="6"/>
        <v>27.76196174875129</v>
      </c>
      <c r="M40" s="70" t="s">
        <v>128</v>
      </c>
      <c r="O40" s="85"/>
    </row>
    <row r="41" spans="1:16357" ht="15" customHeight="1">
      <c r="A41" s="18">
        <v>45</v>
      </c>
      <c r="B41" s="19" t="s">
        <v>44</v>
      </c>
      <c r="C41" s="20">
        <f>+'Centralna država-ek klas'!C58+'Lokalna država-ek klas '!C51</f>
        <v>405191.74</v>
      </c>
      <c r="D41" s="40">
        <f t="shared" si="1"/>
        <v>5.5660499745868652E-3</v>
      </c>
      <c r="E41" s="20">
        <f>+'Centralna država-ek klas'!E58+'Lokalna država-ek klas '!E51</f>
        <v>486230.08799999999</v>
      </c>
      <c r="F41" s="40">
        <f t="shared" si="0"/>
        <v>6.6792599695042372E-3</v>
      </c>
      <c r="G41" s="20">
        <f t="shared" si="2"/>
        <v>-81038.347999999998</v>
      </c>
      <c r="H41" s="87">
        <f t="shared" si="3"/>
        <v>-16.666666666666657</v>
      </c>
      <c r="I41" s="20">
        <f>+'Centralna država-ek klas'!I58+'Lokalna država-ek klas '!I51</f>
        <v>749602.83</v>
      </c>
      <c r="J41" s="40">
        <f t="shared" si="4"/>
        <v>1.0764564525752788E-2</v>
      </c>
      <c r="K41" s="20">
        <f t="shared" si="5"/>
        <v>-344411.08999999997</v>
      </c>
      <c r="L41" s="87">
        <f t="shared" si="6"/>
        <v>-45.945809729667111</v>
      </c>
      <c r="M41" s="70" t="s">
        <v>129</v>
      </c>
    </row>
    <row r="42" spans="1:16357" ht="15" customHeight="1">
      <c r="A42" s="18">
        <v>462</v>
      </c>
      <c r="B42" s="19" t="s">
        <v>45</v>
      </c>
      <c r="C42" s="20">
        <f>+'Centralna država-ek klas'!C59+'Lokalna država-ek klas '!C52</f>
        <v>5849367.6699999999</v>
      </c>
      <c r="D42" s="40">
        <f t="shared" si="1"/>
        <v>8.035176820473372E-2</v>
      </c>
      <c r="E42" s="20">
        <f>+'Centralna država-ek klas'!E59+'Lokalna država-ek klas '!E52</f>
        <v>0.5</v>
      </c>
      <c r="F42" s="40">
        <f t="shared" si="0"/>
        <v>6.8684149072077141E-9</v>
      </c>
      <c r="G42" s="20">
        <f t="shared" si="2"/>
        <v>5849367.1699999999</v>
      </c>
      <c r="H42" s="101">
        <f t="shared" si="3"/>
        <v>1169873434</v>
      </c>
      <c r="I42" s="20">
        <f>+'Centralna država-ek klas'!I59+'Lokalna država-ek klas '!I52</f>
        <v>2813572.16</v>
      </c>
      <c r="J42" s="40">
        <f t="shared" si="4"/>
        <v>4.0403901709097939E-2</v>
      </c>
      <c r="K42" s="20">
        <f t="shared" si="5"/>
        <v>3035795.51</v>
      </c>
      <c r="L42" s="87">
        <f t="shared" si="6"/>
        <v>107.89826375023557</v>
      </c>
      <c r="M42" s="70" t="s">
        <v>130</v>
      </c>
    </row>
    <row r="43" spans="1:16357" ht="15" customHeight="1">
      <c r="A43" s="18">
        <v>463</v>
      </c>
      <c r="B43" s="19" t="s">
        <v>46</v>
      </c>
      <c r="C43" s="20">
        <f>+'Centralna država-ek klas'!C60+'Lokalna država-ek klas '!C53</f>
        <v>41327840.079999998</v>
      </c>
      <c r="D43" s="40">
        <f t="shared" si="1"/>
        <v>0.56771350577633695</v>
      </c>
      <c r="E43" s="20">
        <f>+'Centralna država-ek klas'!E60+'Lokalna država-ek klas '!E53</f>
        <v>34258332.997600004</v>
      </c>
      <c r="F43" s="40">
        <f t="shared" si="0"/>
        <v>0.47060089011360368</v>
      </c>
      <c r="G43" s="20">
        <f t="shared" si="2"/>
        <v>7069507.0823999941</v>
      </c>
      <c r="H43" s="87">
        <f t="shared" si="3"/>
        <v>20.635875898851381</v>
      </c>
      <c r="I43" s="20">
        <f>+'Centralna država-ek klas'!I60+'Lokalna država-ek klas '!I53</f>
        <v>37064120.899999999</v>
      </c>
      <c r="J43" s="40">
        <f t="shared" si="4"/>
        <v>0.53225402179758641</v>
      </c>
      <c r="K43" s="20">
        <f t="shared" si="5"/>
        <v>4263719.18</v>
      </c>
      <c r="L43" s="87">
        <f t="shared" si="6"/>
        <v>11.503629592358692</v>
      </c>
      <c r="M43" s="70" t="s">
        <v>131</v>
      </c>
    </row>
    <row r="44" spans="1:16357" ht="15" customHeight="1">
      <c r="A44" s="18">
        <v>47</v>
      </c>
      <c r="B44" s="19" t="s">
        <v>47</v>
      </c>
      <c r="C44" s="20">
        <f>+'Centralna država-ek klas'!C61+'Lokalna država-ek klas '!C54</f>
        <v>22851411.369999997</v>
      </c>
      <c r="D44" s="40">
        <f t="shared" si="1"/>
        <v>0.31390594900888769</v>
      </c>
      <c r="E44" s="20">
        <f>+'Centralna država-ek klas'!E61+'Lokalna država-ek klas '!E54</f>
        <v>33709684.398400001</v>
      </c>
      <c r="F44" s="40">
        <f t="shared" si="0"/>
        <v>0.46306419767847579</v>
      </c>
      <c r="G44" s="20">
        <f t="shared" si="2"/>
        <v>-10858273.028400004</v>
      </c>
      <c r="H44" s="87">
        <f t="shared" si="3"/>
        <v>-32.211138200141036</v>
      </c>
      <c r="I44" s="20">
        <f>+'Centralna država-ek klas'!I61+'Lokalna država-ek klas '!I54</f>
        <v>14128634.389999999</v>
      </c>
      <c r="J44" s="40">
        <f t="shared" si="4"/>
        <v>0.20289223901666015</v>
      </c>
      <c r="K44" s="20">
        <f t="shared" si="5"/>
        <v>8722776.9799999986</v>
      </c>
      <c r="L44" s="87">
        <f t="shared" si="6"/>
        <v>61.738287928052188</v>
      </c>
      <c r="M44" s="70" t="s">
        <v>132</v>
      </c>
      <c r="Q44" s="100"/>
    </row>
    <row r="45" spans="1:16357" s="38" customFormat="1" ht="15" customHeight="1">
      <c r="A45" s="35"/>
      <c r="B45" s="36" t="s">
        <v>77</v>
      </c>
      <c r="C45" s="37">
        <f>+C6-C27</f>
        <v>117708394.62700033</v>
      </c>
      <c r="D45" s="44">
        <f t="shared" si="1"/>
        <v>1.6169401847191549</v>
      </c>
      <c r="E45" s="37">
        <f>+E6-E27</f>
        <v>-16528960.159938335</v>
      </c>
      <c r="F45" s="44">
        <f t="shared" si="0"/>
        <v>-0.22705551272632574</v>
      </c>
      <c r="G45" s="37">
        <f>C45-E45</f>
        <v>134237354.78693867</v>
      </c>
      <c r="H45" s="98">
        <f t="shared" si="3"/>
        <v>-812.13429936320608</v>
      </c>
      <c r="I45" s="37">
        <f>+I6-I27</f>
        <v>212788456.42900014</v>
      </c>
      <c r="J45" s="44">
        <f t="shared" si="4"/>
        <v>3.0557182789255313</v>
      </c>
      <c r="K45" s="37">
        <f t="shared" si="5"/>
        <v>-95080061.801999807</v>
      </c>
      <c r="L45" s="98">
        <f t="shared" si="6"/>
        <v>-44.682904043586881</v>
      </c>
      <c r="M45" s="78" t="s">
        <v>134</v>
      </c>
      <c r="N45" s="1"/>
      <c r="O45" s="1"/>
      <c r="P45" s="100"/>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1"/>
        <v>0</v>
      </c>
      <c r="E46" s="20">
        <f>+'Centralna država-ek klas'!E63+'Lokalna država-ek klas '!E56</f>
        <v>0</v>
      </c>
      <c r="F46" s="40">
        <f t="shared" si="0"/>
        <v>0</v>
      </c>
      <c r="G46" s="20">
        <f t="shared" si="2"/>
        <v>0</v>
      </c>
      <c r="H46" s="87" t="e">
        <f t="shared" si="3"/>
        <v>#DIV/0!</v>
      </c>
      <c r="I46" s="20">
        <f>+'Centralna država-ek klas'!I63+'Lokalna država-ek klas '!I56</f>
        <v>0</v>
      </c>
      <c r="J46" s="40">
        <f t="shared" si="4"/>
        <v>0</v>
      </c>
      <c r="K46" s="20">
        <f t="shared" si="5"/>
        <v>0</v>
      </c>
      <c r="L46" s="87" t="e">
        <f t="shared" si="6"/>
        <v>#DIV/0!</v>
      </c>
      <c r="M46" s="70" t="s">
        <v>133</v>
      </c>
    </row>
    <row r="47" spans="1:16357" s="38" customFormat="1" ht="15" hidden="1" customHeight="1">
      <c r="A47" s="35"/>
      <c r="B47" s="36" t="s">
        <v>59</v>
      </c>
      <c r="C47" s="37">
        <f>+C45-C46</f>
        <v>117708394.62700033</v>
      </c>
      <c r="D47" s="44">
        <f t="shared" si="1"/>
        <v>1.6169401847191549</v>
      </c>
      <c r="E47" s="37">
        <f>+E45-E46</f>
        <v>-16528960.159938335</v>
      </c>
      <c r="F47" s="44">
        <f t="shared" si="0"/>
        <v>-0.22705551272632574</v>
      </c>
      <c r="G47" s="37">
        <f t="shared" si="2"/>
        <v>134237354.78693867</v>
      </c>
      <c r="H47" s="98">
        <f t="shared" si="3"/>
        <v>-812.13429936320608</v>
      </c>
      <c r="I47" s="37">
        <f>+I45-I46</f>
        <v>212788456.42900014</v>
      </c>
      <c r="J47" s="44">
        <f t="shared" si="4"/>
        <v>3.0557182789255313</v>
      </c>
      <c r="K47" s="37">
        <f t="shared" si="5"/>
        <v>-95080061.801999807</v>
      </c>
      <c r="L47" s="98">
        <f t="shared" si="6"/>
        <v>-44.682904043586881</v>
      </c>
      <c r="M47" s="78"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213686647.30700034</v>
      </c>
      <c r="D48" s="44">
        <f t="shared" si="1"/>
        <v>2.935377107669277</v>
      </c>
      <c r="E48" s="37">
        <f>+E47+E34</f>
        <v>80181552.929661676</v>
      </c>
      <c r="F48" s="44">
        <f t="shared" si="0"/>
        <v>1.1014403468503053</v>
      </c>
      <c r="G48" s="37">
        <f>+C48-E48</f>
        <v>133505094.37733866</v>
      </c>
      <c r="H48" s="98">
        <f t="shared" si="3"/>
        <v>166.50350298709532</v>
      </c>
      <c r="I48" s="37">
        <f>+I47+I34</f>
        <v>293827217.85900015</v>
      </c>
      <c r="J48" s="44">
        <f t="shared" si="4"/>
        <v>4.2194638540327141</v>
      </c>
      <c r="K48" s="37">
        <f t="shared" si="5"/>
        <v>-80140570.551999807</v>
      </c>
      <c r="L48" s="98">
        <f t="shared" si="6"/>
        <v>-27.274726669622936</v>
      </c>
      <c r="M48" s="78"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328617135.19700027</v>
      </c>
      <c r="D49" s="44">
        <f t="shared" si="1"/>
        <v>4.5141576603019393</v>
      </c>
      <c r="E49" s="37">
        <f>+E6-(E27-E40)</f>
        <v>205485248.37706184</v>
      </c>
      <c r="F49" s="44">
        <f t="shared" si="0"/>
        <v>2.8227158863285826</v>
      </c>
      <c r="G49" s="37">
        <f t="shared" si="2"/>
        <v>123131886.81993842</v>
      </c>
      <c r="H49" s="98">
        <f t="shared" si="3"/>
        <v>59.922494579267095</v>
      </c>
      <c r="I49" s="37">
        <f>+I6-(I27-I40)</f>
        <v>377867903.92900014</v>
      </c>
      <c r="J49" s="44">
        <f t="shared" si="4"/>
        <v>5.4263181397736684</v>
      </c>
      <c r="K49" s="37">
        <f t="shared" si="5"/>
        <v>-49250768.731999874</v>
      </c>
      <c r="L49" s="98">
        <f t="shared" si="6"/>
        <v>-13.03385871620732</v>
      </c>
      <c r="M49" s="78"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405667782.61000001</v>
      </c>
      <c r="D50" s="44">
        <f t="shared" si="1"/>
        <v>5.5725892909048458</v>
      </c>
      <c r="E50" s="37">
        <f>+E51+E52+E53</f>
        <v>403240560.31999999</v>
      </c>
      <c r="F50" s="44">
        <f t="shared" si="0"/>
        <v>5.5392469513853593</v>
      </c>
      <c r="G50" s="37">
        <f t="shared" si="2"/>
        <v>2427222.2900000215</v>
      </c>
      <c r="H50" s="98">
        <f t="shared" si="3"/>
        <v>0.6019291035787262</v>
      </c>
      <c r="I50" s="37">
        <f>+I51+I52+I53</f>
        <v>223667018.51999998</v>
      </c>
      <c r="J50" s="44">
        <f t="shared" si="4"/>
        <v>3.2119383182441874</v>
      </c>
      <c r="K50" s="37">
        <f t="shared" si="5"/>
        <v>182000764.09000003</v>
      </c>
      <c r="L50" s="98">
        <f t="shared" si="6"/>
        <v>81.371301542040186</v>
      </c>
      <c r="M50" s="78"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189826453.30000001</v>
      </c>
      <c r="D51" s="41">
        <f t="shared" si="1"/>
        <v>2.6076136832561785</v>
      </c>
      <c r="E51" s="23">
        <f>+'Centralna država-ek klas'!E68+'Lokalna država-ek klas '!E61</f>
        <v>191102439.54999998</v>
      </c>
      <c r="F51" s="41">
        <f t="shared" si="0"/>
        <v>2.625141689217962</v>
      </c>
      <c r="G51" s="23">
        <f t="shared" si="2"/>
        <v>-1275986.2499999702</v>
      </c>
      <c r="H51" s="91">
        <f t="shared" si="3"/>
        <v>-0.66769752024339368</v>
      </c>
      <c r="I51" s="23">
        <f>+'Centralna država-ek klas'!I68+'Lokalna država-ek klas '!I61</f>
        <v>69033774.179999992</v>
      </c>
      <c r="J51" s="41">
        <f t="shared" si="4"/>
        <v>0.99134966795263646</v>
      </c>
      <c r="K51" s="23">
        <f t="shared" si="5"/>
        <v>120792679.12000002</v>
      </c>
      <c r="L51" s="91">
        <f t="shared" si="6"/>
        <v>174.9762062914927</v>
      </c>
      <c r="M51" s="71" t="s">
        <v>139</v>
      </c>
    </row>
    <row r="52" spans="1:16357" ht="15" customHeight="1">
      <c r="A52" s="21">
        <v>4612</v>
      </c>
      <c r="B52" s="22" t="s">
        <v>53</v>
      </c>
      <c r="C52" s="23">
        <f>+'Centralna država-ek klas'!C69+'Lokalna država-ek klas '!C62</f>
        <v>215841329.31</v>
      </c>
      <c r="D52" s="41">
        <f t="shared" si="1"/>
        <v>2.9649756076486669</v>
      </c>
      <c r="E52" s="23">
        <f>+'Centralna država-ek klas'!E69+'Lokalna država-ek klas '!E62</f>
        <v>212138120.77000001</v>
      </c>
      <c r="F52" s="41">
        <f t="shared" si="0"/>
        <v>2.9141052621673968</v>
      </c>
      <c r="G52" s="23">
        <f t="shared" si="2"/>
        <v>3703208.5399999917</v>
      </c>
      <c r="H52" s="91">
        <f t="shared" si="3"/>
        <v>1.7456591613795922</v>
      </c>
      <c r="I52" s="23">
        <f>+'Centralna država-ek klas'!I69+'Lokalna država-ek klas '!I62</f>
        <v>154633244.33999997</v>
      </c>
      <c r="J52" s="41">
        <f t="shared" si="4"/>
        <v>2.2205886502915511</v>
      </c>
      <c r="K52" s="23">
        <f t="shared" si="5"/>
        <v>61208084.970000029</v>
      </c>
      <c r="L52" s="91">
        <f t="shared" si="6"/>
        <v>39.582746408281196</v>
      </c>
      <c r="M52" s="71" t="s">
        <v>140</v>
      </c>
    </row>
    <row r="53" spans="1:16357" ht="15" hidden="1" customHeight="1">
      <c r="A53" s="18">
        <v>463</v>
      </c>
      <c r="B53" s="19" t="s">
        <v>46</v>
      </c>
      <c r="C53" s="20">
        <v>0</v>
      </c>
      <c r="D53" s="40">
        <f t="shared" ref="D53" si="7">+C53/$C$2*100</f>
        <v>0</v>
      </c>
      <c r="E53" s="20">
        <v>0</v>
      </c>
      <c r="F53" s="40">
        <f t="shared" ref="F53" si="8">+E53/$E$2*100</f>
        <v>0</v>
      </c>
      <c r="G53" s="20">
        <f t="shared" ref="G53" si="9">+C53-E53</f>
        <v>0</v>
      </c>
      <c r="H53" s="87" t="e">
        <f t="shared" ref="H53" si="10">+C53/E53*100-100</f>
        <v>#DIV/0!</v>
      </c>
      <c r="I53" s="20">
        <f>+'Lokalna država-ek klas '!I63</f>
        <v>0</v>
      </c>
      <c r="J53" s="40">
        <f t="shared" ref="J53" si="11">+I53/$I$2*100</f>
        <v>0</v>
      </c>
      <c r="K53" s="20">
        <f t="shared" ref="K53" si="12">+C53-I53</f>
        <v>0</v>
      </c>
      <c r="L53" s="87" t="e">
        <f t="shared" ref="L53" si="13">+C53/I53*100-100</f>
        <v>#DIV/0!</v>
      </c>
      <c r="M53" s="70" t="s">
        <v>131</v>
      </c>
    </row>
    <row r="54" spans="1:16357" s="38" customFormat="1" ht="15" customHeight="1">
      <c r="A54" s="35">
        <v>4418</v>
      </c>
      <c r="B54" s="36" t="s">
        <v>63</v>
      </c>
      <c r="C54" s="37">
        <f>+'Centralna država-ek klas'!C70+'Lokalna država-ek klas '!C64</f>
        <v>3266458.45</v>
      </c>
      <c r="D54" s="44">
        <f t="shared" si="1"/>
        <v>4.4870783823509217E-2</v>
      </c>
      <c r="E54" s="37">
        <f>+'Centralna država-ek klas'!E70+'Lokalna država-ek klas '!E64</f>
        <v>3510793.87</v>
      </c>
      <c r="F54" s="44">
        <f t="shared" ref="F54:F63" si="14">+E54/$E$2*100</f>
        <v>4.8227177905682928E-2</v>
      </c>
      <c r="G54" s="37">
        <f t="shared" si="2"/>
        <v>-244335.41999999993</v>
      </c>
      <c r="H54" s="98">
        <f t="shared" si="3"/>
        <v>-6.9595490093526848</v>
      </c>
      <c r="I54" s="37">
        <f>+'Centralna država-ek klas'!I70+'Lokalna država-ek klas '!I64</f>
        <v>720866.76</v>
      </c>
      <c r="J54" s="44">
        <f t="shared" si="4"/>
        <v>1.0351904291090189E-2</v>
      </c>
      <c r="K54" s="37">
        <f t="shared" si="5"/>
        <v>2545591.6900000004</v>
      </c>
      <c r="L54" s="98">
        <f t="shared" si="6"/>
        <v>353.12929257551008</v>
      </c>
      <c r="M54" s="78"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5764989.5</v>
      </c>
      <c r="D55" s="44">
        <f t="shared" si="1"/>
        <v>7.9192679643391897E-2</v>
      </c>
      <c r="E55" s="37">
        <f>+'Centralna država-ek klas'!E71+'Lokalna država-ek klas '!E65</f>
        <v>3517467.09</v>
      </c>
      <c r="F55" s="44">
        <f t="shared" si="14"/>
        <v>4.8318846793137082E-2</v>
      </c>
      <c r="G55" s="37">
        <f t="shared" si="2"/>
        <v>2247522.41</v>
      </c>
      <c r="H55" s="98">
        <f t="shared" si="3"/>
        <v>63.896046572535255</v>
      </c>
      <c r="I55" s="37">
        <f>+'Centralna država-ek klas'!I71+'Lokalna država-ek klas '!I65</f>
        <v>9526780.5199999996</v>
      </c>
      <c r="J55" s="44">
        <f t="shared" si="4"/>
        <v>0.13680797287041285</v>
      </c>
      <c r="K55" s="37">
        <f t="shared" si="5"/>
        <v>-3761791.0199999996</v>
      </c>
      <c r="L55" s="98">
        <f t="shared" si="6"/>
        <v>-39.486487718518362</v>
      </c>
      <c r="M55" s="78"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-296990835.93299967</v>
      </c>
      <c r="D56" s="44">
        <f t="shared" si="1"/>
        <v>-4.0797125696525907</v>
      </c>
      <c r="E56" s="37">
        <f>+E47-E50-E54-E55</f>
        <v>-426797781.43993831</v>
      </c>
      <c r="F56" s="44">
        <f t="shared" si="14"/>
        <v>-5.8628484888105046</v>
      </c>
      <c r="G56" s="37">
        <f t="shared" ref="G56:G63" si="15">+C56-E56</f>
        <v>129806945.50693864</v>
      </c>
      <c r="H56" s="98">
        <f t="shared" ref="H56:H63" si="16">+C56/E56*100-100</f>
        <v>-30.414156575274021</v>
      </c>
      <c r="I56" s="37">
        <f>+I47-I50-I54-I55</f>
        <v>-21126209.370999843</v>
      </c>
      <c r="J56" s="44">
        <f t="shared" si="4"/>
        <v>-0.30337991648015927</v>
      </c>
      <c r="K56" s="37">
        <f t="shared" ref="K56:K63" si="17">+C56-I56</f>
        <v>-275864626.5619998</v>
      </c>
      <c r="L56" s="98">
        <f t="shared" ref="L56:L63" si="18">+C56/I56*100-100</f>
        <v>1305.7933002438285</v>
      </c>
      <c r="M56" s="78"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296990835.93299967</v>
      </c>
      <c r="D57" s="44">
        <f t="shared" ref="D57:D63" si="19">+C57/$C$2*100</f>
        <v>4.0797125696525907</v>
      </c>
      <c r="E57" s="37">
        <f>+SUM(E58:E63)+E46</f>
        <v>426797781.43993831</v>
      </c>
      <c r="F57" s="44">
        <f t="shared" si="14"/>
        <v>5.8628484888105046</v>
      </c>
      <c r="G57" s="37">
        <f t="shared" si="15"/>
        <v>-129806945.50693864</v>
      </c>
      <c r="H57" s="98">
        <f t="shared" si="16"/>
        <v>-30.414156575274021</v>
      </c>
      <c r="I57" s="37">
        <f>+SUM(I58:I63)+I46</f>
        <v>21126209.370999843</v>
      </c>
      <c r="J57" s="44">
        <f t="shared" ref="J57:J63" si="20">+I57/$I$2*100</f>
        <v>0.30337991648015927</v>
      </c>
      <c r="K57" s="37">
        <f t="shared" si="17"/>
        <v>275864626.5619998</v>
      </c>
      <c r="L57" s="98">
        <f t="shared" si="18"/>
        <v>1305.7933002438285</v>
      </c>
      <c r="M57" s="78"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1207821.6000000001</v>
      </c>
      <c r="D58" s="41">
        <f t="shared" si="19"/>
        <v>1.6591639765374949E-2</v>
      </c>
      <c r="E58" s="23">
        <f>+'Centralna država-ek klas'!E74+'Lokalna država-ek klas '!E68</f>
        <v>1507821.6</v>
      </c>
      <c r="F58" s="41">
        <f t="shared" si="14"/>
        <v>2.0712688709699577E-2</v>
      </c>
      <c r="G58" s="23">
        <f t="shared" si="15"/>
        <v>-300000</v>
      </c>
      <c r="H58" s="91">
        <f t="shared" si="16"/>
        <v>-19.896252978469064</v>
      </c>
      <c r="I58" s="23">
        <f>+'Centralna država-ek klas'!I74+'Lokalna država-ek klas '!I68</f>
        <v>1886416.87</v>
      </c>
      <c r="J58" s="41">
        <f t="shared" si="20"/>
        <v>2.7089620405493415E-2</v>
      </c>
      <c r="K58" s="23">
        <f t="shared" si="17"/>
        <v>-678595.27</v>
      </c>
      <c r="L58" s="91">
        <f t="shared" si="18"/>
        <v>-35.972709998082237</v>
      </c>
      <c r="M58" s="71" t="s">
        <v>144</v>
      </c>
    </row>
    <row r="59" spans="1:16357" ht="15" customHeight="1">
      <c r="A59" s="21">
        <v>7512</v>
      </c>
      <c r="B59" s="22" t="s">
        <v>49</v>
      </c>
      <c r="C59" s="23">
        <f>+'Centralna država-ek klas'!C75+'Lokalna država-ek klas '!C69</f>
        <v>712806960.31000006</v>
      </c>
      <c r="D59" s="41">
        <f t="shared" si="19"/>
        <v>9.791707904309245</v>
      </c>
      <c r="E59" s="23">
        <f>+'Centralna država-ek klas'!E75+'Lokalna država-ek klas '!E69</f>
        <v>867949434.96000004</v>
      </c>
      <c r="F59" s="41">
        <f t="shared" si="14"/>
        <v>11.922873675563554</v>
      </c>
      <c r="G59" s="23">
        <f t="shared" si="15"/>
        <v>-155142474.64999998</v>
      </c>
      <c r="H59" s="91">
        <f t="shared" si="16"/>
        <v>-17.874598265871313</v>
      </c>
      <c r="I59" s="23">
        <f>+'Centralna država-ek klas'!I75+'Lokalna država-ek klas '!I69</f>
        <v>122344390.95999998</v>
      </c>
      <c r="J59" s="41">
        <f t="shared" si="20"/>
        <v>1.7569091766273692</v>
      </c>
      <c r="K59" s="23">
        <f t="shared" si="17"/>
        <v>590462569.35000014</v>
      </c>
      <c r="L59" s="91">
        <f t="shared" si="18"/>
        <v>482.62332642863009</v>
      </c>
      <c r="M59" s="71" t="s">
        <v>145</v>
      </c>
    </row>
    <row r="60" spans="1:16357" ht="15" customHeight="1">
      <c r="A60" s="18">
        <v>72</v>
      </c>
      <c r="B60" s="19" t="s">
        <v>172</v>
      </c>
      <c r="C60" s="20">
        <f>+'Centralna država-ek klas'!C76+'Lokalna država-ek klas '!C70</f>
        <v>7095589.0200000014</v>
      </c>
      <c r="D60" s="40">
        <f t="shared" si="19"/>
        <v>9.747089880077478E-2</v>
      </c>
      <c r="E60" s="20">
        <f>+'Centralna država-ek klas'!E76+'Lokalna država-ek klas '!E70</f>
        <v>12327163.710000001</v>
      </c>
      <c r="F60" s="40">
        <f t="shared" si="14"/>
        <v>0.16933614997870794</v>
      </c>
      <c r="G60" s="20">
        <f t="shared" si="15"/>
        <v>-5231574.6899999995</v>
      </c>
      <c r="H60" s="87">
        <f t="shared" si="16"/>
        <v>-42.43940303766761</v>
      </c>
      <c r="I60" s="20">
        <f>+'Centralna država-ek klas'!I76+'Lokalna država-ek klas '!I70</f>
        <v>7026034.1699999999</v>
      </c>
      <c r="J60" s="40">
        <f t="shared" si="20"/>
        <v>0.10089636158805448</v>
      </c>
      <c r="K60" s="20">
        <f t="shared" si="17"/>
        <v>69554.85000000149</v>
      </c>
      <c r="L60" s="87">
        <f t="shared" si="18"/>
        <v>0.98995889170292628</v>
      </c>
      <c r="M60" s="70" t="s">
        <v>146</v>
      </c>
    </row>
    <row r="61" spans="1:16357" ht="15" customHeight="1">
      <c r="A61" s="28">
        <v>73</v>
      </c>
      <c r="B61" s="19" t="s">
        <v>187</v>
      </c>
      <c r="C61" s="20">
        <f>+'Centralna država-ek klas'!C77+'Lokalna država-ek klas '!C71</f>
        <v>14299525.529999999</v>
      </c>
      <c r="D61" s="40">
        <f t="shared" si="19"/>
        <v>0.19643014863249858</v>
      </c>
      <c r="E61" s="20">
        <f>+'Centralna država-ek klas'!E77+'Lokalna država-ek klas '!E71</f>
        <v>5824110.982819763</v>
      </c>
      <c r="F61" s="40">
        <f t="shared" si="14"/>
        <v>8.0004821391262859E-2</v>
      </c>
      <c r="G61" s="20">
        <f t="shared" si="15"/>
        <v>8475414.5471802354</v>
      </c>
      <c r="H61" s="87">
        <f t="shared" si="16"/>
        <v>145.52288876673907</v>
      </c>
      <c r="I61" s="20">
        <f>+'Centralna država-ek klas'!I77+'Lokalna država-ek klas '!I71</f>
        <v>10296756.02</v>
      </c>
      <c r="J61" s="40">
        <f t="shared" si="20"/>
        <v>0.14786509621798447</v>
      </c>
      <c r="K61" s="20">
        <f t="shared" si="17"/>
        <v>4002769.51</v>
      </c>
      <c r="L61" s="87">
        <f t="shared" si="18"/>
        <v>38.874083276569678</v>
      </c>
      <c r="M61" s="70" t="s">
        <v>108</v>
      </c>
    </row>
    <row r="62" spans="1:16357" ht="15" customHeight="1">
      <c r="A62" s="28"/>
      <c r="B62" s="29" t="s">
        <v>152</v>
      </c>
      <c r="C62" s="30">
        <f>+'Lokalna država-ek klas '!C72</f>
        <v>15856423.719999999</v>
      </c>
      <c r="D62" s="40">
        <f t="shared" si="19"/>
        <v>0.21781699410689997</v>
      </c>
      <c r="E62" s="30">
        <f>+'Lokalna država-ek klas '!E72</f>
        <v>16856423.719999999</v>
      </c>
      <c r="F62" s="40">
        <f t="shared" si="14"/>
        <v>0.23155382392131543</v>
      </c>
      <c r="G62" s="20">
        <f t="shared" si="15"/>
        <v>-1000000</v>
      </c>
      <c r="H62" s="87">
        <f t="shared" si="16"/>
        <v>-5.9324564724456224</v>
      </c>
      <c r="I62" s="30">
        <f>+'Lokalna država-ek klas '!I72</f>
        <v>14790886.709999999</v>
      </c>
      <c r="J62" s="40">
        <f t="shared" si="20"/>
        <v>0.21240241900219928</v>
      </c>
      <c r="K62" s="20">
        <f t="shared" si="17"/>
        <v>1065537.0099999998</v>
      </c>
      <c r="L62" s="87">
        <f t="shared" si="18"/>
        <v>7.20401035375113</v>
      </c>
      <c r="M62" s="73" t="s">
        <v>153</v>
      </c>
    </row>
    <row r="63" spans="1:16357" ht="15" customHeight="1" thickBot="1">
      <c r="A63" s="24"/>
      <c r="B63" s="25" t="s">
        <v>50</v>
      </c>
      <c r="C63" s="26">
        <f>+-C56-(SUM(C58:C62)+C46)</f>
        <v>-454275484.2470004</v>
      </c>
      <c r="D63" s="42">
        <f t="shared" si="19"/>
        <v>-6.2403050159622016</v>
      </c>
      <c r="E63" s="26">
        <f>+-E56-(SUM(E58:E62)+E46)</f>
        <v>-477667173.53288162</v>
      </c>
      <c r="F63" s="42">
        <f t="shared" si="14"/>
        <v>-6.5616326707540367</v>
      </c>
      <c r="G63" s="26">
        <f t="shared" si="15"/>
        <v>23391689.285881221</v>
      </c>
      <c r="H63" s="92">
        <f t="shared" si="16"/>
        <v>-4.89706862476514</v>
      </c>
      <c r="I63" s="26">
        <f>+-I56-(SUM(I58:I62)+I46)</f>
        <v>-135218275.35900015</v>
      </c>
      <c r="J63" s="42">
        <f t="shared" si="20"/>
        <v>-1.9417827573609419</v>
      </c>
      <c r="K63" s="26">
        <f t="shared" si="17"/>
        <v>-319057208.88800025</v>
      </c>
      <c r="L63" s="92">
        <f t="shared" si="18"/>
        <v>235.95716484396337</v>
      </c>
      <c r="M63" s="74" t="s">
        <v>147</v>
      </c>
    </row>
    <row r="64" spans="1:16357" ht="13.5" customHeight="1"/>
  </sheetData>
  <sheetProtection algorithmName="SHA-512" hashValue="4twFt5lXjJJ5aayvq3VIkRwRzVKNb1AmAm1346MpTurykyIPFQSTpvXN1JrVDHxjmmKpr7HZnHLJ4CKRxKj1og==" saltValue="sBUy0Pz6f50F2XPrFDHsLQ==" spinCount="100000" sheet="1"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30"/>
      <c r="C4" s="130" t="s">
        <v>174</v>
      </c>
      <c r="D4" s="134" t="s">
        <v>175</v>
      </c>
    </row>
    <row r="5" spans="2:4">
      <c r="B5" s="131"/>
      <c r="C5" s="131"/>
      <c r="D5" s="135"/>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owner</cp:lastModifiedBy>
  <cp:lastPrinted>2024-05-10T11:00:48Z</cp:lastPrinted>
  <dcterms:created xsi:type="dcterms:W3CDTF">2008-03-17T08:49:23Z</dcterms:created>
  <dcterms:modified xsi:type="dcterms:W3CDTF">2024-11-29T15:14:08Z</dcterms:modified>
</cp:coreProperties>
</file>