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esktop\"/>
    </mc:Choice>
  </mc:AlternateContent>
  <bookViews>
    <workbookView xWindow="0" yWindow="0" windowWidth="15600" windowHeight="5985" tabRatio="817"/>
  </bookViews>
  <sheets>
    <sheet name="Centr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'Central Budget'!$B$13:$C$75</definedName>
    <definedName name="Z_05AB59A7_9F04_4F70_A17E_8EF60EF35C7C_.wvu.PrintArea" localSheetId="1" hidden="1">'Local Government'!$B$13:$M$76</definedName>
    <definedName name="Z_05AB59A7_9F04_4F70_A17E_8EF60EF35C7C_.wvu.PrintArea" localSheetId="2" hidden="1">'Public Expenditure'!$B$13:$M$77</definedName>
    <definedName name="Z_636A372C_EE02_4B23_8381_E3299ADF8816_.wvu.Cols" localSheetId="0" hidden="1">'Central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'Central Budget'!#REF!,'Central Budget'!#REF!,'Central Budget'!#REF!,'Central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'Central Budget'!#REF!,'Central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'Central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F57" i="33" l="1"/>
  <c r="D57" i="33"/>
  <c r="D75" i="33"/>
  <c r="F76" i="32"/>
  <c r="F68" i="33"/>
  <c r="F69" i="33"/>
  <c r="F70" i="33"/>
  <c r="F73" i="33"/>
  <c r="F74" i="33"/>
  <c r="F75" i="33"/>
  <c r="F76" i="33"/>
  <c r="F67" i="33" l="1"/>
  <c r="D72" i="32" l="1"/>
  <c r="F48" i="10"/>
  <c r="F54" i="10"/>
  <c r="D73" i="33" l="1"/>
  <c r="D76" i="33"/>
  <c r="D74" i="33"/>
  <c r="D70" i="33"/>
  <c r="D69" i="33"/>
  <c r="D68" i="33"/>
  <c r="D62" i="33"/>
  <c r="D60" i="33"/>
  <c r="D59" i="33"/>
  <c r="D58" i="33"/>
  <c r="D56" i="33"/>
  <c r="D54" i="33"/>
  <c r="D53" i="33"/>
  <c r="D52" i="33"/>
  <c r="D51" i="33"/>
  <c r="D50" i="33"/>
  <c r="D47" i="33"/>
  <c r="D46" i="33"/>
  <c r="D45" i="33"/>
  <c r="D44" i="33"/>
  <c r="D43" i="33"/>
  <c r="D42" i="33"/>
  <c r="D41" i="33"/>
  <c r="D40" i="33"/>
  <c r="D39" i="33"/>
  <c r="D35" i="33"/>
  <c r="D34" i="33"/>
  <c r="D33" i="33"/>
  <c r="D32" i="33"/>
  <c r="D31" i="33"/>
  <c r="D30" i="33"/>
  <c r="D29" i="33"/>
  <c r="D28" i="33"/>
  <c r="D27" i="33"/>
  <c r="D25" i="33"/>
  <c r="D24" i="33"/>
  <c r="D23" i="33"/>
  <c r="D22" i="33"/>
  <c r="D21" i="33"/>
  <c r="D20" i="33"/>
  <c r="D19" i="33"/>
  <c r="D18" i="33"/>
  <c r="F63" i="33" l="1"/>
  <c r="F62" i="33"/>
  <c r="F61" i="33"/>
  <c r="F60" i="33"/>
  <c r="F59" i="33"/>
  <c r="F58" i="33"/>
  <c r="F56" i="33"/>
  <c r="F54" i="33"/>
  <c r="F53" i="33"/>
  <c r="F52" i="33"/>
  <c r="F51" i="33"/>
  <c r="F50" i="33"/>
  <c r="F48" i="33"/>
  <c r="F47" i="33"/>
  <c r="F46" i="33"/>
  <c r="F45" i="33"/>
  <c r="F44" i="33"/>
  <c r="F43" i="33"/>
  <c r="F42" i="33"/>
  <c r="F41" i="33"/>
  <c r="F40" i="33"/>
  <c r="F39" i="33"/>
  <c r="F22" i="33"/>
  <c r="F21" i="33"/>
  <c r="F20" i="33"/>
  <c r="F19" i="33"/>
  <c r="F18" i="33"/>
  <c r="J77" i="33"/>
  <c r="J76" i="33"/>
  <c r="J74" i="33"/>
  <c r="J73" i="33"/>
  <c r="J69" i="33"/>
  <c r="J68" i="33"/>
  <c r="J63" i="33"/>
  <c r="J62" i="33"/>
  <c r="J61" i="33"/>
  <c r="J60" i="33"/>
  <c r="J59" i="33"/>
  <c r="J58" i="33"/>
  <c r="J57" i="33"/>
  <c r="J56" i="33"/>
  <c r="J54" i="33"/>
  <c r="J53" i="33"/>
  <c r="J52" i="33"/>
  <c r="J51" i="33"/>
  <c r="J50" i="33"/>
  <c r="J48" i="33"/>
  <c r="J46" i="33"/>
  <c r="J45" i="33"/>
  <c r="J44" i="33"/>
  <c r="J43" i="33"/>
  <c r="J42" i="33"/>
  <c r="J41" i="33"/>
  <c r="J40" i="33"/>
  <c r="J39" i="33"/>
  <c r="J35" i="33"/>
  <c r="J34" i="33"/>
  <c r="J33" i="33"/>
  <c r="J32" i="33"/>
  <c r="J31" i="33"/>
  <c r="J28" i="33"/>
  <c r="J29" i="33"/>
  <c r="J30" i="33"/>
  <c r="J27" i="33"/>
  <c r="J25" i="33"/>
  <c r="J24" i="33"/>
  <c r="J23" i="33"/>
  <c r="J22" i="33"/>
  <c r="J21" i="33"/>
  <c r="J20" i="33"/>
  <c r="J19" i="33"/>
  <c r="J18" i="33"/>
  <c r="F67" i="32"/>
  <c r="J11" i="33"/>
  <c r="J11" i="32"/>
  <c r="F66" i="10"/>
  <c r="I57" i="10"/>
  <c r="I58" i="10"/>
  <c r="I59" i="10"/>
  <c r="I60" i="10"/>
  <c r="I61" i="10"/>
  <c r="I62" i="10"/>
  <c r="I64" i="10"/>
  <c r="I67" i="10"/>
  <c r="I68" i="10"/>
  <c r="I69" i="10"/>
  <c r="I72" i="10"/>
  <c r="I73" i="10"/>
  <c r="I74" i="10"/>
  <c r="H57" i="10"/>
  <c r="H58" i="10"/>
  <c r="H59" i="10"/>
  <c r="H60" i="10"/>
  <c r="H61" i="10"/>
  <c r="H62" i="10"/>
  <c r="H64" i="10"/>
  <c r="H67" i="10"/>
  <c r="H68" i="10"/>
  <c r="H69" i="10"/>
  <c r="H72" i="10"/>
  <c r="H73" i="10"/>
  <c r="H74" i="10"/>
  <c r="G57" i="10"/>
  <c r="G58" i="10"/>
  <c r="G59" i="10"/>
  <c r="G60" i="10"/>
  <c r="G61" i="10"/>
  <c r="G62" i="10"/>
  <c r="G64" i="10"/>
  <c r="G67" i="10"/>
  <c r="G68" i="10"/>
  <c r="G69" i="10"/>
  <c r="G72" i="10"/>
  <c r="G73" i="10"/>
  <c r="G74" i="10"/>
  <c r="I38" i="10"/>
  <c r="I39" i="10"/>
  <c r="I40" i="10"/>
  <c r="I41" i="10"/>
  <c r="I42" i="10"/>
  <c r="I43" i="10"/>
  <c r="I44" i="10"/>
  <c r="I45" i="10"/>
  <c r="I46" i="10"/>
  <c r="I47" i="10"/>
  <c r="I49" i="10"/>
  <c r="I50" i="10"/>
  <c r="I51" i="10"/>
  <c r="I52" i="10"/>
  <c r="I53" i="10"/>
  <c r="I55" i="10"/>
  <c r="I56" i="10"/>
  <c r="H38" i="10"/>
  <c r="H39" i="10"/>
  <c r="H40" i="10"/>
  <c r="H41" i="10"/>
  <c r="H42" i="10"/>
  <c r="H43" i="10"/>
  <c r="H44" i="10"/>
  <c r="H45" i="10"/>
  <c r="H46" i="10"/>
  <c r="H47" i="10"/>
  <c r="H49" i="10"/>
  <c r="H50" i="10"/>
  <c r="H51" i="10"/>
  <c r="H52" i="10"/>
  <c r="H53" i="10"/>
  <c r="H55" i="10"/>
  <c r="H56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F37" i="10"/>
  <c r="G17" i="10"/>
  <c r="I24" i="10"/>
  <c r="I26" i="10"/>
  <c r="I27" i="10"/>
  <c r="I28" i="10"/>
  <c r="I29" i="10"/>
  <c r="I30" i="10"/>
  <c r="I31" i="10"/>
  <c r="I32" i="10"/>
  <c r="I33" i="10"/>
  <c r="I34" i="10"/>
  <c r="H26" i="10"/>
  <c r="H27" i="10"/>
  <c r="H28" i="10"/>
  <c r="H29" i="10"/>
  <c r="H30" i="10"/>
  <c r="H31" i="10"/>
  <c r="H32" i="10"/>
  <c r="H33" i="10"/>
  <c r="H34" i="10"/>
  <c r="G26" i="10"/>
  <c r="G27" i="10"/>
  <c r="G28" i="10"/>
  <c r="G29" i="10"/>
  <c r="G30" i="10"/>
  <c r="G31" i="10"/>
  <c r="G32" i="10"/>
  <c r="G33" i="10"/>
  <c r="G34" i="10"/>
  <c r="I19" i="10"/>
  <c r="I20" i="10"/>
  <c r="I21" i="10"/>
  <c r="I22" i="10"/>
  <c r="I23" i="10"/>
  <c r="I18" i="10"/>
  <c r="H19" i="10"/>
  <c r="H20" i="10"/>
  <c r="H21" i="10"/>
  <c r="H22" i="10"/>
  <c r="H23" i="10"/>
  <c r="H24" i="10"/>
  <c r="H18" i="10"/>
  <c r="G19" i="10"/>
  <c r="G20" i="10"/>
  <c r="G21" i="10"/>
  <c r="G22" i="10"/>
  <c r="G23" i="10"/>
  <c r="G24" i="10"/>
  <c r="G18" i="10"/>
  <c r="F16" i="10"/>
  <c r="G16" i="10" s="1"/>
  <c r="F17" i="10"/>
  <c r="F25" i="10"/>
  <c r="G25" i="10" s="1"/>
  <c r="F35" i="10" l="1"/>
  <c r="G37" i="10"/>
  <c r="F63" i="10"/>
  <c r="G66" i="10"/>
  <c r="G35" i="10" l="1"/>
  <c r="F36" i="10"/>
  <c r="G63" i="10"/>
  <c r="F65" i="10"/>
  <c r="F70" i="10"/>
  <c r="G36" i="10" l="1"/>
  <c r="F75" i="10"/>
  <c r="F77" i="33" s="1"/>
  <c r="F72" i="33" s="1"/>
  <c r="G70" i="10"/>
  <c r="G65" i="10"/>
  <c r="F71" i="10" l="1"/>
  <c r="G75" i="10"/>
  <c r="G71" i="10" l="1"/>
  <c r="J72" i="32" l="1"/>
  <c r="N71" i="10" l="1"/>
  <c r="P69" i="10"/>
  <c r="O69" i="10"/>
  <c r="M69" i="10"/>
  <c r="L69" i="10"/>
  <c r="Q69" i="10" s="1"/>
  <c r="J66" i="10"/>
  <c r="F55" i="32" l="1"/>
  <c r="J33" i="32"/>
  <c r="J21" i="32" l="1"/>
  <c r="D33" i="32" l="1"/>
  <c r="F17" i="32" l="1"/>
  <c r="F16" i="32" s="1"/>
  <c r="F42" i="32"/>
  <c r="F52" i="32"/>
  <c r="F40" i="32" l="1"/>
  <c r="F41" i="32" s="1"/>
  <c r="J75" i="33"/>
  <c r="J27" i="32" l="1"/>
  <c r="D67" i="32" l="1"/>
  <c r="D54" i="10" l="1"/>
  <c r="N54" i="10"/>
  <c r="O54" i="10" s="1"/>
  <c r="J54" i="10"/>
  <c r="L54" i="10" s="1"/>
  <c r="D17" i="10"/>
  <c r="D25" i="10"/>
  <c r="D37" i="10"/>
  <c r="D48" i="10"/>
  <c r="D66" i="10"/>
  <c r="F64" i="32"/>
  <c r="G67" i="32"/>
  <c r="J55" i="32"/>
  <c r="H63" i="32"/>
  <c r="K52" i="33"/>
  <c r="K44" i="33"/>
  <c r="J47" i="33"/>
  <c r="I52" i="33"/>
  <c r="L50" i="33"/>
  <c r="H54" i="33"/>
  <c r="H39" i="33"/>
  <c r="H43" i="33"/>
  <c r="I45" i="33"/>
  <c r="D48" i="33"/>
  <c r="L48" i="33" s="1"/>
  <c r="H56" i="33"/>
  <c r="M59" i="33"/>
  <c r="D61" i="33"/>
  <c r="H61" i="33" s="1"/>
  <c r="L62" i="33"/>
  <c r="D63" i="33"/>
  <c r="D11" i="32"/>
  <c r="G77" i="32"/>
  <c r="J17" i="32"/>
  <c r="M17" i="32" s="1"/>
  <c r="L21" i="33"/>
  <c r="F23" i="33"/>
  <c r="F24" i="33"/>
  <c r="F25" i="33"/>
  <c r="F27" i="33"/>
  <c r="F28" i="33"/>
  <c r="F29" i="33"/>
  <c r="F30" i="33"/>
  <c r="F31" i="33"/>
  <c r="F32" i="33"/>
  <c r="F33" i="33"/>
  <c r="F34" i="33"/>
  <c r="F35" i="33"/>
  <c r="D17" i="32"/>
  <c r="D21" i="32"/>
  <c r="H21" i="32" s="1"/>
  <c r="D27" i="32"/>
  <c r="D42" i="32"/>
  <c r="I42" i="32" s="1"/>
  <c r="D52" i="32"/>
  <c r="D55" i="32"/>
  <c r="D26" i="33"/>
  <c r="J52" i="32"/>
  <c r="J42" i="32"/>
  <c r="J67" i="32"/>
  <c r="M67" i="32" s="1"/>
  <c r="J37" i="10"/>
  <c r="J48" i="10"/>
  <c r="L48" i="10" s="1"/>
  <c r="K56" i="10"/>
  <c r="L56" i="10"/>
  <c r="M56" i="10"/>
  <c r="K55" i="10"/>
  <c r="L55" i="10"/>
  <c r="M55" i="10"/>
  <c r="N37" i="10"/>
  <c r="N48" i="10"/>
  <c r="O56" i="10"/>
  <c r="P56" i="10"/>
  <c r="Q56" i="10"/>
  <c r="O55" i="10"/>
  <c r="P55" i="10"/>
  <c r="Q55" i="10"/>
  <c r="C33" i="10"/>
  <c r="I46" i="32"/>
  <c r="I38" i="32"/>
  <c r="L14" i="32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2" i="32"/>
  <c r="H22" i="32"/>
  <c r="I22" i="32"/>
  <c r="L22" i="32"/>
  <c r="M22" i="32"/>
  <c r="C23" i="32"/>
  <c r="H23" i="32"/>
  <c r="I23" i="32"/>
  <c r="L23" i="32"/>
  <c r="M23" i="32"/>
  <c r="H24" i="32"/>
  <c r="I24" i="32"/>
  <c r="L24" i="32"/>
  <c r="M24" i="32"/>
  <c r="H25" i="32"/>
  <c r="I25" i="32"/>
  <c r="L25" i="32"/>
  <c r="M25" i="32"/>
  <c r="H26" i="32"/>
  <c r="I26" i="32"/>
  <c r="L26" i="32"/>
  <c r="M26" i="32"/>
  <c r="C27" i="32"/>
  <c r="C28" i="32"/>
  <c r="H28" i="32"/>
  <c r="I28" i="32"/>
  <c r="L28" i="32"/>
  <c r="M28" i="32"/>
  <c r="C29" i="32"/>
  <c r="H29" i="32"/>
  <c r="I29" i="32"/>
  <c r="L29" i="32"/>
  <c r="M29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8" i="32"/>
  <c r="L38" i="32"/>
  <c r="M38" i="32"/>
  <c r="H39" i="32"/>
  <c r="I39" i="32"/>
  <c r="L39" i="32"/>
  <c r="M39" i="32"/>
  <c r="C40" i="32"/>
  <c r="C41" i="32"/>
  <c r="C42" i="32"/>
  <c r="C43" i="32"/>
  <c r="H43" i="32"/>
  <c r="I43" i="32"/>
  <c r="L43" i="32"/>
  <c r="M43" i="32"/>
  <c r="C44" i="32"/>
  <c r="H44" i="32"/>
  <c r="I44" i="32"/>
  <c r="L44" i="32"/>
  <c r="M44" i="32"/>
  <c r="C45" i="32"/>
  <c r="H45" i="32"/>
  <c r="I45" i="32"/>
  <c r="L45" i="32"/>
  <c r="M45" i="32"/>
  <c r="C46" i="32"/>
  <c r="H46" i="32"/>
  <c r="L46" i="32"/>
  <c r="M46" i="32"/>
  <c r="C47" i="32"/>
  <c r="H47" i="32"/>
  <c r="I47" i="32"/>
  <c r="L47" i="32"/>
  <c r="M47" i="32"/>
  <c r="C48" i="32"/>
  <c r="H48" i="32"/>
  <c r="I48" i="32"/>
  <c r="L48" i="32"/>
  <c r="M48" i="32"/>
  <c r="C49" i="32"/>
  <c r="H49" i="32"/>
  <c r="I49" i="32"/>
  <c r="L49" i="32"/>
  <c r="M49" i="32"/>
  <c r="C50" i="32"/>
  <c r="H50" i="32"/>
  <c r="I50" i="32"/>
  <c r="L50" i="32"/>
  <c r="M50" i="32"/>
  <c r="C51" i="32"/>
  <c r="H51" i="32"/>
  <c r="I51" i="32"/>
  <c r="L51" i="32"/>
  <c r="M51" i="32"/>
  <c r="C52" i="32"/>
  <c r="H53" i="32"/>
  <c r="I53" i="32"/>
  <c r="L53" i="32"/>
  <c r="M53" i="32"/>
  <c r="H54" i="32"/>
  <c r="I54" i="32"/>
  <c r="L54" i="32"/>
  <c r="M54" i="32"/>
  <c r="C55" i="32"/>
  <c r="H56" i="32"/>
  <c r="I56" i="32"/>
  <c r="L56" i="32"/>
  <c r="M56" i="32"/>
  <c r="H57" i="32"/>
  <c r="I57" i="32"/>
  <c r="L57" i="32"/>
  <c r="M57" i="32"/>
  <c r="C58" i="32"/>
  <c r="H58" i="32"/>
  <c r="I58" i="32"/>
  <c r="L58" i="32"/>
  <c r="M58" i="32"/>
  <c r="C59" i="32"/>
  <c r="H59" i="32"/>
  <c r="I59" i="32"/>
  <c r="L59" i="32"/>
  <c r="M59" i="32"/>
  <c r="C60" i="32"/>
  <c r="H60" i="32"/>
  <c r="I60" i="32"/>
  <c r="L60" i="32"/>
  <c r="M60" i="32"/>
  <c r="H61" i="32"/>
  <c r="I61" i="32"/>
  <c r="L61" i="32"/>
  <c r="M61" i="32"/>
  <c r="L63" i="32"/>
  <c r="C64" i="32"/>
  <c r="C66" i="32"/>
  <c r="C67" i="32"/>
  <c r="C68" i="32"/>
  <c r="H68" i="32"/>
  <c r="I68" i="32"/>
  <c r="L68" i="32"/>
  <c r="M68" i="32"/>
  <c r="C69" i="32"/>
  <c r="H69" i="32"/>
  <c r="I69" i="32"/>
  <c r="L69" i="32"/>
  <c r="M69" i="32"/>
  <c r="C70" i="32"/>
  <c r="H70" i="32"/>
  <c r="I70" i="32"/>
  <c r="L70" i="32"/>
  <c r="M70" i="32"/>
  <c r="C71" i="32"/>
  <c r="C72" i="32"/>
  <c r="C73" i="32"/>
  <c r="H73" i="32"/>
  <c r="I73" i="32"/>
  <c r="L73" i="32"/>
  <c r="M73" i="32"/>
  <c r="C74" i="32"/>
  <c r="H74" i="32"/>
  <c r="I74" i="32"/>
  <c r="L74" i="32"/>
  <c r="M74" i="32"/>
  <c r="C75" i="32"/>
  <c r="H75" i="32"/>
  <c r="I75" i="32"/>
  <c r="L75" i="32"/>
  <c r="M75" i="32"/>
  <c r="C76" i="32"/>
  <c r="H77" i="32"/>
  <c r="I77" i="32"/>
  <c r="L77" i="32"/>
  <c r="M77" i="32"/>
  <c r="I33" i="32"/>
  <c r="H52" i="32"/>
  <c r="M33" i="32"/>
  <c r="L52" i="32"/>
  <c r="H17" i="32"/>
  <c r="I52" i="32"/>
  <c r="M52" i="32"/>
  <c r="L33" i="32"/>
  <c r="H33" i="32"/>
  <c r="I17" i="32"/>
  <c r="E56" i="10"/>
  <c r="E55" i="10"/>
  <c r="P74" i="10"/>
  <c r="E17" i="10"/>
  <c r="N66" i="10"/>
  <c r="O66" i="10" s="1"/>
  <c r="L66" i="10"/>
  <c r="N17" i="10"/>
  <c r="P17" i="10" s="1"/>
  <c r="N25" i="10"/>
  <c r="L74" i="10"/>
  <c r="Q74" i="10"/>
  <c r="L73" i="10"/>
  <c r="Q73" i="10" s="1"/>
  <c r="L72" i="10"/>
  <c r="Q72" i="10" s="1"/>
  <c r="Q59" i="10"/>
  <c r="Q58" i="10"/>
  <c r="Q57" i="10"/>
  <c r="Q53" i="10"/>
  <c r="Q52" i="10"/>
  <c r="Q51" i="10"/>
  <c r="Q50" i="10"/>
  <c r="Q49" i="10"/>
  <c r="Q47" i="10"/>
  <c r="Q46" i="10"/>
  <c r="Q45" i="10"/>
  <c r="Q44" i="10"/>
  <c r="Q43" i="10"/>
  <c r="Q42" i="10"/>
  <c r="Q41" i="10"/>
  <c r="Q40" i="10"/>
  <c r="Q39" i="10"/>
  <c r="Q38" i="10"/>
  <c r="Q34" i="10"/>
  <c r="Q33" i="10"/>
  <c r="Q32" i="10"/>
  <c r="Q31" i="10"/>
  <c r="Q30" i="10"/>
  <c r="Q29" i="10"/>
  <c r="Q28" i="10"/>
  <c r="Q27" i="10"/>
  <c r="Q26" i="10"/>
  <c r="Q24" i="10"/>
  <c r="Q23" i="10"/>
  <c r="Q22" i="10"/>
  <c r="Q21" i="10"/>
  <c r="Q20" i="10"/>
  <c r="Q19" i="10"/>
  <c r="Q18" i="10"/>
  <c r="P57" i="10"/>
  <c r="Q60" i="10"/>
  <c r="J25" i="10"/>
  <c r="J17" i="10"/>
  <c r="M17" i="10" s="1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G70" i="36"/>
  <c r="H70" i="36"/>
  <c r="E70" i="36"/>
  <c r="F70" i="36" s="1"/>
  <c r="J70" i="36"/>
  <c r="C70" i="36"/>
  <c r="D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J60" i="36" s="1"/>
  <c r="C60" i="36"/>
  <c r="D60" i="36" s="1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I54" i="36" s="1"/>
  <c r="H54" i="36"/>
  <c r="E54" i="36"/>
  <c r="F54" i="36" s="1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I43" i="36" s="1"/>
  <c r="E43" i="36"/>
  <c r="F43" i="36" s="1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 s="1"/>
  <c r="C34" i="36"/>
  <c r="D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J27" i="36" s="1"/>
  <c r="F27" i="36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J22" i="36" s="1"/>
  <c r="H22" i="36"/>
  <c r="E22" i="36"/>
  <c r="F22" i="36" s="1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J17" i="36" s="1"/>
  <c r="F17" i="36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 s="1"/>
  <c r="E9" i="36"/>
  <c r="F9" i="36" s="1"/>
  <c r="C9" i="36"/>
  <c r="D9" i="36" s="1"/>
  <c r="C8" i="36"/>
  <c r="C68" i="36" s="1"/>
  <c r="D7" i="36"/>
  <c r="C7" i="36"/>
  <c r="P7" i="31"/>
  <c r="P6" i="31"/>
  <c r="P5" i="31"/>
  <c r="E22" i="30"/>
  <c r="E21" i="30"/>
  <c r="E20" i="30"/>
  <c r="E19" i="30"/>
  <c r="E18" i="30"/>
  <c r="G18" i="30" s="1"/>
  <c r="E15" i="30"/>
  <c r="E14" i="30"/>
  <c r="E13" i="30"/>
  <c r="E12" i="30" s="1"/>
  <c r="G12" i="30" s="1"/>
  <c r="E11" i="30"/>
  <c r="E9" i="30"/>
  <c r="E8" i="30"/>
  <c r="E7" i="30" s="1"/>
  <c r="G7" i="30" s="1"/>
  <c r="D58" i="29"/>
  <c r="D56" i="29" s="1"/>
  <c r="D55" i="29" s="1"/>
  <c r="D57" i="29"/>
  <c r="D53" i="29"/>
  <c r="D52" i="29" s="1"/>
  <c r="D45" i="29"/>
  <c r="D44" i="29"/>
  <c r="D37" i="29"/>
  <c r="D36" i="29" s="1"/>
  <c r="D35" i="29"/>
  <c r="D34" i="29"/>
  <c r="D33" i="29"/>
  <c r="D32" i="29"/>
  <c r="D31" i="29"/>
  <c r="D30" i="29"/>
  <c r="D29" i="29"/>
  <c r="D28" i="29"/>
  <c r="D27" i="29"/>
  <c r="D26" i="29"/>
  <c r="D25" i="29"/>
  <c r="D24" i="29" s="1"/>
  <c r="E6" i="30" s="1"/>
  <c r="D20" i="29"/>
  <c r="D19" i="29"/>
  <c r="D23" i="29"/>
  <c r="D22" i="29"/>
  <c r="D21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E5" i="30" s="1"/>
  <c r="F4" i="29"/>
  <c r="C78" i="33"/>
  <c r="J70" i="33"/>
  <c r="Q48" i="10"/>
  <c r="C34" i="33"/>
  <c r="C33" i="33"/>
  <c r="C32" i="33"/>
  <c r="C31" i="33"/>
  <c r="C30" i="33"/>
  <c r="C29" i="33"/>
  <c r="C28" i="33"/>
  <c r="C27" i="33"/>
  <c r="C26" i="33"/>
  <c r="C23" i="33"/>
  <c r="C22" i="33"/>
  <c r="C21" i="33"/>
  <c r="C20" i="33"/>
  <c r="C19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L14" i="33"/>
  <c r="D11" i="33"/>
  <c r="E53" i="33" s="1"/>
  <c r="C11" i="33"/>
  <c r="C78" i="32"/>
  <c r="K29" i="32"/>
  <c r="C76" i="10"/>
  <c r="O25" i="10"/>
  <c r="O74" i="10"/>
  <c r="M74" i="10"/>
  <c r="K74" i="10"/>
  <c r="E74" i="10"/>
  <c r="P73" i="10"/>
  <c r="O73" i="10"/>
  <c r="M73" i="10"/>
  <c r="K73" i="10"/>
  <c r="E73" i="10"/>
  <c r="P72" i="10"/>
  <c r="O72" i="10"/>
  <c r="M72" i="10"/>
  <c r="K72" i="10"/>
  <c r="E72" i="10"/>
  <c r="K69" i="10"/>
  <c r="E69" i="10"/>
  <c r="P68" i="10"/>
  <c r="O68" i="10"/>
  <c r="M68" i="10"/>
  <c r="L68" i="10"/>
  <c r="Q68" i="10" s="1"/>
  <c r="K68" i="10"/>
  <c r="E68" i="10"/>
  <c r="P67" i="10"/>
  <c r="O67" i="10"/>
  <c r="M67" i="10"/>
  <c r="L67" i="10"/>
  <c r="Q67" i="10" s="1"/>
  <c r="K67" i="10"/>
  <c r="E67" i="10"/>
  <c r="K66" i="10"/>
  <c r="P62" i="10"/>
  <c r="O62" i="10"/>
  <c r="M62" i="10"/>
  <c r="L62" i="10"/>
  <c r="Q62" i="10" s="1"/>
  <c r="K62" i="10"/>
  <c r="E62" i="10"/>
  <c r="P61" i="10"/>
  <c r="O61" i="10"/>
  <c r="M61" i="10"/>
  <c r="L61" i="10"/>
  <c r="Q61" i="10" s="1"/>
  <c r="K61" i="10"/>
  <c r="E61" i="10"/>
  <c r="P60" i="10"/>
  <c r="O60" i="10"/>
  <c r="M60" i="10"/>
  <c r="L60" i="10"/>
  <c r="K60" i="10"/>
  <c r="E60" i="10"/>
  <c r="P59" i="10"/>
  <c r="O59" i="10"/>
  <c r="M59" i="10"/>
  <c r="L59" i="10"/>
  <c r="K59" i="10"/>
  <c r="E59" i="10"/>
  <c r="P58" i="10"/>
  <c r="O58" i="10"/>
  <c r="M58" i="10"/>
  <c r="L58" i="10"/>
  <c r="K58" i="10"/>
  <c r="E58" i="10"/>
  <c r="O57" i="10"/>
  <c r="M57" i="10"/>
  <c r="L57" i="10"/>
  <c r="K57" i="10"/>
  <c r="E57" i="10"/>
  <c r="P54" i="10"/>
  <c r="M54" i="10"/>
  <c r="E54" i="10"/>
  <c r="P53" i="10"/>
  <c r="O53" i="10"/>
  <c r="M53" i="10"/>
  <c r="L53" i="10"/>
  <c r="K53" i="10"/>
  <c r="E53" i="10"/>
  <c r="P52" i="10"/>
  <c r="O52" i="10"/>
  <c r="M52" i="10"/>
  <c r="L52" i="10"/>
  <c r="K52" i="10"/>
  <c r="E52" i="10"/>
  <c r="P51" i="10"/>
  <c r="O51" i="10"/>
  <c r="M51" i="10"/>
  <c r="L51" i="10"/>
  <c r="K51" i="10"/>
  <c r="E51" i="10"/>
  <c r="P50" i="10"/>
  <c r="O50" i="10"/>
  <c r="M50" i="10"/>
  <c r="L50" i="10"/>
  <c r="K50" i="10"/>
  <c r="E50" i="10"/>
  <c r="P49" i="10"/>
  <c r="O49" i="10"/>
  <c r="M49" i="10"/>
  <c r="L49" i="10"/>
  <c r="K49" i="10"/>
  <c r="E49" i="10"/>
  <c r="O48" i="10"/>
  <c r="P47" i="10"/>
  <c r="O47" i="10"/>
  <c r="M47" i="10"/>
  <c r="L47" i="10"/>
  <c r="K47" i="10"/>
  <c r="E47" i="10"/>
  <c r="P46" i="10"/>
  <c r="O46" i="10"/>
  <c r="M46" i="10"/>
  <c r="L46" i="10"/>
  <c r="K46" i="10"/>
  <c r="E46" i="10"/>
  <c r="P45" i="10"/>
  <c r="O45" i="10"/>
  <c r="M45" i="10"/>
  <c r="L45" i="10"/>
  <c r="K45" i="10"/>
  <c r="E45" i="10"/>
  <c r="P44" i="10"/>
  <c r="O44" i="10"/>
  <c r="M44" i="10"/>
  <c r="L44" i="10"/>
  <c r="K44" i="10"/>
  <c r="E44" i="10"/>
  <c r="P43" i="10"/>
  <c r="O43" i="10"/>
  <c r="M43" i="10"/>
  <c r="L43" i="10"/>
  <c r="K43" i="10"/>
  <c r="E43" i="10"/>
  <c r="P42" i="10"/>
  <c r="O42" i="10"/>
  <c r="M42" i="10"/>
  <c r="L42" i="10"/>
  <c r="K42" i="10"/>
  <c r="E42" i="10"/>
  <c r="P41" i="10"/>
  <c r="O41" i="10"/>
  <c r="M41" i="10"/>
  <c r="L41" i="10"/>
  <c r="K41" i="10"/>
  <c r="E41" i="10"/>
  <c r="P40" i="10"/>
  <c r="O40" i="10"/>
  <c r="M40" i="10"/>
  <c r="L40" i="10"/>
  <c r="K40" i="10"/>
  <c r="E40" i="10"/>
  <c r="P39" i="10"/>
  <c r="O39" i="10"/>
  <c r="M39" i="10"/>
  <c r="L39" i="10"/>
  <c r="K39" i="10"/>
  <c r="E39" i="10"/>
  <c r="P38" i="10"/>
  <c r="O38" i="10"/>
  <c r="M38" i="10"/>
  <c r="L38" i="10"/>
  <c r="K38" i="10"/>
  <c r="E38" i="10"/>
  <c r="P34" i="10"/>
  <c r="O34" i="10"/>
  <c r="M34" i="10"/>
  <c r="L34" i="10"/>
  <c r="K34" i="10"/>
  <c r="E34" i="10"/>
  <c r="P33" i="10"/>
  <c r="O33" i="10"/>
  <c r="M33" i="10"/>
  <c r="L33" i="10"/>
  <c r="K33" i="10"/>
  <c r="E33" i="10"/>
  <c r="P32" i="10"/>
  <c r="O32" i="10"/>
  <c r="M32" i="10"/>
  <c r="L32" i="10"/>
  <c r="K32" i="10"/>
  <c r="E32" i="10"/>
  <c r="C32" i="10"/>
  <c r="P31" i="10"/>
  <c r="O31" i="10"/>
  <c r="M31" i="10"/>
  <c r="L31" i="10"/>
  <c r="K31" i="10"/>
  <c r="E31" i="10"/>
  <c r="C31" i="10"/>
  <c r="P30" i="10"/>
  <c r="O30" i="10"/>
  <c r="M30" i="10"/>
  <c r="L30" i="10"/>
  <c r="K30" i="10"/>
  <c r="E30" i="10"/>
  <c r="C30" i="10"/>
  <c r="P29" i="10"/>
  <c r="O29" i="10"/>
  <c r="M29" i="10"/>
  <c r="L29" i="10"/>
  <c r="K29" i="10"/>
  <c r="E29" i="10"/>
  <c r="C29" i="10"/>
  <c r="P28" i="10"/>
  <c r="O28" i="10"/>
  <c r="M28" i="10"/>
  <c r="L28" i="10"/>
  <c r="K28" i="10"/>
  <c r="E28" i="10"/>
  <c r="C28" i="10"/>
  <c r="P27" i="10"/>
  <c r="O27" i="10"/>
  <c r="M27" i="10"/>
  <c r="L27" i="10"/>
  <c r="K27" i="10"/>
  <c r="E27" i="10"/>
  <c r="C27" i="10"/>
  <c r="P26" i="10"/>
  <c r="O26" i="10"/>
  <c r="M26" i="10"/>
  <c r="L26" i="10"/>
  <c r="K26" i="10"/>
  <c r="E26" i="10"/>
  <c r="C26" i="10"/>
  <c r="C25" i="10"/>
  <c r="P24" i="10"/>
  <c r="O24" i="10"/>
  <c r="M24" i="10"/>
  <c r="L24" i="10"/>
  <c r="K24" i="10"/>
  <c r="E24" i="10"/>
  <c r="P23" i="10"/>
  <c r="O23" i="10"/>
  <c r="M23" i="10"/>
  <c r="L23" i="10"/>
  <c r="K23" i="10"/>
  <c r="E23" i="10"/>
  <c r="C23" i="10"/>
  <c r="P22" i="10"/>
  <c r="O22" i="10"/>
  <c r="M22" i="10"/>
  <c r="L22" i="10"/>
  <c r="K22" i="10"/>
  <c r="E22" i="10"/>
  <c r="C22" i="10"/>
  <c r="P21" i="10"/>
  <c r="O21" i="10"/>
  <c r="M21" i="10"/>
  <c r="L21" i="10"/>
  <c r="K21" i="10"/>
  <c r="E21" i="10"/>
  <c r="C21" i="10"/>
  <c r="P20" i="10"/>
  <c r="O20" i="10"/>
  <c r="M20" i="10"/>
  <c r="L20" i="10"/>
  <c r="K20" i="10"/>
  <c r="E20" i="10"/>
  <c r="C20" i="10"/>
  <c r="P19" i="10"/>
  <c r="O19" i="10"/>
  <c r="M19" i="10"/>
  <c r="L19" i="10"/>
  <c r="K19" i="10"/>
  <c r="E19" i="10"/>
  <c r="C19" i="10"/>
  <c r="P18" i="10"/>
  <c r="O18" i="10"/>
  <c r="M18" i="10"/>
  <c r="L18" i="10"/>
  <c r="K18" i="10"/>
  <c r="E18" i="10"/>
  <c r="C18" i="10"/>
  <c r="C17" i="10"/>
  <c r="C16" i="10"/>
  <c r="E15" i="10"/>
  <c r="D15" i="10"/>
  <c r="C15" i="10"/>
  <c r="P14" i="10"/>
  <c r="C14" i="10"/>
  <c r="C11" i="10"/>
  <c r="C11" i="32"/>
  <c r="N9" i="10"/>
  <c r="N8" i="10"/>
  <c r="E25" i="10"/>
  <c r="I27" i="36"/>
  <c r="I22" i="36"/>
  <c r="H27" i="36"/>
  <c r="H43" i="36"/>
  <c r="I70" i="36"/>
  <c r="E48" i="10"/>
  <c r="P25" i="10"/>
  <c r="I17" i="36"/>
  <c r="H60" i="36"/>
  <c r="G41" i="36"/>
  <c r="I41" i="36" s="1"/>
  <c r="E41" i="36"/>
  <c r="F41" i="36" s="1"/>
  <c r="H79" i="36"/>
  <c r="G75" i="36"/>
  <c r="H75" i="36" s="1"/>
  <c r="Q25" i="10"/>
  <c r="H17" i="36"/>
  <c r="F60" i="36"/>
  <c r="G42" i="36"/>
  <c r="H41" i="36"/>
  <c r="P48" i="10"/>
  <c r="O37" i="10"/>
  <c r="K37" i="10"/>
  <c r="H42" i="36"/>
  <c r="J41" i="36"/>
  <c r="C41" i="36"/>
  <c r="C42" i="36" s="1"/>
  <c r="D42" i="36" s="1"/>
  <c r="M66" i="10"/>
  <c r="E66" i="10"/>
  <c r="G41" i="32"/>
  <c r="E22" i="32"/>
  <c r="E23" i="32"/>
  <c r="G24" i="32"/>
  <c r="E28" i="32"/>
  <c r="E29" i="32"/>
  <c r="G30" i="32"/>
  <c r="G39" i="32"/>
  <c r="E43" i="32"/>
  <c r="E44" i="32"/>
  <c r="E45" i="32"/>
  <c r="E46" i="32"/>
  <c r="G47" i="32"/>
  <c r="G48" i="32"/>
  <c r="G49" i="32"/>
  <c r="G50" i="32"/>
  <c r="G51" i="32"/>
  <c r="E54" i="32"/>
  <c r="E61" i="32"/>
  <c r="G63" i="32"/>
  <c r="G68" i="32"/>
  <c r="G69" i="32"/>
  <c r="G70" i="32"/>
  <c r="E39" i="32"/>
  <c r="E48" i="32"/>
  <c r="E20" i="32"/>
  <c r="G22" i="32"/>
  <c r="G23" i="32"/>
  <c r="E26" i="32"/>
  <c r="G28" i="32"/>
  <c r="G29" i="32"/>
  <c r="E34" i="32"/>
  <c r="E35" i="32"/>
  <c r="E36" i="32"/>
  <c r="E37" i="32"/>
  <c r="E38" i="32"/>
  <c r="G43" i="32"/>
  <c r="G44" i="32"/>
  <c r="G45" i="32"/>
  <c r="G46" i="32"/>
  <c r="E53" i="32"/>
  <c r="G54" i="32"/>
  <c r="E57" i="32"/>
  <c r="E58" i="32"/>
  <c r="E59" i="32"/>
  <c r="E60" i="32"/>
  <c r="G61" i="32"/>
  <c r="E73" i="32"/>
  <c r="E74" i="32"/>
  <c r="E75" i="32"/>
  <c r="E24" i="32"/>
  <c r="G25" i="32"/>
  <c r="E30" i="32"/>
  <c r="E49" i="32"/>
  <c r="E18" i="32"/>
  <c r="E19" i="32"/>
  <c r="G20" i="32"/>
  <c r="E25" i="32"/>
  <c r="G26" i="32"/>
  <c r="E31" i="32"/>
  <c r="E32" i="32"/>
  <c r="G34" i="32"/>
  <c r="G35" i="32"/>
  <c r="G36" i="32"/>
  <c r="G37" i="32"/>
  <c r="G38" i="32"/>
  <c r="G52" i="32"/>
  <c r="G53" i="32"/>
  <c r="E56" i="32"/>
  <c r="G57" i="32"/>
  <c r="G58" i="32"/>
  <c r="G59" i="32"/>
  <c r="G60" i="32"/>
  <c r="G73" i="32"/>
  <c r="G74" i="32"/>
  <c r="G75" i="32"/>
  <c r="G18" i="32"/>
  <c r="G19" i="32"/>
  <c r="G31" i="32"/>
  <c r="G32" i="32"/>
  <c r="E33" i="32"/>
  <c r="E47" i="32"/>
  <c r="E50" i="32"/>
  <c r="G55" i="32"/>
  <c r="E70" i="32"/>
  <c r="E77" i="32"/>
  <c r="E51" i="32"/>
  <c r="G56" i="32"/>
  <c r="E63" i="32"/>
  <c r="E69" i="32"/>
  <c r="E68" i="32"/>
  <c r="G27" i="32"/>
  <c r="E17" i="32"/>
  <c r="G42" i="32"/>
  <c r="G16" i="32"/>
  <c r="G17" i="32"/>
  <c r="G33" i="32"/>
  <c r="E52" i="32"/>
  <c r="G21" i="32"/>
  <c r="G40" i="32"/>
  <c r="K38" i="32"/>
  <c r="K35" i="32"/>
  <c r="K75" i="32"/>
  <c r="K52" i="32"/>
  <c r="K77" i="32"/>
  <c r="P37" i="10"/>
  <c r="K60" i="33"/>
  <c r="M41" i="33"/>
  <c r="H40" i="33"/>
  <c r="K46" i="33"/>
  <c r="I40" i="33"/>
  <c r="L53" i="33"/>
  <c r="H48" i="33"/>
  <c r="M53" i="33"/>
  <c r="M60" i="33"/>
  <c r="I53" i="33"/>
  <c r="I48" i="33"/>
  <c r="H53" i="33"/>
  <c r="D41" i="36"/>
  <c r="H48" i="10" l="1"/>
  <c r="I48" i="10"/>
  <c r="H17" i="10"/>
  <c r="I17" i="10"/>
  <c r="E37" i="10"/>
  <c r="I37" i="10"/>
  <c r="H37" i="10"/>
  <c r="D16" i="10"/>
  <c r="K17" i="10"/>
  <c r="Q17" i="10"/>
  <c r="N35" i="10"/>
  <c r="O35" i="10" s="1"/>
  <c r="I66" i="10"/>
  <c r="H66" i="10"/>
  <c r="H25" i="10"/>
  <c r="I25" i="10"/>
  <c r="I54" i="10"/>
  <c r="H54" i="10"/>
  <c r="E47" i="33"/>
  <c r="E76" i="33"/>
  <c r="K51" i="32"/>
  <c r="K25" i="32"/>
  <c r="K60" i="32"/>
  <c r="K49" i="32"/>
  <c r="K22" i="32"/>
  <c r="K72" i="32"/>
  <c r="G44" i="33"/>
  <c r="K48" i="32"/>
  <c r="K46" i="32"/>
  <c r="K76" i="32"/>
  <c r="E18" i="33"/>
  <c r="K33" i="32"/>
  <c r="K19" i="32"/>
  <c r="K58" i="32"/>
  <c r="E48" i="33"/>
  <c r="K50" i="32"/>
  <c r="K56" i="32"/>
  <c r="K30" i="32"/>
  <c r="K36" i="32"/>
  <c r="K44" i="32"/>
  <c r="D68" i="36"/>
  <c r="C74" i="36"/>
  <c r="C69" i="36"/>
  <c r="D69" i="36" s="1"/>
  <c r="G68" i="36"/>
  <c r="L16" i="36"/>
  <c r="H8" i="36"/>
  <c r="E4" i="30"/>
  <c r="L17" i="10"/>
  <c r="J43" i="36"/>
  <c r="L42" i="32"/>
  <c r="J40" i="32"/>
  <c r="J42" i="36"/>
  <c r="K27" i="32"/>
  <c r="K70" i="32"/>
  <c r="K39" i="32"/>
  <c r="K32" i="32"/>
  <c r="K18" i="32"/>
  <c r="K74" i="32"/>
  <c r="K57" i="32"/>
  <c r="K34" i="32"/>
  <c r="K54" i="32"/>
  <c r="J9" i="36"/>
  <c r="E8" i="36"/>
  <c r="D8" i="36"/>
  <c r="I60" i="36"/>
  <c r="J54" i="36"/>
  <c r="K54" i="10"/>
  <c r="I34" i="36"/>
  <c r="D5" i="29"/>
  <c r="D4" i="29" s="1"/>
  <c r="G4" i="29" s="1"/>
  <c r="H9" i="36"/>
  <c r="J34" i="36"/>
  <c r="E41" i="33"/>
  <c r="Q37" i="10"/>
  <c r="K68" i="32"/>
  <c r="K69" i="32"/>
  <c r="K24" i="32"/>
  <c r="K31" i="32"/>
  <c r="K47" i="32"/>
  <c r="K73" i="32"/>
  <c r="K53" i="32"/>
  <c r="K20" i="32"/>
  <c r="K45" i="32"/>
  <c r="K28" i="32"/>
  <c r="E42" i="36"/>
  <c r="F42" i="36" s="1"/>
  <c r="I9" i="36"/>
  <c r="M37" i="10"/>
  <c r="F66" i="32"/>
  <c r="F71" i="32"/>
  <c r="F72" i="32" s="1"/>
  <c r="G72" i="32" s="1"/>
  <c r="G66" i="32"/>
  <c r="K59" i="32"/>
  <c r="K37" i="32"/>
  <c r="K26" i="32"/>
  <c r="K61" i="32"/>
  <c r="K43" i="32"/>
  <c r="K23" i="32"/>
  <c r="I61" i="33"/>
  <c r="M48" i="33"/>
  <c r="E25" i="33"/>
  <c r="K55" i="32"/>
  <c r="G70" i="33"/>
  <c r="E42" i="33"/>
  <c r="G51" i="33"/>
  <c r="G48" i="33"/>
  <c r="E21" i="33"/>
  <c r="G61" i="33"/>
  <c r="K54" i="33"/>
  <c r="K51" i="33"/>
  <c r="J38" i="33"/>
  <c r="K38" i="33" s="1"/>
  <c r="I47" i="33"/>
  <c r="E60" i="33"/>
  <c r="E33" i="33"/>
  <c r="J72" i="33"/>
  <c r="K67" i="32"/>
  <c r="Q66" i="10"/>
  <c r="P66" i="10"/>
  <c r="L61" i="33"/>
  <c r="H47" i="33"/>
  <c r="I43" i="33"/>
  <c r="L40" i="33"/>
  <c r="G43" i="33"/>
  <c r="K42" i="32"/>
  <c r="L17" i="32"/>
  <c r="K17" i="32"/>
  <c r="D67" i="33"/>
  <c r="E67" i="33" s="1"/>
  <c r="M62" i="33"/>
  <c r="I46" i="33"/>
  <c r="L39" i="33"/>
  <c r="H32" i="33"/>
  <c r="H27" i="32"/>
  <c r="Q54" i="10"/>
  <c r="M61" i="33"/>
  <c r="K62" i="33"/>
  <c r="L52" i="33"/>
  <c r="M52" i="33"/>
  <c r="N36" i="10"/>
  <c r="O36" i="10" s="1"/>
  <c r="O17" i="10"/>
  <c r="N16" i="10"/>
  <c r="J35" i="10"/>
  <c r="J36" i="10" s="1"/>
  <c r="K36" i="10" s="1"/>
  <c r="M48" i="10"/>
  <c r="K48" i="10"/>
  <c r="M25" i="10"/>
  <c r="K35" i="10"/>
  <c r="L37" i="10"/>
  <c r="J16" i="10"/>
  <c r="L25" i="10"/>
  <c r="K25" i="10"/>
  <c r="E68" i="33"/>
  <c r="I69" i="33"/>
  <c r="D49" i="33"/>
  <c r="H50" i="33"/>
  <c r="I50" i="33"/>
  <c r="L46" i="33"/>
  <c r="L42" i="33"/>
  <c r="D35" i="10"/>
  <c r="E22" i="33"/>
  <c r="L22" i="33"/>
  <c r="M18" i="33"/>
  <c r="E19" i="33"/>
  <c r="G54" i="33"/>
  <c r="G62" i="33"/>
  <c r="G45" i="33"/>
  <c r="G41" i="33"/>
  <c r="G57" i="33"/>
  <c r="G59" i="33"/>
  <c r="G42" i="33"/>
  <c r="E57" i="33"/>
  <c r="E50" i="33"/>
  <c r="E56" i="33"/>
  <c r="E35" i="33"/>
  <c r="E61" i="33"/>
  <c r="E45" i="33"/>
  <c r="E69" i="33"/>
  <c r="E46" i="33"/>
  <c r="G53" i="33"/>
  <c r="E34" i="33"/>
  <c r="E24" i="33"/>
  <c r="E20" i="33"/>
  <c r="G33" i="33"/>
  <c r="G29" i="33"/>
  <c r="G24" i="33"/>
  <c r="G20" i="33"/>
  <c r="E63" i="33"/>
  <c r="G40" i="33"/>
  <c r="G60" i="33"/>
  <c r="I60" i="33"/>
  <c r="H41" i="33"/>
  <c r="H46" i="33"/>
  <c r="G64" i="32"/>
  <c r="H60" i="33"/>
  <c r="E59" i="33"/>
  <c r="H59" i="33"/>
  <c r="L60" i="33"/>
  <c r="H42" i="33"/>
  <c r="K63" i="32"/>
  <c r="F55" i="33"/>
  <c r="G55" i="33" s="1"/>
  <c r="K40" i="32"/>
  <c r="I42" i="33"/>
  <c r="I59" i="33"/>
  <c r="F38" i="33"/>
  <c r="G38" i="33" s="1"/>
  <c r="K27" i="33"/>
  <c r="L41" i="33"/>
  <c r="I41" i="33"/>
  <c r="K61" i="33"/>
  <c r="L51" i="33"/>
  <c r="I56" i="33"/>
  <c r="H57" i="33"/>
  <c r="G52" i="33"/>
  <c r="K70" i="33"/>
  <c r="G76" i="33"/>
  <c r="G28" i="33"/>
  <c r="G23" i="33"/>
  <c r="I19" i="33"/>
  <c r="L34" i="33"/>
  <c r="K30" i="33"/>
  <c r="K25" i="33"/>
  <c r="E44" i="33"/>
  <c r="E40" i="33"/>
  <c r="F49" i="33"/>
  <c r="G49" i="33" s="1"/>
  <c r="L59" i="33"/>
  <c r="K63" i="33"/>
  <c r="K57" i="33"/>
  <c r="M54" i="33"/>
  <c r="H45" i="33"/>
  <c r="I54" i="33"/>
  <c r="M45" i="33"/>
  <c r="E51" i="33"/>
  <c r="E29" i="33"/>
  <c r="I57" i="33"/>
  <c r="H74" i="33"/>
  <c r="G35" i="33"/>
  <c r="G31" i="33"/>
  <c r="G27" i="33"/>
  <c r="I22" i="33"/>
  <c r="G18" i="33"/>
  <c r="K69" i="33"/>
  <c r="K33" i="33"/>
  <c r="K29" i="33"/>
  <c r="M24" i="33"/>
  <c r="M20" i="33"/>
  <c r="D55" i="33"/>
  <c r="G63" i="33"/>
  <c r="L45" i="33"/>
  <c r="M42" i="33"/>
  <c r="K42" i="33"/>
  <c r="K41" i="33"/>
  <c r="E54" i="33"/>
  <c r="M51" i="33"/>
  <c r="I51" i="33"/>
  <c r="K40" i="33"/>
  <c r="K53" i="33"/>
  <c r="E26" i="33"/>
  <c r="K45" i="33"/>
  <c r="H52" i="33"/>
  <c r="E23" i="33"/>
  <c r="K43" i="33"/>
  <c r="H51" i="33"/>
  <c r="L54" i="33"/>
  <c r="G56" i="33"/>
  <c r="G46" i="33"/>
  <c r="M46" i="33"/>
  <c r="G47" i="33"/>
  <c r="G39" i="33"/>
  <c r="E52" i="33"/>
  <c r="G50" i="33"/>
  <c r="K56" i="33"/>
  <c r="K48" i="33"/>
  <c r="H73" i="33"/>
  <c r="H34" i="33"/>
  <c r="G30" i="33"/>
  <c r="I25" i="33"/>
  <c r="G21" i="33"/>
  <c r="L76" i="33"/>
  <c r="K68" i="33"/>
  <c r="K28" i="33"/>
  <c r="L23" i="33"/>
  <c r="I58" i="33"/>
  <c r="K47" i="33"/>
  <c r="K39" i="33"/>
  <c r="K50" i="33"/>
  <c r="K59" i="33"/>
  <c r="M57" i="33"/>
  <c r="L63" i="33"/>
  <c r="L57" i="33"/>
  <c r="M55" i="32"/>
  <c r="J55" i="33"/>
  <c r="M56" i="33"/>
  <c r="L56" i="33"/>
  <c r="L24" i="33"/>
  <c r="L20" i="33"/>
  <c r="J49" i="33"/>
  <c r="M50" i="33"/>
  <c r="G58" i="33"/>
  <c r="L47" i="33"/>
  <c r="L43" i="33"/>
  <c r="J16" i="32"/>
  <c r="J64" i="32" s="1"/>
  <c r="J65" i="32" s="1"/>
  <c r="K21" i="32"/>
  <c r="H58" i="33"/>
  <c r="E74" i="33"/>
  <c r="M74" i="33"/>
  <c r="E73" i="33"/>
  <c r="M73" i="33"/>
  <c r="L35" i="33"/>
  <c r="E67" i="32"/>
  <c r="L67" i="32"/>
  <c r="I67" i="32"/>
  <c r="H68" i="33"/>
  <c r="H67" i="32"/>
  <c r="I62" i="33"/>
  <c r="H62" i="33"/>
  <c r="L74" i="33"/>
  <c r="E62" i="33"/>
  <c r="E58" i="33"/>
  <c r="L58" i="33"/>
  <c r="K76" i="33"/>
  <c r="E55" i="32"/>
  <c r="I55" i="32"/>
  <c r="L55" i="32"/>
  <c r="H55" i="32"/>
  <c r="K21" i="33"/>
  <c r="K35" i="33"/>
  <c r="K24" i="33"/>
  <c r="K20" i="33"/>
  <c r="L25" i="33"/>
  <c r="I21" i="33"/>
  <c r="H20" i="33"/>
  <c r="H33" i="33"/>
  <c r="M35" i="33"/>
  <c r="K74" i="33"/>
  <c r="M68" i="33"/>
  <c r="G25" i="33"/>
  <c r="M47" i="33"/>
  <c r="E43" i="33"/>
  <c r="M25" i="33"/>
  <c r="M40" i="33"/>
  <c r="L44" i="33"/>
  <c r="H25" i="33"/>
  <c r="M43" i="33"/>
  <c r="H44" i="33"/>
  <c r="I44" i="33"/>
  <c r="D38" i="33"/>
  <c r="I20" i="33"/>
  <c r="M44" i="33"/>
  <c r="M21" i="33"/>
  <c r="G73" i="33"/>
  <c r="M42" i="32"/>
  <c r="D40" i="32"/>
  <c r="E39" i="33"/>
  <c r="I39" i="33"/>
  <c r="M39" i="33"/>
  <c r="E42" i="32"/>
  <c r="H42" i="32"/>
  <c r="K22" i="33"/>
  <c r="M58" i="33"/>
  <c r="I27" i="32"/>
  <c r="E27" i="32"/>
  <c r="M22" i="33"/>
  <c r="H29" i="33"/>
  <c r="H27" i="33"/>
  <c r="I29" i="33"/>
  <c r="H35" i="33"/>
  <c r="I35" i="33"/>
  <c r="K58" i="33"/>
  <c r="K18" i="33"/>
  <c r="L27" i="32"/>
  <c r="M27" i="32"/>
  <c r="M32" i="33"/>
  <c r="M33" i="33"/>
  <c r="G19" i="33"/>
  <c r="I68" i="33"/>
  <c r="H19" i="33"/>
  <c r="H76" i="33"/>
  <c r="L73" i="33"/>
  <c r="G68" i="33"/>
  <c r="G32" i="33"/>
  <c r="K73" i="33"/>
  <c r="H70" i="33"/>
  <c r="G74" i="33"/>
  <c r="I23" i="33"/>
  <c r="I76" i="33"/>
  <c r="I63" i="33"/>
  <c r="K34" i="33"/>
  <c r="I74" i="33"/>
  <c r="I28" i="33"/>
  <c r="L70" i="33"/>
  <c r="H63" i="33"/>
  <c r="H23" i="33"/>
  <c r="E30" i="33"/>
  <c r="K23" i="33"/>
  <c r="H28" i="33"/>
  <c r="L21" i="32"/>
  <c r="J17" i="33"/>
  <c r="M69" i="33"/>
  <c r="L69" i="33"/>
  <c r="M70" i="33"/>
  <c r="I21" i="32"/>
  <c r="J26" i="33"/>
  <c r="L27" i="33"/>
  <c r="I73" i="33"/>
  <c r="E27" i="33"/>
  <c r="L33" i="33"/>
  <c r="I27" i="33"/>
  <c r="H69" i="33"/>
  <c r="L29" i="33"/>
  <c r="L28" i="33"/>
  <c r="I70" i="33"/>
  <c r="G69" i="33"/>
  <c r="M21" i="32"/>
  <c r="M31" i="33"/>
  <c r="G67" i="33"/>
  <c r="F26" i="33"/>
  <c r="G26" i="33" s="1"/>
  <c r="F17" i="33"/>
  <c r="E70" i="33"/>
  <c r="G34" i="33"/>
  <c r="D16" i="32"/>
  <c r="H18" i="33"/>
  <c r="H22" i="33"/>
  <c r="M27" i="33"/>
  <c r="H21" i="33"/>
  <c r="I34" i="33"/>
  <c r="I18" i="33"/>
  <c r="M29" i="33"/>
  <c r="I33" i="33"/>
  <c r="K32" i="33"/>
  <c r="E21" i="32"/>
  <c r="L68" i="33"/>
  <c r="L18" i="33"/>
  <c r="E28" i="33"/>
  <c r="D17" i="33"/>
  <c r="M63" i="33"/>
  <c r="M34" i="33"/>
  <c r="M76" i="33"/>
  <c r="L19" i="33"/>
  <c r="M23" i="33"/>
  <c r="I30" i="33"/>
  <c r="L30" i="33"/>
  <c r="G22" i="33"/>
  <c r="K31" i="33"/>
  <c r="J67" i="33"/>
  <c r="H24" i="33"/>
  <c r="I24" i="33"/>
  <c r="M19" i="33"/>
  <c r="H30" i="33"/>
  <c r="M30" i="33"/>
  <c r="M28" i="33"/>
  <c r="K19" i="33"/>
  <c r="I16" i="10" l="1"/>
  <c r="H16" i="10"/>
  <c r="E16" i="10"/>
  <c r="J16" i="33"/>
  <c r="I35" i="10"/>
  <c r="H35" i="10"/>
  <c r="N63" i="10"/>
  <c r="N64" i="10" s="1"/>
  <c r="F16" i="33"/>
  <c r="E49" i="33"/>
  <c r="E68" i="36"/>
  <c r="F8" i="36"/>
  <c r="I8" i="36"/>
  <c r="G4" i="30"/>
  <c r="E10" i="30"/>
  <c r="J71" i="32"/>
  <c r="J66" i="32"/>
  <c r="C79" i="36"/>
  <c r="D74" i="36"/>
  <c r="E38" i="33"/>
  <c r="D36" i="33"/>
  <c r="K65" i="32"/>
  <c r="J8" i="36"/>
  <c r="H68" i="36"/>
  <c r="G69" i="36"/>
  <c r="I42" i="36"/>
  <c r="E32" i="33"/>
  <c r="I32" i="33"/>
  <c r="L32" i="33"/>
  <c r="J36" i="33"/>
  <c r="M55" i="33"/>
  <c r="O16" i="10"/>
  <c r="P16" i="10"/>
  <c r="K9" i="10"/>
  <c r="K8" i="10"/>
  <c r="Q16" i="10"/>
  <c r="M16" i="10"/>
  <c r="L16" i="10"/>
  <c r="J63" i="10"/>
  <c r="K16" i="10"/>
  <c r="D36" i="10"/>
  <c r="L35" i="10"/>
  <c r="M35" i="10"/>
  <c r="Q35" i="10"/>
  <c r="E35" i="10"/>
  <c r="P35" i="10"/>
  <c r="D63" i="10"/>
  <c r="M38" i="33"/>
  <c r="F36" i="33"/>
  <c r="H55" i="33"/>
  <c r="J41" i="32"/>
  <c r="K41" i="32" s="1"/>
  <c r="L38" i="33"/>
  <c r="L55" i="33"/>
  <c r="I55" i="33"/>
  <c r="E55" i="33"/>
  <c r="I49" i="33"/>
  <c r="I38" i="33"/>
  <c r="K55" i="33"/>
  <c r="H49" i="33"/>
  <c r="I26" i="33"/>
  <c r="I67" i="33"/>
  <c r="K49" i="33"/>
  <c r="L49" i="33"/>
  <c r="M49" i="33"/>
  <c r="K16" i="32"/>
  <c r="H38" i="33"/>
  <c r="M40" i="32"/>
  <c r="I40" i="32"/>
  <c r="H40" i="32"/>
  <c r="L40" i="32"/>
  <c r="E40" i="32"/>
  <c r="D41" i="32"/>
  <c r="K17" i="33"/>
  <c r="H26" i="33"/>
  <c r="H67" i="33"/>
  <c r="I31" i="33"/>
  <c r="E31" i="33"/>
  <c r="K26" i="33"/>
  <c r="L26" i="33"/>
  <c r="M26" i="33"/>
  <c r="G17" i="33"/>
  <c r="L31" i="33"/>
  <c r="H31" i="33"/>
  <c r="M16" i="32"/>
  <c r="E16" i="32"/>
  <c r="L16" i="32"/>
  <c r="D64" i="32"/>
  <c r="D71" i="32" s="1"/>
  <c r="D76" i="32" s="1"/>
  <c r="I16" i="32"/>
  <c r="H16" i="32"/>
  <c r="L67" i="33"/>
  <c r="K67" i="33"/>
  <c r="M67" i="33"/>
  <c r="H17" i="33"/>
  <c r="D16" i="33"/>
  <c r="M17" i="33"/>
  <c r="L17" i="33"/>
  <c r="I17" i="33"/>
  <c r="E17" i="33"/>
  <c r="O64" i="10" l="1"/>
  <c r="N70" i="10"/>
  <c r="H36" i="10"/>
  <c r="I36" i="10"/>
  <c r="D70" i="10"/>
  <c r="I63" i="10"/>
  <c r="H63" i="10"/>
  <c r="E36" i="33"/>
  <c r="D64" i="33"/>
  <c r="D71" i="33" s="1"/>
  <c r="H69" i="36"/>
  <c r="I69" i="36"/>
  <c r="E17" i="30"/>
  <c r="G10" i="30"/>
  <c r="E69" i="36"/>
  <c r="F69" i="36" s="1"/>
  <c r="F68" i="36"/>
  <c r="E74" i="36"/>
  <c r="J68" i="36"/>
  <c r="C75" i="36"/>
  <c r="D75" i="36" s="1"/>
  <c r="D79" i="36"/>
  <c r="I68" i="36"/>
  <c r="J64" i="33"/>
  <c r="J65" i="33" s="1"/>
  <c r="L36" i="33"/>
  <c r="M63" i="10"/>
  <c r="E63" i="10"/>
  <c r="P63" i="10"/>
  <c r="P70" i="10"/>
  <c r="N65" i="10"/>
  <c r="O65" i="10" s="1"/>
  <c r="O63" i="10"/>
  <c r="J70" i="10"/>
  <c r="M70" i="10" s="1"/>
  <c r="K63" i="10"/>
  <c r="J65" i="10"/>
  <c r="K65" i="10" s="1"/>
  <c r="L63" i="10"/>
  <c r="Q63" i="10" s="1"/>
  <c r="D65" i="10"/>
  <c r="P36" i="10"/>
  <c r="Q36" i="10"/>
  <c r="E36" i="10"/>
  <c r="M36" i="10"/>
  <c r="L36" i="10"/>
  <c r="D75" i="10"/>
  <c r="E70" i="10"/>
  <c r="G36" i="33"/>
  <c r="H36" i="33"/>
  <c r="F37" i="33"/>
  <c r="G37" i="33" s="1"/>
  <c r="D37" i="33"/>
  <c r="E37" i="33" s="1"/>
  <c r="I36" i="33"/>
  <c r="K36" i="33"/>
  <c r="J37" i="33"/>
  <c r="M36" i="33"/>
  <c r="K66" i="32"/>
  <c r="K64" i="32"/>
  <c r="K71" i="32"/>
  <c r="I41" i="32"/>
  <c r="E41" i="32"/>
  <c r="H41" i="32"/>
  <c r="L41" i="32"/>
  <c r="M41" i="32"/>
  <c r="K16" i="33"/>
  <c r="H64" i="32"/>
  <c r="E64" i="32"/>
  <c r="M64" i="32"/>
  <c r="L64" i="32"/>
  <c r="I64" i="32"/>
  <c r="D66" i="32"/>
  <c r="G16" i="33"/>
  <c r="F64" i="33"/>
  <c r="F71" i="33" s="1"/>
  <c r="L16" i="33"/>
  <c r="M16" i="33"/>
  <c r="H16" i="33"/>
  <c r="I16" i="33"/>
  <c r="E16" i="33"/>
  <c r="D77" i="33" l="1"/>
  <c r="D72" i="33" s="1"/>
  <c r="I75" i="10"/>
  <c r="H75" i="10"/>
  <c r="E65" i="10"/>
  <c r="H65" i="10"/>
  <c r="I65" i="10"/>
  <c r="I70" i="10"/>
  <c r="H70" i="10"/>
  <c r="F66" i="33"/>
  <c r="G66" i="33" s="1"/>
  <c r="L37" i="33"/>
  <c r="F74" i="36"/>
  <c r="J74" i="36"/>
  <c r="E79" i="36"/>
  <c r="I74" i="36"/>
  <c r="K65" i="33"/>
  <c r="J66" i="33"/>
  <c r="K66" i="33" s="1"/>
  <c r="G17" i="30"/>
  <c r="E23" i="30"/>
  <c r="G23" i="30" s="1"/>
  <c r="J69" i="36"/>
  <c r="L70" i="10"/>
  <c r="Q70" i="10" s="1"/>
  <c r="P65" i="10"/>
  <c r="O70" i="10"/>
  <c r="P75" i="10"/>
  <c r="P71" i="10" s="1"/>
  <c r="M65" i="10"/>
  <c r="J75" i="10"/>
  <c r="M75" i="10" s="1"/>
  <c r="K70" i="10"/>
  <c r="H37" i="33"/>
  <c r="L65" i="10"/>
  <c r="Q65" i="10" s="1"/>
  <c r="E75" i="10"/>
  <c r="D71" i="10"/>
  <c r="I37" i="33"/>
  <c r="M37" i="33"/>
  <c r="K37" i="33"/>
  <c r="K64" i="33"/>
  <c r="G64" i="33"/>
  <c r="H66" i="32"/>
  <c r="L66" i="32"/>
  <c r="I66" i="32"/>
  <c r="E66" i="32"/>
  <c r="M66" i="32"/>
  <c r="M64" i="33"/>
  <c r="I64" i="33"/>
  <c r="H64" i="33"/>
  <c r="D66" i="33"/>
  <c r="E64" i="33"/>
  <c r="L64" i="33"/>
  <c r="I71" i="10" l="1"/>
  <c r="H71" i="10"/>
  <c r="F79" i="36"/>
  <c r="E75" i="36"/>
  <c r="I79" i="36"/>
  <c r="J79" i="36"/>
  <c r="O71" i="10"/>
  <c r="O75" i="10"/>
  <c r="L75" i="10"/>
  <c r="Q75" i="10" s="1"/>
  <c r="K75" i="10"/>
  <c r="J71" i="10"/>
  <c r="K71" i="10" s="1"/>
  <c r="E71" i="10"/>
  <c r="E66" i="33"/>
  <c r="H66" i="33"/>
  <c r="L66" i="33"/>
  <c r="M66" i="33"/>
  <c r="I66" i="33"/>
  <c r="E71" i="33"/>
  <c r="F75" i="36" l="1"/>
  <c r="J75" i="36"/>
  <c r="I75" i="36"/>
  <c r="J71" i="33"/>
  <c r="L71" i="33" s="1"/>
  <c r="M71" i="10"/>
  <c r="L71" i="10"/>
  <c r="Q71" i="10" s="1"/>
  <c r="K77" i="33"/>
  <c r="K71" i="33" l="1"/>
  <c r="M71" i="33"/>
  <c r="K72" i="33"/>
  <c r="E71" i="32"/>
  <c r="M71" i="32"/>
  <c r="L71" i="32"/>
  <c r="M76" i="32" l="1"/>
  <c r="E76" i="32"/>
  <c r="L76" i="32"/>
  <c r="M77" i="33" l="1"/>
  <c r="L77" i="33"/>
  <c r="E77" i="33"/>
  <c r="L72" i="32"/>
  <c r="H72" i="32"/>
  <c r="I72" i="32"/>
  <c r="M72" i="32"/>
  <c r="E72" i="32"/>
  <c r="E72" i="33" l="1"/>
  <c r="L72" i="33"/>
  <c r="M72" i="33"/>
  <c r="G71" i="33"/>
  <c r="I71" i="33"/>
  <c r="H71" i="33"/>
  <c r="G77" i="33"/>
  <c r="I77" i="33" l="1"/>
  <c r="H77" i="33"/>
  <c r="H72" i="33" l="1"/>
  <c r="I72" i="33"/>
  <c r="G72" i="33"/>
  <c r="G71" i="32"/>
  <c r="H71" i="32"/>
  <c r="I71" i="32"/>
  <c r="I76" i="32"/>
  <c r="H76" i="32"/>
  <c r="G76" i="32"/>
</calcChain>
</file>

<file path=xl/sharedStrings.xml><?xml version="1.0" encoding="utf-8"?>
<sst xmlns="http://schemas.openxmlformats.org/spreadsheetml/2006/main" count="1265" uniqueCount="481">
  <si>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</si>
  <si>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</si>
  <si>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</si>
  <si>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</si>
  <si>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</si>
  <si>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</si>
  <si>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</si>
  <si>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</si>
  <si>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</si>
  <si>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</si>
  <si>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</si>
  <si>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</si>
  <si>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</si>
  <si>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</si>
  <si>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</si>
  <si>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</si>
  <si>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</si>
  <si>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</si>
  <si>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</si>
  <si>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</si>
  <si>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</si>
  <si>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</si>
  <si>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</si>
  <si>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</si>
  <si>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</si>
  <si>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</si>
  <si>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</si>
  <si>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</si>
  <si>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</si>
  <si>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</si>
  <si>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</si>
  <si>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</si>
  <si>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</si>
  <si>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</si>
  <si>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</si>
  <si>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</si>
  <si>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</si>
  <si>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</si>
  <si>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</si>
  <si>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</si>
  <si>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</si>
  <si>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</si>
  <si>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</si>
  <si>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</si>
  <si>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</si>
  <si>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</si>
  <si>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</si>
  <si>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</si>
  <si>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</si>
  <si>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</si>
  <si>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</si>
  <si>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</si>
  <si>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</si>
  <si>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</si>
  <si>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</si>
  <si>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</si>
  <si>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</si>
  <si>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</si>
  <si>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</si>
  <si>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</si>
  <si>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</si>
  <si>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</si>
  <si>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</si>
  <si>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</si>
  <si>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</si>
  <si>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</si>
  <si>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</si>
  <si>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</si>
  <si>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</si>
  <si>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</si>
  <si>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</si>
  <si>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</si>
  <si>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</si>
  <si>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</si>
  <si>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</si>
  <si>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</si>
  <si>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</si>
  <si>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</si>
  <si>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</si>
  <si>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</si>
  <si>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</si>
  <si>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</si>
  <si>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</si>
  <si>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</si>
  <si>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</si>
  <si>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</si>
  <si>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</si>
  <si>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</si>
  <si>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</si>
  <si>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</si>
  <si>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</si>
  <si>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</si>
  <si>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</si>
  <si>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</si>
  <si>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</si>
  <si>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</si>
  <si>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</si>
  <si>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</si>
  <si>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</si>
  <si>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</si>
  <si>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</si>
  <si>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</si>
  <si>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</si>
  <si>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</si>
  <si>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</si>
  <si>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</si>
  <si>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</si>
  <si>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</si>
  <si>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</si>
  <si>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</si>
  <si>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</si>
  <si>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</si>
  <si>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</si>
  <si>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</si>
  <si>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</si>
  <si>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</si>
  <si>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</si>
  <si>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</si>
  <si>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</si>
  <si>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</si>
  <si>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</si>
  <si>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</si>
  <si>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</si>
  <si>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</si>
  <si>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</si>
  <si>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</si>
  <si>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</si>
  <si>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</si>
  <si>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</si>
  <si>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</si>
  <si>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</si>
  <si>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</si>
  <si>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</si>
  <si>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</si>
  <si>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</si>
  <si>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</si>
  <si>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</si>
  <si>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</si>
  <si>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</si>
  <si>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</si>
  <si>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</si>
  <si>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</si>
  <si>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</si>
  <si>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</si>
  <si>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</si>
  <si>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</si>
  <si>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</si>
  <si>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</si>
  <si>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</si>
  <si>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</si>
  <si>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</si>
  <si>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</si>
  <si>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</si>
  <si>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</si>
  <si>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</si>
  <si>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</si>
  <si>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</si>
  <si>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</si>
  <si>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</si>
  <si>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</si>
  <si>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</si>
  <si>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</si>
  <si>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</si>
  <si>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</si>
  <si>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</si>
  <si>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</si>
  <si>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</si>
  <si>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</si>
  <si>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</si>
  <si>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</si>
  <si>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</si>
  <si>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</si>
  <si>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</si>
  <si>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</si>
  <si>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</si>
  <si>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</si>
  <si>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</si>
  <si>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</si>
  <si>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</si>
  <si>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</si>
  <si>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</si>
  <si>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</si>
  <si>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</si>
  <si>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</si>
  <si>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</si>
  <si>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</si>
  <si>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</si>
  <si>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</si>
  <si>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</si>
  <si>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</si>
  <si>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</si>
  <si>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</si>
  <si>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</si>
  <si>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</si>
  <si>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</si>
  <si>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</si>
  <si>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</si>
  <si>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</si>
  <si>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</si>
  <si>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</si>
  <si>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</si>
  <si>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</si>
  <si>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</si>
  <si>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</si>
  <si>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</si>
  <si>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</si>
  <si>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</si>
  <si>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</si>
  <si>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</si>
  <si>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</si>
  <si>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</si>
  <si>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</si>
  <si>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</si>
  <si>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</si>
  <si>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</si>
  <si>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</si>
  <si>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</si>
  <si>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</si>
  <si>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</si>
  <si>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</si>
  <si>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</si>
  <si>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</si>
  <si>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</si>
  <si>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</si>
  <si>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</si>
  <si>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</si>
  <si>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</si>
  <si>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</si>
  <si>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</si>
  <si>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</si>
  <si>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</si>
  <si>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</si>
  <si>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</si>
  <si>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</si>
  <si>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</si>
  <si>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</si>
  <si>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</si>
  <si>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</si>
  <si>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</si>
  <si>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</si>
  <si>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</si>
  <si>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</si>
  <si>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</si>
  <si>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</si>
  <si>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</si>
  <si>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</si>
  <si>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</si>
  <si>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</si>
  <si>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</si>
  <si>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</si>
  <si>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</si>
  <si>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</si>
  <si>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</si>
  <si>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</si>
  <si>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</si>
  <si>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</si>
  <si>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</si>
  <si>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</si>
  <si>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</si>
  <si>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</si>
  <si>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</si>
  <si>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</si>
  <si>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</si>
  <si>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</si>
  <si>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</si>
  <si>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</si>
  <si>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</si>
  <si>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</si>
  <si>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</si>
  <si>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</si>
  <si>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</si>
  <si>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</si>
  <si>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</si>
  <si>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</si>
  <si>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</si>
  <si>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</si>
  <si>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</si>
  <si>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</si>
  <si>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</si>
  <si>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</si>
  <si>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</si>
  <si>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</si>
  <si>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</si>
  <si>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</si>
  <si>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</si>
  <si>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</si>
  <si>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</si>
  <si>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</si>
  <si>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</si>
  <si>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</si>
  <si>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</si>
  <si>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</si>
  <si>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</si>
  <si>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</si>
  <si>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</si>
  <si>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</si>
  <si>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</si>
  <si>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</si>
  <si>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</si>
  <si>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</si>
  <si>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</si>
  <si>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</si>
  <si>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</si>
  <si>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</si>
  <si>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</si>
  <si>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</si>
  <si>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</si>
  <si>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</si>
  <si>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</si>
  <si>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</si>
  <si>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</si>
  <si>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</si>
  <si>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</si>
  <si>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</si>
  <si>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</si>
  <si>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</si>
  <si>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</si>
  <si>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</si>
  <si>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</si>
  <si>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</si>
  <si>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</si>
  <si>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</si>
  <si>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</si>
  <si>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</si>
  <si>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</si>
  <si>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</si>
  <si>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</si>
  <si>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</si>
  <si>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</si>
  <si>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</si>
  <si>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</si>
  <si>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</si>
  <si>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</si>
  <si>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</si>
  <si>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</si>
  <si>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</si>
  <si>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</si>
  <si>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</si>
  <si>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</si>
  <si>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</si>
  <si>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</si>
  <si>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</si>
  <si>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</si>
  <si>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</si>
  <si>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</si>
  <si>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</si>
  <si>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</si>
  <si>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</si>
  <si>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</si>
  <si>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</si>
  <si>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</si>
  <si>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</si>
  <si>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</si>
  <si>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</si>
  <si>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</si>
  <si>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</si>
  <si>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</si>
  <si>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</si>
  <si>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</si>
  <si>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</si>
  <si>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</si>
  <si>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</si>
  <si>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</si>
  <si>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</si>
  <si>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</si>
  <si>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</si>
  <si>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</si>
  <si>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</si>
  <si>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</si>
  <si>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</si>
  <si>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</si>
  <si>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</si>
  <si>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</si>
  <si>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</si>
  <si>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</si>
  <si>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</si>
  <si>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</si>
  <si>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</si>
  <si>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</si>
  <si>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</si>
  <si>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</si>
  <si>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</si>
  <si>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</si>
  <si>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</si>
  <si>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</si>
  <si>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</si>
  <si>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</si>
  <si>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</si>
  <si>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</si>
  <si>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</si>
  <si>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</si>
  <si>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</si>
  <si>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</si>
  <si>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</si>
  <si>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</si>
  <si>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</si>
  <si>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</si>
  <si>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</si>
  <si>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</si>
  <si>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</si>
  <si>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</si>
  <si>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</si>
  <si>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</si>
  <si>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</si>
  <si>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</si>
  <si>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</si>
  <si>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</si>
  <si>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</si>
  <si>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</si>
  <si>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</si>
  <si>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</si>
  <si>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</si>
  <si>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</si>
  <si>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</si>
  <si>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</si>
  <si>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</si>
  <si>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</si>
  <si>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</si>
  <si>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</si>
  <si>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</si>
  <si>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</si>
  <si>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</si>
  <si>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</si>
  <si>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</si>
  <si>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</si>
  <si>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</si>
  <si>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</si>
  <si>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</si>
  <si>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</si>
  <si>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</si>
  <si>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</si>
  <si>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</si>
  <si>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</si>
  <si>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</si>
  <si>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</si>
  <si>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</si>
  <si>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</si>
  <si>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</si>
  <si>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</si>
  <si>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</si>
  <si>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</si>
  <si>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</si>
  <si>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</si>
  <si>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</si>
  <si>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</si>
  <si>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Naknada za komunalno opremanje građevinskog zemljišta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</si>
  <si>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</si>
  <si>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</si>
  <si>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</si>
  <si>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</si>
  <si>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</si>
  <si>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</si>
  <si>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</si>
  <si>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</si>
  <si>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</si>
  <si>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</si>
  <si>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</si>
  <si>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</si>
  <si>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</si>
  <si>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</si>
  <si>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</si>
  <si>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Plan 2016</t>
  </si>
  <si>
    <t>Ostali državni prihodi</t>
  </si>
  <si>
    <t>Other State revenues</t>
  </si>
  <si>
    <t>Ostali transferi</t>
  </si>
  <si>
    <t>Ostvarenje 2016</t>
  </si>
  <si>
    <t>Ostvarenje 2015</t>
  </si>
  <si>
    <t xml:space="preserve">Receipts from repayment of loans </t>
  </si>
  <si>
    <t>Receipts from repayment of loans</t>
  </si>
  <si>
    <t>Primici od otplate kredita</t>
  </si>
  <si>
    <t>Neto povećanje obaveza *</t>
  </si>
  <si>
    <t>Transferi</t>
  </si>
  <si>
    <t>* Podaci o neto povećanju obaveza biće sastavni dio Zakona o završnom računu budžetu za 2016. godinu.</t>
  </si>
  <si>
    <t xml:space="preserve">     </t>
  </si>
  <si>
    <t>Korigovani suficit/deficit</t>
  </si>
  <si>
    <t>Korigovani suficit/dficit</t>
  </si>
  <si>
    <t xml:space="preserve">Korigovani suficit/deficit </t>
  </si>
  <si>
    <t>Plan 2016- Zakon o izmjenama i dopunama Zakona o budžetu za 2016. godinu</t>
  </si>
  <si>
    <t>Plan 2016 - Zakon o budžetu za 2016. godinu</t>
  </si>
  <si>
    <t>mil.€</t>
  </si>
  <si>
    <t xml:space="preserve"> Ostvarenje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</si>
</sst>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  <font>
      <sz val="10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0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75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7" fillId="2" borderId="30" xfId="0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9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7" fillId="2" borderId="12" xfId="0" applyNumberFormat="1" applyFont="1" applyFill="1" applyBorder="1" applyAlignment="1">
      <alignment vertical="center"/>
    </xf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7" fillId="14" borderId="12" xfId="0" applyNumberFormat="1" applyFont="1" applyFill="1" applyBorder="1" applyAlignment="1">
      <alignment vertical="center"/>
    </xf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9" fillId="14" borderId="13" xfId="0" applyNumberFormat="1" applyFont="1" applyFill="1" applyBorder="1"/>
    <xf numFmtId="167" fontId="27" fillId="14" borderId="34" xfId="0" applyNumberFormat="1" applyFont="1" applyFill="1" applyBorder="1"/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7" fillId="2" borderId="12" xfId="36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2" fontId="43" fillId="2" borderId="0" xfId="22" applyNumberFormat="1" applyFont="1" applyFill="1"/>
    <xf numFmtId="165" fontId="16" fillId="2" borderId="30" xfId="36" applyNumberFormat="1" applyFont="1" applyFill="1" applyBorder="1" applyAlignment="1">
      <alignment vertical="center"/>
    </xf>
    <xf numFmtId="165" fontId="29" fillId="15" borderId="5" xfId="36" applyNumberFormat="1" applyFont="1" applyFill="1" applyBorder="1" applyAlignment="1">
      <alignment vertical="center"/>
    </xf>
    <xf numFmtId="0" fontId="27" fillId="0" borderId="0" xfId="22" applyFont="1" applyFill="1"/>
    <xf numFmtId="0" fontId="27" fillId="2" borderId="0" xfId="22" applyFont="1" applyFill="1" applyAlignment="1">
      <alignment horizontal="right"/>
    </xf>
    <xf numFmtId="165" fontId="16" fillId="2" borderId="30" xfId="0" applyNumberFormat="1" applyFont="1" applyFill="1" applyBorder="1"/>
    <xf numFmtId="49" fontId="44" fillId="2" borderId="0" xfId="22" applyNumberFormat="1" applyFont="1" applyFill="1" applyBorder="1" applyAlignment="1">
      <alignment wrapText="1"/>
    </xf>
    <xf numFmtId="0" fontId="45" fillId="2" borderId="0" xfId="39" applyFont="1" applyFill="1" applyBorder="1"/>
    <xf numFmtId="49" fontId="27" fillId="2" borderId="0" xfId="22" applyNumberFormat="1" applyFont="1" applyFill="1"/>
    <xf numFmtId="165" fontId="29" fillId="2" borderId="0" xfId="36" applyNumberFormat="1" applyFont="1" applyFill="1" applyBorder="1" applyAlignment="1">
      <alignment vertical="center"/>
    </xf>
    <xf numFmtId="165" fontId="29" fillId="2" borderId="21" xfId="36" applyNumberFormat="1" applyFont="1" applyFill="1" applyBorder="1" applyAlignment="1">
      <alignment vertical="center"/>
    </xf>
    <xf numFmtId="2" fontId="27" fillId="2" borderId="0" xfId="22" applyNumberFormat="1" applyFont="1" applyFill="1" applyAlignment="1">
      <alignment wrapText="1"/>
    </xf>
    <xf numFmtId="1" fontId="27" fillId="2" borderId="0" xfId="22" applyNumberFormat="1" applyFont="1" applyFill="1"/>
    <xf numFmtId="165" fontId="27" fillId="16" borderId="0" xfId="39" applyNumberFormat="1" applyFont="1" applyFill="1" applyBorder="1"/>
    <xf numFmtId="0" fontId="46" fillId="16" borderId="0" xfId="39" applyFont="1" applyFill="1"/>
    <xf numFmtId="165" fontId="46" fillId="16" borderId="0" xfId="36" applyNumberFormat="1" applyFont="1" applyFill="1" applyBorder="1" applyAlignment="1">
      <alignment vertical="center"/>
    </xf>
    <xf numFmtId="0" fontId="46" fillId="16" borderId="0" xfId="39" applyFont="1" applyFill="1" applyBorder="1"/>
    <xf numFmtId="165" fontId="46" fillId="16" borderId="0" xfId="39" applyNumberFormat="1" applyFont="1" applyFill="1" applyBorder="1"/>
    <xf numFmtId="0" fontId="27" fillId="16" borderId="16" xfId="22" applyFont="1" applyFill="1" applyBorder="1"/>
    <xf numFmtId="165" fontId="27" fillId="2" borderId="29" xfId="0" applyNumberFormat="1" applyFont="1" applyFill="1" applyBorder="1"/>
    <xf numFmtId="166" fontId="47" fillId="2" borderId="30" xfId="36" applyNumberFormat="1" applyFont="1" applyFill="1" applyBorder="1" applyAlignment="1">
      <alignment vertical="center"/>
    </xf>
    <xf numFmtId="166" fontId="29" fillId="8" borderId="5" xfId="0" applyNumberFormat="1" applyFont="1" applyFill="1" applyBorder="1"/>
    <xf numFmtId="49" fontId="29" fillId="6" borderId="10" xfId="0" applyNumberFormat="1" applyFont="1" applyFill="1" applyBorder="1" applyAlignment="1">
      <alignment horizontal="left" vertical="center" wrapText="1"/>
    </xf>
    <xf numFmtId="49" fontId="29" fillId="8" borderId="10" xfId="0" applyNumberFormat="1" applyFont="1" applyFill="1" applyBorder="1" applyAlignment="1">
      <alignment vertical="center" wrapText="1"/>
    </xf>
    <xf numFmtId="2" fontId="29" fillId="5" borderId="6" xfId="36" applyNumberFormat="1" applyFont="1" applyFill="1" applyBorder="1" applyAlignment="1">
      <alignment vertical="center"/>
    </xf>
    <xf numFmtId="165" fontId="38" fillId="2" borderId="22" xfId="36" applyNumberFormat="1" applyFont="1" applyFill="1" applyBorder="1" applyAlignment="1">
      <alignment horizontal="center" wrapText="1"/>
    </xf>
    <xf numFmtId="167" fontId="17" fillId="2" borderId="12" xfId="22" applyNumberFormat="1" applyFont="1" applyFill="1" applyBorder="1" applyAlignment="1">
      <alignment vertical="center"/>
    </xf>
    <xf numFmtId="166" fontId="27" fillId="8" borderId="6" xfId="0" applyNumberFormat="1" applyFont="1" applyFill="1" applyBorder="1" applyAlignment="1">
      <alignment vertical="center"/>
    </xf>
    <xf numFmtId="166" fontId="27" fillId="8" borderId="24" xfId="0" applyNumberFormat="1" applyFont="1" applyFill="1" applyBorder="1" applyAlignment="1">
      <alignment vertical="center"/>
    </xf>
    <xf numFmtId="166" fontId="27" fillId="5" borderId="24" xfId="0" applyNumberFormat="1" applyFont="1" applyFill="1" applyBorder="1" applyAlignment="1" applyProtection="1">
      <alignment vertical="center"/>
      <protection hidden="1"/>
    </xf>
    <xf numFmtId="166" fontId="27" fillId="5" borderId="6" xfId="0" applyNumberFormat="1" applyFont="1" applyFill="1" applyBorder="1" applyAlignment="1" applyProtection="1">
      <alignment vertical="center"/>
      <protection hidden="1"/>
    </xf>
    <xf numFmtId="166" fontId="27" fillId="6" borderId="6" xfId="0" applyNumberFormat="1" applyFont="1" applyFill="1" applyBorder="1" applyAlignment="1">
      <alignment vertical="center"/>
    </xf>
    <xf numFmtId="166" fontId="27" fillId="6" borderId="24" xfId="0" applyNumberFormat="1" applyFont="1" applyFill="1" applyBorder="1" applyAlignment="1">
      <alignment vertical="center"/>
    </xf>
    <xf numFmtId="165" fontId="17" fillId="2" borderId="5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5" borderId="26" xfId="36" applyFont="1" applyFill="1" applyBorder="1" applyAlignment="1">
      <alignment horizontal="center" vertical="center" wrapText="1"/>
    </xf>
    <xf numFmtId="0" fontId="29" fillId="5" borderId="27" xfId="36" applyFont="1" applyFill="1" applyBorder="1" applyAlignment="1">
      <alignment horizontal="center" vertical="center" wrapText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5" fontId="38" fillId="2" borderId="22" xfId="36" applyNumberFormat="1" applyFont="1" applyFill="1" applyBorder="1" applyAlignment="1">
      <alignment horizontal="center" wrapText="1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CCFFFF"/>
      <color rgb="FF7E0000"/>
      <color rgb="FFCCEC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311E-2"/>
          <c:w val="0.91423489152463533"/>
          <c:h val="0.80647637795275007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7A-409B-913D-69C80085FFC7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7A-409B-913D-69C80085FFC7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7A-409B-913D-69C80085FFC7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B7A-409B-913D-69C80085FFC7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B7A-409B-913D-69C80085F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4425536"/>
        <c:axId val="-64419008"/>
      </c:lineChart>
      <c:catAx>
        <c:axId val="-6442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4419008"/>
        <c:crosses val="autoZero"/>
        <c:auto val="1"/>
        <c:lblAlgn val="ctr"/>
        <c:lblOffset val="100"/>
        <c:noMultiLvlLbl val="0"/>
      </c:catAx>
      <c:valAx>
        <c:axId val="-6441900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442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81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D01-48EC-9E8A-97ECFE81E0B5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1-48EC-9E8A-97ECFE81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5136848"/>
        <c:axId val="-65135760"/>
      </c:lineChart>
      <c:catAx>
        <c:axId val="-651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65135760"/>
        <c:crosses val="autoZero"/>
        <c:auto val="1"/>
        <c:lblAlgn val="ctr"/>
        <c:lblOffset val="100"/>
        <c:noMultiLvlLbl val="0"/>
      </c:catAx>
      <c:valAx>
        <c:axId val="-65135760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-651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43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x-none" sz="800" i="1"/>
            <a:t>Ostvarenje</a:t>
          </a:r>
          <a:r>
            <a:rPr lang="x-none" sz="800" i="1" baseline="0"/>
            <a:t> prihoda </a:t>
          </a:r>
        </a:p>
        <a:p xmlns:a="http://schemas.openxmlformats.org/drawingml/2006/main">
          <a:pPr algn="r"/>
          <a:r>
            <a:rPr lang="x-non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V83"/>
  <sheetViews>
    <sheetView tabSelected="1" zoomScaleNormal="100" workbookViewId="0">
      <selection activeCell="B16" sqref="B16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8.85546875" style="80" customWidth="1"/>
    <col min="5" max="5" width="7.7109375" style="80" customWidth="1"/>
    <col min="6" max="6" width="9.85546875" style="80" customWidth="1"/>
    <col min="7" max="9" width="7.7109375" style="80" customWidth="1"/>
    <col min="10" max="10" width="7.85546875" style="80" customWidth="1"/>
    <col min="11" max="11" width="8.140625" style="80" customWidth="1"/>
    <col min="12" max="13" width="7.7109375" style="80" customWidth="1"/>
    <col min="14" max="14" width="9.42578125" style="80" customWidth="1"/>
    <col min="15" max="17" width="7.7109375" style="80" customWidth="1"/>
    <col min="18" max="66" width="9.140625" style="80" customWidth="1"/>
    <col min="67" max="67" width="9.140625" style="80"/>
    <col min="68" max="68" width="15.42578125" style="80" customWidth="1"/>
    <col min="69" max="69" width="12.7109375" style="80" customWidth="1"/>
    <col min="70" max="70" width="11.85546875" style="80" customWidth="1"/>
    <col min="71" max="16384" width="9.140625" style="80"/>
  </cols>
  <sheetData>
    <row r="1" spans="2:6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</row>
    <row r="2" spans="2:66" ht="15" hidden="1" customHeight="1">
      <c r="C2" s="81"/>
      <c r="D2" s="116"/>
      <c r="E2" s="116"/>
      <c r="F2" s="116"/>
      <c r="G2" s="116"/>
      <c r="H2" s="116"/>
      <c r="I2" s="116"/>
      <c r="J2" s="116"/>
      <c r="K2" s="123">
        <v>2014</v>
      </c>
      <c r="L2" s="123"/>
      <c r="M2" s="123"/>
      <c r="N2" s="124">
        <v>2017</v>
      </c>
      <c r="P2" s="123"/>
      <c r="Q2" s="123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</row>
    <row r="3" spans="2:66" ht="15" hidden="1" customHeight="1">
      <c r="C3" s="81"/>
      <c r="D3" s="117"/>
      <c r="E3" s="117"/>
      <c r="F3" s="117"/>
      <c r="G3" s="117"/>
      <c r="H3" s="117"/>
      <c r="I3" s="117"/>
      <c r="J3" s="117"/>
      <c r="K3" s="118">
        <v>5.4037200000000007</v>
      </c>
      <c r="L3" s="118"/>
      <c r="M3" s="118"/>
      <c r="N3" s="119">
        <v>6.0799999999999965</v>
      </c>
      <c r="P3" s="118"/>
      <c r="Q3" s="118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</row>
    <row r="4" spans="2:66" ht="15" hidden="1" customHeight="1">
      <c r="C4" s="81"/>
      <c r="D4" s="112"/>
      <c r="E4" s="112"/>
      <c r="F4" s="112"/>
      <c r="G4" s="112"/>
      <c r="H4" s="112"/>
      <c r="I4" s="112"/>
      <c r="J4" s="112"/>
      <c r="K4" s="110">
        <v>3.54</v>
      </c>
      <c r="L4" s="110"/>
      <c r="M4" s="110"/>
      <c r="N4" s="111">
        <v>4</v>
      </c>
      <c r="P4" s="110"/>
      <c r="Q4" s="110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</row>
    <row r="5" spans="2:66" ht="15" hidden="1" customHeight="1">
      <c r="C5" s="81"/>
      <c r="D5" s="120"/>
      <c r="E5" s="120"/>
      <c r="F5" s="120"/>
      <c r="G5" s="120"/>
      <c r="H5" s="120"/>
      <c r="I5" s="120"/>
      <c r="J5" s="120"/>
      <c r="K5" s="121">
        <v>1.8</v>
      </c>
      <c r="L5" s="121"/>
      <c r="M5" s="121"/>
      <c r="N5" s="131">
        <v>2</v>
      </c>
      <c r="P5" s="121"/>
      <c r="Q5" s="12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</row>
    <row r="6" spans="2:66" ht="15" hidden="1" customHeight="1">
      <c r="C6" s="81"/>
      <c r="D6" s="122"/>
      <c r="E6" s="122"/>
      <c r="F6" s="122"/>
      <c r="G6" s="122"/>
      <c r="H6" s="122"/>
      <c r="I6" s="122"/>
      <c r="J6" s="122"/>
      <c r="K6" s="130">
        <v>2.3E-2</v>
      </c>
      <c r="L6" s="130"/>
      <c r="M6" s="130"/>
      <c r="N6" s="130">
        <v>5.1999999999999998E-2</v>
      </c>
      <c r="P6" s="130"/>
      <c r="Q6" s="130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</row>
    <row r="7" spans="2:66" ht="15" hidden="1" customHeight="1">
      <c r="C7" s="81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P7" s="113"/>
      <c r="Q7" s="113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</row>
    <row r="8" spans="2:66" ht="15" hidden="1" customHeight="1">
      <c r="C8" s="81"/>
      <c r="D8" s="109"/>
      <c r="E8" s="109"/>
      <c r="F8" s="109"/>
      <c r="G8" s="109"/>
      <c r="H8" s="109"/>
      <c r="I8" s="109"/>
      <c r="J8" s="109"/>
      <c r="K8" s="125">
        <f>+N16/J16*100-100</f>
        <v>-9.0340326130526876</v>
      </c>
      <c r="L8" s="125"/>
      <c r="M8" s="125"/>
      <c r="N8" s="127" t="e">
        <f>+#REF!/#REF!*100-100</f>
        <v>#REF!</v>
      </c>
      <c r="P8" s="125"/>
      <c r="Q8" s="125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</row>
    <row r="9" spans="2:66" ht="15" hidden="1" customHeight="1">
      <c r="C9" s="81"/>
      <c r="D9" s="115"/>
      <c r="E9" s="115"/>
      <c r="F9" s="115"/>
      <c r="G9" s="115"/>
      <c r="H9" s="115"/>
      <c r="I9" s="115"/>
      <c r="J9" s="115"/>
      <c r="K9" s="126" t="e">
        <f>+N16/#REF!*100-100</f>
        <v>#REF!</v>
      </c>
      <c r="L9" s="126"/>
      <c r="M9" s="126"/>
      <c r="N9" s="128" t="e">
        <f>+#REF!/#REF!*100-100</f>
        <v>#REF!</v>
      </c>
      <c r="P9" s="126"/>
      <c r="Q9" s="126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</row>
    <row r="10" spans="2:6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</row>
    <row r="11" spans="2:66" ht="18.75" customHeight="1" thickTop="1" thickBot="1">
      <c r="C11" s="178" t="str">
        <f>IF(MasterSheet!$A$1=1,MasterSheet!B67,MasterSheet!B66)</f>
        <v>BDP (u mil. €)</v>
      </c>
      <c r="D11" s="333">
        <v>3729500000</v>
      </c>
      <c r="E11" s="334"/>
      <c r="F11" s="334"/>
      <c r="G11" s="334"/>
      <c r="H11" s="334"/>
      <c r="I11" s="334"/>
      <c r="J11" s="334"/>
      <c r="K11" s="335"/>
      <c r="L11" s="338"/>
      <c r="M11" s="344"/>
      <c r="N11" s="327">
        <v>3625000000</v>
      </c>
      <c r="O11" s="326"/>
      <c r="P11" s="338"/>
      <c r="Q11" s="339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</row>
    <row r="12" spans="2:66" ht="19.5" customHeight="1" thickTop="1">
      <c r="C12" s="81"/>
      <c r="D12" s="235"/>
      <c r="E12" s="235"/>
      <c r="F12" s="235"/>
      <c r="G12" s="235"/>
      <c r="H12" s="235"/>
      <c r="I12" s="235"/>
      <c r="J12" s="83"/>
      <c r="K12" s="83"/>
      <c r="L12" s="82"/>
      <c r="M12" s="82"/>
      <c r="N12" s="82"/>
      <c r="O12" s="82"/>
      <c r="P12" s="82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</row>
    <row r="13" spans="2:66" ht="17.25" customHeight="1" thickBot="1">
      <c r="B13" s="85"/>
      <c r="C13" s="86"/>
      <c r="D13" s="346"/>
      <c r="E13" s="346"/>
      <c r="F13" s="322"/>
      <c r="G13" s="322"/>
      <c r="H13" s="322"/>
      <c r="I13" s="322"/>
      <c r="J13" s="234"/>
      <c r="K13" s="234"/>
      <c r="L13" s="234"/>
      <c r="M13" s="234"/>
      <c r="N13" s="345"/>
      <c r="O13" s="345"/>
      <c r="P13" s="162"/>
      <c r="Q13" s="162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</row>
    <row r="14" spans="2:66" ht="63.75" customHeight="1" thickTop="1">
      <c r="B14" s="87"/>
      <c r="C14" s="336" t="str">
        <f>IF(MasterSheet!$A$1=1,MasterSheet!B71,MasterSheet!B70)</f>
        <v>Budžet Crne Gore</v>
      </c>
      <c r="D14" s="331" t="s">
        <v>465</v>
      </c>
      <c r="E14" s="332"/>
      <c r="F14" s="340" t="s">
        <v>477</v>
      </c>
      <c r="G14" s="341"/>
      <c r="H14" s="331" t="s">
        <v>447</v>
      </c>
      <c r="I14" s="332"/>
      <c r="J14" s="340" t="s">
        <v>478</v>
      </c>
      <c r="K14" s="341"/>
      <c r="L14" s="331" t="s">
        <v>447</v>
      </c>
      <c r="M14" s="332"/>
      <c r="N14" s="331" t="s">
        <v>466</v>
      </c>
      <c r="O14" s="332"/>
      <c r="P14" s="342" t="str">
        <f>+L14</f>
        <v>Odstupanje</v>
      </c>
      <c r="Q14" s="343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</row>
    <row r="15" spans="2:66" ht="15" customHeight="1" thickBot="1">
      <c r="C15" s="337" t="str">
        <f>IF(MasterSheet!$A$1=1,MasterSheet!B71,MasterSheet!B70)</f>
        <v>Budžet Crne Gore</v>
      </c>
      <c r="D15" s="88" t="str">
        <f>+J15</f>
        <v>mil. €</v>
      </c>
      <c r="E15" s="199" t="str">
        <f>+K15</f>
        <v>% BDP</v>
      </c>
      <c r="F15" s="88" t="s">
        <v>479</v>
      </c>
      <c r="G15" s="89" t="s">
        <v>149</v>
      </c>
      <c r="H15" s="88" t="s">
        <v>479</v>
      </c>
      <c r="I15" s="198" t="s">
        <v>149</v>
      </c>
      <c r="J15" s="88" t="s">
        <v>262</v>
      </c>
      <c r="K15" s="89" t="s">
        <v>149</v>
      </c>
      <c r="L15" s="88" t="s">
        <v>262</v>
      </c>
      <c r="M15" s="198" t="s">
        <v>441</v>
      </c>
      <c r="N15" s="88" t="s">
        <v>262</v>
      </c>
      <c r="O15" s="89" t="s">
        <v>149</v>
      </c>
      <c r="P15" s="200" t="s">
        <v>262</v>
      </c>
      <c r="Q15" s="129" t="s">
        <v>441</v>
      </c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</row>
    <row r="16" spans="2:66" ht="15" customHeight="1" thickTop="1" thickBot="1">
      <c r="B16" s="80">
        <v>7</v>
      </c>
      <c r="C16" s="90" t="str">
        <f>IF(MasterSheet!$A$1=1,MasterSheet!C72,MasterSheet!B72)</f>
        <v>Izvorni prihodi</v>
      </c>
      <c r="D16" s="163">
        <f>+D17+D25+SUM(D30:D34)</f>
        <v>1486439758.6800001</v>
      </c>
      <c r="E16" s="241">
        <f>+D16/$D$11*100</f>
        <v>39.856274532242928</v>
      </c>
      <c r="F16" s="163">
        <f>+F17+F25+SUM(F30:F34)</f>
        <v>1484086796.9252129</v>
      </c>
      <c r="G16" s="241">
        <f>+F16/$D$11*100</f>
        <v>39.793183990487009</v>
      </c>
      <c r="H16" s="163">
        <f>D16-F16</f>
        <v>2352961.7547872066</v>
      </c>
      <c r="I16" s="244">
        <f>D16/F16*100-100</f>
        <v>0.15854610118910273</v>
      </c>
      <c r="J16" s="163">
        <f>+J17+J25+SUM(J30:J34)</f>
        <v>1458466803.7734396</v>
      </c>
      <c r="K16" s="241">
        <f>+J16/$D$11*100</f>
        <v>39.106228818164354</v>
      </c>
      <c r="L16" s="163">
        <f>+D16-J16</f>
        <v>27972954.906560421</v>
      </c>
      <c r="M16" s="244">
        <f>+IF(ISNUMBER(D16/J16*100-100),D16/J16*100-100,"...")</f>
        <v>1.9179699417351799</v>
      </c>
      <c r="N16" s="163">
        <f>+N17+N25+SUM(N30:N34)</f>
        <v>1326708437.0699999</v>
      </c>
      <c r="O16" s="241">
        <f>+N16/$N$11*100</f>
        <v>36.598853436413791</v>
      </c>
      <c r="P16" s="163">
        <f>+D16-N16</f>
        <v>159731321.61000013</v>
      </c>
      <c r="Q16" s="241">
        <f t="shared" ref="Q16:Q59" si="0">+IF(ISNUMBER(D16/N16*100-100),D16/N16*100-100,"...")</f>
        <v>12.039670295815895</v>
      </c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</row>
    <row r="17" spans="2:73" ht="15" customHeight="1" thickTop="1">
      <c r="B17" s="80">
        <v>711</v>
      </c>
      <c r="C17" s="93" t="str">
        <f>IF(MasterSheet!$A$1=1,MasterSheet!C73,MasterSheet!B73)</f>
        <v>Porezi</v>
      </c>
      <c r="D17" s="152">
        <f>+SUM(D18:D24)</f>
        <v>886526735.73000002</v>
      </c>
      <c r="E17" s="242">
        <f t="shared" ref="E17:G75" si="1">+D17/$D$11*100</f>
        <v>23.770659223220271</v>
      </c>
      <c r="F17" s="152">
        <f>+SUM(F18:F24)</f>
        <v>876060391.85449386</v>
      </c>
      <c r="G17" s="242">
        <f t="shared" si="1"/>
        <v>23.490022572851423</v>
      </c>
      <c r="H17" s="204">
        <f>D17-F17</f>
        <v>10466343.875506163</v>
      </c>
      <c r="I17" s="255">
        <f>D17/F17*100-100</f>
        <v>1.1947057500625533</v>
      </c>
      <c r="J17" s="152">
        <f>+SUM(J18:J24)</f>
        <v>848250392.06641626</v>
      </c>
      <c r="K17" s="242">
        <f t="shared" ref="K17:K75" si="2">+J17/$D$11*100</f>
        <v>22.744346214409873</v>
      </c>
      <c r="L17" s="204">
        <f t="shared" ref="L17:L69" si="3">+D17-J17</f>
        <v>38276343.663583755</v>
      </c>
      <c r="M17" s="255">
        <f t="shared" ref="M17:M69" si="4">+IF(ISNUMBER(D17/J17*100-100),D17/J17*100-100,"...")</f>
        <v>4.512387382496712</v>
      </c>
      <c r="N17" s="152">
        <f>+SUM(N18:N24)</f>
        <v>805537586.3599999</v>
      </c>
      <c r="O17" s="242">
        <f t="shared" ref="O17:O69" si="5">+N17/$N$11*100</f>
        <v>22.221726520275858</v>
      </c>
      <c r="P17" s="204">
        <f t="shared" ref="P17:P35" si="6">+D17-N17</f>
        <v>80989149.370000124</v>
      </c>
      <c r="Q17" s="255">
        <f t="shared" si="0"/>
        <v>10.054049710574972</v>
      </c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</row>
    <row r="18" spans="2:73" ht="15" customHeight="1">
      <c r="B18" s="80">
        <v>7111</v>
      </c>
      <c r="C18" s="97" t="str">
        <f>IF(MasterSheet!$A$1=1,MasterSheet!C74,MasterSheet!B74)</f>
        <v>Porez na dohodak fizičkih lica</v>
      </c>
      <c r="D18" s="153">
        <v>123131602.47000001</v>
      </c>
      <c r="E18" s="243">
        <f t="shared" si="1"/>
        <v>3.3015579158064088</v>
      </c>
      <c r="F18" s="153">
        <v>118836924.22996016</v>
      </c>
      <c r="G18" s="243">
        <f t="shared" si="1"/>
        <v>3.1864036527673991</v>
      </c>
      <c r="H18" s="205">
        <f>D18-F18</f>
        <v>4294678.2400398552</v>
      </c>
      <c r="I18" s="256">
        <f>(D18/F18)*100-100</f>
        <v>3.613925779271483</v>
      </c>
      <c r="J18" s="153">
        <v>98722884.824214354</v>
      </c>
      <c r="K18" s="243">
        <f t="shared" si="2"/>
        <v>2.6470809712887613</v>
      </c>
      <c r="L18" s="205">
        <f t="shared" si="3"/>
        <v>24408717.64578566</v>
      </c>
      <c r="M18" s="256">
        <f t="shared" si="4"/>
        <v>24.724477702660067</v>
      </c>
      <c r="N18" s="154">
        <v>104766319.15999998</v>
      </c>
      <c r="O18" s="243">
        <f t="shared" si="5"/>
        <v>2.8901053561379304</v>
      </c>
      <c r="P18" s="205">
        <f t="shared" si="6"/>
        <v>18365283.310000032</v>
      </c>
      <c r="Q18" s="256">
        <f t="shared" si="0"/>
        <v>17.529759045893783</v>
      </c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</row>
    <row r="19" spans="2:73" ht="15" customHeight="1">
      <c r="B19" s="80">
        <v>7112</v>
      </c>
      <c r="C19" s="97" t="str">
        <f>IF(MasterSheet!$A$1=1,MasterSheet!C75,MasterSheet!B75)</f>
        <v>Porez na dobit pravnih lica</v>
      </c>
      <c r="D19" s="154">
        <v>45254590.029999994</v>
      </c>
      <c r="E19" s="243">
        <f t="shared" si="1"/>
        <v>1.2134224434910845</v>
      </c>
      <c r="F19" s="154">
        <v>45542233.551658332</v>
      </c>
      <c r="G19" s="243">
        <f t="shared" si="1"/>
        <v>1.2211350999238055</v>
      </c>
      <c r="H19" s="205">
        <f t="shared" ref="H19:H75" si="7">D19-F19</f>
        <v>-287643.52165833861</v>
      </c>
      <c r="I19" s="256">
        <f t="shared" ref="I19:I75" si="8">(D19/F19)*100-100</f>
        <v>-0.63159730919227286</v>
      </c>
      <c r="J19" s="154">
        <v>45225844.970918715</v>
      </c>
      <c r="K19" s="243">
        <f t="shared" si="2"/>
        <v>1.2126516951580295</v>
      </c>
      <c r="L19" s="205">
        <f t="shared" si="3"/>
        <v>28745.059081278741</v>
      </c>
      <c r="M19" s="256">
        <f t="shared" si="4"/>
        <v>6.3558921010240965E-2</v>
      </c>
      <c r="N19" s="154">
        <v>42151728.179999992</v>
      </c>
      <c r="O19" s="243">
        <f t="shared" si="5"/>
        <v>1.1628062946206894</v>
      </c>
      <c r="P19" s="205">
        <f t="shared" si="6"/>
        <v>3102861.8500000015</v>
      </c>
      <c r="Q19" s="256">
        <f t="shared" si="0"/>
        <v>7.3611735128626066</v>
      </c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P19" s="81"/>
    </row>
    <row r="20" spans="2:73" ht="15" customHeight="1">
      <c r="B20" s="80">
        <v>7113</v>
      </c>
      <c r="C20" s="97" t="str">
        <f>IF(MasterSheet!$A$1=1,MasterSheet!C76,MasterSheet!B76)</f>
        <v>Porez na promet nepokretnosti</v>
      </c>
      <c r="D20" s="154">
        <v>1330049.99</v>
      </c>
      <c r="E20" s="243">
        <f t="shared" si="1"/>
        <v>3.5662957232873035E-2</v>
      </c>
      <c r="F20" s="154">
        <v>1408098.2378104241</v>
      </c>
      <c r="G20" s="243">
        <f t="shared" si="1"/>
        <v>3.77556840812555E-2</v>
      </c>
      <c r="H20" s="205">
        <f t="shared" si="7"/>
        <v>-78048.247810424073</v>
      </c>
      <c r="I20" s="256">
        <f t="shared" si="8"/>
        <v>-5.542812689815463</v>
      </c>
      <c r="J20" s="154">
        <v>1434251.523103311</v>
      </c>
      <c r="K20" s="243">
        <f t="shared" si="2"/>
        <v>3.8456938546810857E-2</v>
      </c>
      <c r="L20" s="205">
        <f t="shared" si="3"/>
        <v>-104201.53310331097</v>
      </c>
      <c r="M20" s="256">
        <f t="shared" si="4"/>
        <v>-7.2652203204810633</v>
      </c>
      <c r="N20" s="154">
        <v>1486795.3800000001</v>
      </c>
      <c r="O20" s="243">
        <f t="shared" si="5"/>
        <v>4.1015044965517243E-2</v>
      </c>
      <c r="P20" s="205">
        <f t="shared" si="6"/>
        <v>-156745.39000000013</v>
      </c>
      <c r="Q20" s="256">
        <f t="shared" si="0"/>
        <v>-10.542499129907185</v>
      </c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</row>
    <row r="21" spans="2:73" ht="15" customHeight="1">
      <c r="B21" s="80">
        <v>7114</v>
      </c>
      <c r="C21" s="97" t="str">
        <f>IF(MasterSheet!$A$1=1,MasterSheet!C77,MasterSheet!B77)</f>
        <v>Porez na dodatu vrijednost</v>
      </c>
      <c r="D21" s="153">
        <v>500656533.33000004</v>
      </c>
      <c r="E21" s="243">
        <f t="shared" si="1"/>
        <v>13.424226661214641</v>
      </c>
      <c r="F21" s="153">
        <v>494449009.91917253</v>
      </c>
      <c r="G21" s="243">
        <f t="shared" si="1"/>
        <v>13.257782810542231</v>
      </c>
      <c r="H21" s="205">
        <f t="shared" si="7"/>
        <v>6207523.4108275175</v>
      </c>
      <c r="I21" s="256">
        <f t="shared" si="8"/>
        <v>1.2554425807915521</v>
      </c>
      <c r="J21" s="153">
        <v>488103692.39156222</v>
      </c>
      <c r="K21" s="243">
        <f t="shared" si="2"/>
        <v>13.087644252354529</v>
      </c>
      <c r="L21" s="205">
        <f t="shared" si="3"/>
        <v>12552840.938437819</v>
      </c>
      <c r="M21" s="256">
        <f t="shared" si="4"/>
        <v>2.5717570127225713</v>
      </c>
      <c r="N21" s="154">
        <v>457115481.22000003</v>
      </c>
      <c r="O21" s="243">
        <f t="shared" si="5"/>
        <v>12.610082240551726</v>
      </c>
      <c r="P21" s="205">
        <f t="shared" si="6"/>
        <v>43541052.110000014</v>
      </c>
      <c r="Q21" s="256">
        <f t="shared" si="0"/>
        <v>9.525175562593688</v>
      </c>
    </row>
    <row r="22" spans="2:73" ht="15" customHeight="1">
      <c r="B22" s="80">
        <v>7115</v>
      </c>
      <c r="C22" s="97" t="str">
        <f>IF(MasterSheet!$A$1=1,MasterSheet!C78,MasterSheet!B78)</f>
        <v>Akcize</v>
      </c>
      <c r="D22" s="154">
        <v>182670922.38</v>
      </c>
      <c r="E22" s="243">
        <f t="shared" si="1"/>
        <v>4.8980003319479817</v>
      </c>
      <c r="F22" s="154">
        <v>182524698.45681819</v>
      </c>
      <c r="G22" s="243">
        <f t="shared" si="1"/>
        <v>4.8940795939621449</v>
      </c>
      <c r="H22" s="205">
        <f t="shared" si="7"/>
        <v>146223.92318180203</v>
      </c>
      <c r="I22" s="256">
        <f t="shared" si="8"/>
        <v>8.0111855775172103E-2</v>
      </c>
      <c r="J22" s="154">
        <v>183103865.51079711</v>
      </c>
      <c r="K22" s="243">
        <f t="shared" si="2"/>
        <v>4.9096089425069618</v>
      </c>
      <c r="L22" s="205">
        <f t="shared" si="3"/>
        <v>-432943.13079711795</v>
      </c>
      <c r="M22" s="256">
        <f t="shared" si="4"/>
        <v>-0.23644674545201383</v>
      </c>
      <c r="N22" s="154">
        <v>170010238.31999999</v>
      </c>
      <c r="O22" s="243">
        <f t="shared" si="5"/>
        <v>4.6899376088275861</v>
      </c>
      <c r="P22" s="205">
        <f t="shared" si="6"/>
        <v>12660684.060000002</v>
      </c>
      <c r="Q22" s="256">
        <f t="shared" si="0"/>
        <v>7.4470127123576759</v>
      </c>
    </row>
    <row r="23" spans="2:73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v>24283642.720000003</v>
      </c>
      <c r="E23" s="243">
        <f t="shared" si="1"/>
        <v>0.65112327979621942</v>
      </c>
      <c r="F23" s="154">
        <v>24037377.760315243</v>
      </c>
      <c r="G23" s="243">
        <f t="shared" si="1"/>
        <v>0.64452011691420419</v>
      </c>
      <c r="H23" s="205">
        <f t="shared" si="7"/>
        <v>246264.95968475938</v>
      </c>
      <c r="I23" s="256">
        <f t="shared" si="8"/>
        <v>1.024508422425896</v>
      </c>
      <c r="J23" s="154">
        <v>22977583.143741678</v>
      </c>
      <c r="K23" s="243">
        <f t="shared" si="2"/>
        <v>0.61610358342248772</v>
      </c>
      <c r="L23" s="205">
        <f t="shared" si="3"/>
        <v>1306059.5762583241</v>
      </c>
      <c r="M23" s="256">
        <f t="shared" si="4"/>
        <v>5.6840598425341682</v>
      </c>
      <c r="N23" s="154">
        <v>22887481.920000002</v>
      </c>
      <c r="O23" s="243">
        <f t="shared" si="5"/>
        <v>0.63137881158620701</v>
      </c>
      <c r="P23" s="205">
        <f t="shared" si="6"/>
        <v>1396160.8000000007</v>
      </c>
      <c r="Q23" s="256">
        <f t="shared" si="0"/>
        <v>6.1001066210782255</v>
      </c>
      <c r="X23" s="80" t="s">
        <v>473</v>
      </c>
      <c r="BQ23" s="138"/>
      <c r="BR23" s="138"/>
      <c r="BS23" s="81"/>
    </row>
    <row r="24" spans="2:73" ht="15" customHeight="1">
      <c r="B24" s="80">
        <v>7118</v>
      </c>
      <c r="C24" s="97" t="s">
        <v>462</v>
      </c>
      <c r="D24" s="154">
        <v>9199394.8100000005</v>
      </c>
      <c r="E24" s="243">
        <f t="shared" si="1"/>
        <v>0.24666563373106315</v>
      </c>
      <c r="F24" s="154">
        <v>9262049.6987588499</v>
      </c>
      <c r="G24" s="243">
        <f t="shared" si="1"/>
        <v>0.24834561466037941</v>
      </c>
      <c r="H24" s="205">
        <f t="shared" si="7"/>
        <v>-62654.888758849353</v>
      </c>
      <c r="I24" s="256">
        <f t="shared" si="8"/>
        <v>-0.67646893286747911</v>
      </c>
      <c r="J24" s="154">
        <v>8682269.7020788509</v>
      </c>
      <c r="K24" s="243">
        <f t="shared" si="2"/>
        <v>0.23279983113229258</v>
      </c>
      <c r="L24" s="205">
        <f t="shared" si="3"/>
        <v>517125.10792114958</v>
      </c>
      <c r="M24" s="256">
        <f t="shared" si="4"/>
        <v>5.956105093087956</v>
      </c>
      <c r="N24" s="154">
        <v>7119542.1799999997</v>
      </c>
      <c r="O24" s="243">
        <f t="shared" si="5"/>
        <v>0.19640116358620691</v>
      </c>
      <c r="P24" s="205">
        <f t="shared" si="6"/>
        <v>2079852.6300000008</v>
      </c>
      <c r="Q24" s="256">
        <f t="shared" si="0"/>
        <v>29.213291773769669</v>
      </c>
      <c r="BQ24" s="138"/>
      <c r="BR24" s="138"/>
      <c r="BS24" s="81"/>
    </row>
    <row r="25" spans="2:73" ht="15" customHeight="1">
      <c r="B25" s="80">
        <v>712</v>
      </c>
      <c r="C25" s="93" t="str">
        <f>IF(MasterSheet!$A$1=1,MasterSheet!C81,MasterSheet!B81)</f>
        <v>Doprinosi</v>
      </c>
      <c r="D25" s="152">
        <f>+SUM(D26:D29)</f>
        <v>462885204.29000008</v>
      </c>
      <c r="E25" s="242">
        <f t="shared" si="1"/>
        <v>12.411454733610405</v>
      </c>
      <c r="F25" s="152">
        <f>+SUM(F26:F29)</f>
        <v>464323028.41630036</v>
      </c>
      <c r="G25" s="323">
        <f t="shared" si="1"/>
        <v>12.450007465244681</v>
      </c>
      <c r="H25" s="205">
        <f t="shared" si="7"/>
        <v>-1437824.1263002753</v>
      </c>
      <c r="I25" s="256">
        <f t="shared" si="8"/>
        <v>-0.30966030937649691</v>
      </c>
      <c r="J25" s="152">
        <f>+SUM(J26:J29)</f>
        <v>483156218.11086088</v>
      </c>
      <c r="K25" s="242">
        <f t="shared" si="2"/>
        <v>12.954986408656948</v>
      </c>
      <c r="L25" s="204">
        <f t="shared" si="3"/>
        <v>-20271013.820860803</v>
      </c>
      <c r="M25" s="255">
        <f t="shared" si="4"/>
        <v>-4.1955402954597929</v>
      </c>
      <c r="N25" s="152">
        <f>+SUM(N26:N29)</f>
        <v>437288820.67000002</v>
      </c>
      <c r="O25" s="242">
        <f t="shared" si="5"/>
        <v>12.063139880551725</v>
      </c>
      <c r="P25" s="204">
        <f t="shared" si="6"/>
        <v>25596383.620000064</v>
      </c>
      <c r="Q25" s="255">
        <f t="shared" si="0"/>
        <v>5.8534273940006329</v>
      </c>
      <c r="BQ25" s="138"/>
      <c r="BR25" s="138"/>
      <c r="BS25" s="81"/>
    </row>
    <row r="26" spans="2:73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4">
        <v>273553324.41000003</v>
      </c>
      <c r="E26" s="243">
        <f t="shared" si="1"/>
        <v>7.3348525113285978</v>
      </c>
      <c r="F26" s="154">
        <v>276048147.59794891</v>
      </c>
      <c r="G26" s="243">
        <f t="shared" si="1"/>
        <v>7.4017468185533968</v>
      </c>
      <c r="H26" s="205">
        <f t="shared" si="7"/>
        <v>-2494823.1879488826</v>
      </c>
      <c r="I26" s="256">
        <f t="shared" si="8"/>
        <v>-0.90376378528809198</v>
      </c>
      <c r="J26" s="154">
        <v>289593179.78010869</v>
      </c>
      <c r="K26" s="243">
        <f t="shared" si="2"/>
        <v>7.7649330950558699</v>
      </c>
      <c r="L26" s="205">
        <f t="shared" si="3"/>
        <v>-16039855.370108664</v>
      </c>
      <c r="M26" s="256">
        <f t="shared" si="4"/>
        <v>-5.5387545322330851</v>
      </c>
      <c r="N26" s="154">
        <v>264099239.14000005</v>
      </c>
      <c r="O26" s="243">
        <f t="shared" si="5"/>
        <v>7.2854962521379321</v>
      </c>
      <c r="P26" s="205">
        <f t="shared" si="6"/>
        <v>9454085.2699999809</v>
      </c>
      <c r="Q26" s="256">
        <f t="shared" si="0"/>
        <v>3.579747257427087</v>
      </c>
      <c r="BQ26" s="138"/>
      <c r="BR26" s="138"/>
      <c r="BS26" s="81"/>
    </row>
    <row r="27" spans="2:73" ht="15" customHeight="1">
      <c r="B27" s="80">
        <v>7122</v>
      </c>
      <c r="C27" s="97" t="str">
        <f>IF(MasterSheet!$A$1=1,MasterSheet!C83,MasterSheet!B83)</f>
        <v>Doprinosi za zdravstveno osiguranje</v>
      </c>
      <c r="D27" s="154">
        <v>164379366.90000004</v>
      </c>
      <c r="E27" s="243">
        <f t="shared" si="1"/>
        <v>4.4075443598337589</v>
      </c>
      <c r="F27" s="154">
        <v>163183755.64591512</v>
      </c>
      <c r="G27" s="243">
        <f t="shared" si="1"/>
        <v>4.3754861414644086</v>
      </c>
      <c r="H27" s="205">
        <f t="shared" si="7"/>
        <v>1195611.2540849149</v>
      </c>
      <c r="I27" s="256">
        <f t="shared" si="8"/>
        <v>0.73267786327899387</v>
      </c>
      <c r="J27" s="154">
        <v>167094985.09452149</v>
      </c>
      <c r="K27" s="243">
        <f t="shared" si="2"/>
        <v>4.4803588978287037</v>
      </c>
      <c r="L27" s="205">
        <f t="shared" si="3"/>
        <v>-2715618.194521457</v>
      </c>
      <c r="M27" s="256">
        <f t="shared" si="4"/>
        <v>-1.6251943126750916</v>
      </c>
      <c r="N27" s="154">
        <v>150309788.34999993</v>
      </c>
      <c r="O27" s="243">
        <f t="shared" si="5"/>
        <v>4.1464769199999978</v>
      </c>
      <c r="P27" s="205">
        <f t="shared" si="6"/>
        <v>14069578.550000101</v>
      </c>
      <c r="Q27" s="256">
        <f t="shared" si="0"/>
        <v>9.3603874401304807</v>
      </c>
      <c r="BQ27" s="138"/>
      <c r="BR27" s="138"/>
      <c r="BS27" s="81"/>
    </row>
    <row r="28" spans="2:73" ht="15" customHeight="1">
      <c r="B28" s="80">
        <v>7123</v>
      </c>
      <c r="C28" s="97" t="str">
        <f>IF(MasterSheet!$A$1=1,MasterSheet!C84,MasterSheet!B84)</f>
        <v>Doprinosi za osiguranje od nezaposlenosti</v>
      </c>
      <c r="D28" s="154">
        <v>12989910.719999999</v>
      </c>
      <c r="E28" s="243">
        <f t="shared" si="1"/>
        <v>0.34830166832015014</v>
      </c>
      <c r="F28" s="154">
        <v>13153089.829222243</v>
      </c>
      <c r="G28" s="243">
        <f t="shared" si="1"/>
        <v>0.35267702987591482</v>
      </c>
      <c r="H28" s="205">
        <f t="shared" si="7"/>
        <v>-163179.10922224447</v>
      </c>
      <c r="I28" s="256">
        <f t="shared" si="8"/>
        <v>-1.2406142688975592</v>
      </c>
      <c r="J28" s="154">
        <v>13769347.363592876</v>
      </c>
      <c r="K28" s="243">
        <f t="shared" si="2"/>
        <v>0.36920089458621463</v>
      </c>
      <c r="L28" s="205">
        <f t="shared" si="3"/>
        <v>-779436.64359287731</v>
      </c>
      <c r="M28" s="256">
        <f t="shared" si="4"/>
        <v>-5.660665120946561</v>
      </c>
      <c r="N28" s="154">
        <v>12114496.520000001</v>
      </c>
      <c r="O28" s="243">
        <f t="shared" si="5"/>
        <v>0.3341930074482759</v>
      </c>
      <c r="P28" s="205">
        <f t="shared" si="6"/>
        <v>875414.19999999739</v>
      </c>
      <c r="Q28" s="256">
        <f t="shared" si="0"/>
        <v>7.2261707166679372</v>
      </c>
      <c r="BQ28" s="138"/>
      <c r="BR28" s="138"/>
      <c r="BS28" s="81"/>
    </row>
    <row r="29" spans="2:73" ht="15" customHeight="1">
      <c r="B29" s="80">
        <v>7124</v>
      </c>
      <c r="C29" s="97" t="str">
        <f>IF(MasterSheet!$A$1=1,MasterSheet!C85,MasterSheet!B85)</f>
        <v>Ostali doprinosi</v>
      </c>
      <c r="D29" s="153">
        <v>11962602.260000002</v>
      </c>
      <c r="E29" s="243">
        <f t="shared" si="1"/>
        <v>0.32075619412789919</v>
      </c>
      <c r="F29" s="153">
        <v>11938035.343214052</v>
      </c>
      <c r="G29" s="243">
        <f t="shared" si="1"/>
        <v>0.32009747535095995</v>
      </c>
      <c r="H29" s="205">
        <f t="shared" si="7"/>
        <v>24566.916785949841</v>
      </c>
      <c r="I29" s="256">
        <f t="shared" si="8"/>
        <v>0.2057869329388069</v>
      </c>
      <c r="J29" s="153">
        <v>12698705.872637784</v>
      </c>
      <c r="K29" s="243">
        <f t="shared" si="2"/>
        <v>0.34049352118615855</v>
      </c>
      <c r="L29" s="205">
        <f t="shared" si="3"/>
        <v>-736103.61263778247</v>
      </c>
      <c r="M29" s="256">
        <f t="shared" si="4"/>
        <v>-5.7966821187967099</v>
      </c>
      <c r="N29" s="154">
        <v>10765296.66</v>
      </c>
      <c r="O29" s="243">
        <f t="shared" si="5"/>
        <v>0.29697370096551723</v>
      </c>
      <c r="P29" s="205">
        <f t="shared" si="6"/>
        <v>1197305.6000000015</v>
      </c>
      <c r="Q29" s="256">
        <f t="shared" si="0"/>
        <v>11.121900657403728</v>
      </c>
      <c r="BQ29" s="81"/>
      <c r="BR29" s="81"/>
      <c r="BS29" s="81"/>
    </row>
    <row r="30" spans="2:73" ht="15" customHeight="1">
      <c r="B30" s="80">
        <v>713</v>
      </c>
      <c r="C30" s="93" t="str">
        <f>IF(MasterSheet!$A$1=1,MasterSheet!C86,MasterSheet!B86)</f>
        <v>Takse</v>
      </c>
      <c r="D30" s="152">
        <v>12928427.930000003</v>
      </c>
      <c r="E30" s="242">
        <f t="shared" si="1"/>
        <v>0.34665311516289055</v>
      </c>
      <c r="F30" s="152">
        <v>13522498.464518579</v>
      </c>
      <c r="G30" s="323">
        <f t="shared" si="1"/>
        <v>0.36258207439384849</v>
      </c>
      <c r="H30" s="205">
        <f t="shared" si="7"/>
        <v>-594070.5345185753</v>
      </c>
      <c r="I30" s="256">
        <f t="shared" si="8"/>
        <v>-4.3932009759686537</v>
      </c>
      <c r="J30" s="152">
        <v>14387847.312220991</v>
      </c>
      <c r="K30" s="242">
        <f t="shared" si="2"/>
        <v>0.3857848857010589</v>
      </c>
      <c r="L30" s="204">
        <f t="shared" si="3"/>
        <v>-1459419.3822209872</v>
      </c>
      <c r="M30" s="255">
        <f t="shared" si="4"/>
        <v>-10.143417222542823</v>
      </c>
      <c r="N30" s="152">
        <v>13154413.689999999</v>
      </c>
      <c r="O30" s="242">
        <f t="shared" si="5"/>
        <v>0.36288037765517239</v>
      </c>
      <c r="P30" s="204">
        <f t="shared" si="6"/>
        <v>-225985.75999999605</v>
      </c>
      <c r="Q30" s="255">
        <f t="shared" si="0"/>
        <v>-1.71794627511062</v>
      </c>
      <c r="BQ30" s="81"/>
      <c r="BR30" s="81"/>
      <c r="BS30" s="81"/>
    </row>
    <row r="31" spans="2:73" ht="15" customHeight="1">
      <c r="B31" s="80">
        <v>714</v>
      </c>
      <c r="C31" s="93" t="str">
        <f>IF(MasterSheet!$A$1=1,MasterSheet!C91,MasterSheet!B91)</f>
        <v>Naknade</v>
      </c>
      <c r="D31" s="152">
        <v>73943522.299999997</v>
      </c>
      <c r="E31" s="242">
        <f t="shared" si="1"/>
        <v>1.9826658345622736</v>
      </c>
      <c r="F31" s="152">
        <v>72510640.912681982</v>
      </c>
      <c r="G31" s="323">
        <f t="shared" si="1"/>
        <v>1.9442456338029757</v>
      </c>
      <c r="H31" s="205">
        <f t="shared" si="7"/>
        <v>1432881.3873180151</v>
      </c>
      <c r="I31" s="256">
        <f t="shared" si="8"/>
        <v>1.9760980861326374</v>
      </c>
      <c r="J31" s="152">
        <v>17309607.559873022</v>
      </c>
      <c r="K31" s="242">
        <f t="shared" si="2"/>
        <v>0.46412676122464197</v>
      </c>
      <c r="L31" s="204">
        <f t="shared" si="3"/>
        <v>56633914.740126975</v>
      </c>
      <c r="M31" s="255">
        <f t="shared" si="4"/>
        <v>327.18196841975322</v>
      </c>
      <c r="N31" s="152">
        <v>29630001.300000001</v>
      </c>
      <c r="O31" s="242">
        <f t="shared" si="5"/>
        <v>0.81737934620689656</v>
      </c>
      <c r="P31" s="204">
        <f t="shared" si="6"/>
        <v>44313521</v>
      </c>
      <c r="Q31" s="255">
        <f t="shared" si="0"/>
        <v>149.55625736000218</v>
      </c>
      <c r="BQ31" s="138"/>
      <c r="BR31" s="138"/>
      <c r="BS31" s="138"/>
    </row>
    <row r="32" spans="2:73" ht="15" customHeight="1">
      <c r="B32" s="80">
        <v>715</v>
      </c>
      <c r="C32" s="93" t="str">
        <f>IF(MasterSheet!$A$1=1,MasterSheet!C98,MasterSheet!B98)</f>
        <v>Ostali prihodi</v>
      </c>
      <c r="D32" s="152">
        <v>34277381.699999996</v>
      </c>
      <c r="E32" s="242">
        <f t="shared" si="1"/>
        <v>0.91908785896232736</v>
      </c>
      <c r="F32" s="152">
        <v>39001181.572536513</v>
      </c>
      <c r="G32" s="323">
        <f t="shared" si="1"/>
        <v>1.0457482657872774</v>
      </c>
      <c r="H32" s="205">
        <f t="shared" si="7"/>
        <v>-4723799.8725365177</v>
      </c>
      <c r="I32" s="256">
        <f t="shared" si="8"/>
        <v>-12.111940413269124</v>
      </c>
      <c r="J32" s="152">
        <v>58728787.706104264</v>
      </c>
      <c r="K32" s="242">
        <f t="shared" si="2"/>
        <v>1.5747094169755802</v>
      </c>
      <c r="L32" s="204">
        <f t="shared" si="3"/>
        <v>-24451406.006104268</v>
      </c>
      <c r="M32" s="255">
        <f t="shared" si="4"/>
        <v>-41.634447025309171</v>
      </c>
      <c r="N32" s="152">
        <v>26569763.279999994</v>
      </c>
      <c r="O32" s="242">
        <f t="shared" si="5"/>
        <v>0.73295898703448259</v>
      </c>
      <c r="P32" s="204">
        <f t="shared" si="6"/>
        <v>7707618.4200000018</v>
      </c>
      <c r="Q32" s="255">
        <f t="shared" si="0"/>
        <v>29.008984155315375</v>
      </c>
      <c r="BQ32" s="81"/>
      <c r="BR32" s="81"/>
      <c r="BS32" s="81"/>
      <c r="BT32" s="81"/>
      <c r="BU32" s="81"/>
    </row>
    <row r="33" spans="1:74">
      <c r="B33" s="80">
        <v>73</v>
      </c>
      <c r="C33" s="101" t="str">
        <f>IF(MasterSheet!$A$1=1,MasterSheet!C103,MasterSheet!B103)</f>
        <v xml:space="preserve">Primici od otplate kredita </v>
      </c>
      <c r="D33" s="152">
        <v>4282946.67</v>
      </c>
      <c r="E33" s="242">
        <f t="shared" si="1"/>
        <v>0.11483970156857487</v>
      </c>
      <c r="F33" s="152">
        <v>5225932.2100328896</v>
      </c>
      <c r="G33" s="323">
        <f t="shared" si="1"/>
        <v>0.1401242045859469</v>
      </c>
      <c r="H33" s="205">
        <f t="shared" si="7"/>
        <v>-942985.54003288969</v>
      </c>
      <c r="I33" s="256">
        <f t="shared" si="8"/>
        <v>-18.044350790133095</v>
      </c>
      <c r="J33" s="152">
        <v>7378737.6892218553</v>
      </c>
      <c r="K33" s="242">
        <f t="shared" si="2"/>
        <v>0.19784790693717266</v>
      </c>
      <c r="L33" s="204">
        <f t="shared" si="3"/>
        <v>-3095791.0192218553</v>
      </c>
      <c r="M33" s="255">
        <f t="shared" si="4"/>
        <v>-41.955564076276715</v>
      </c>
      <c r="N33" s="152">
        <v>7929787.8700000001</v>
      </c>
      <c r="O33" s="242">
        <f t="shared" si="5"/>
        <v>0.21875276882758621</v>
      </c>
      <c r="P33" s="204">
        <f t="shared" si="6"/>
        <v>-3646841.2</v>
      </c>
      <c r="Q33" s="255">
        <f t="shared" si="0"/>
        <v>-45.989139429526759</v>
      </c>
      <c r="BP33" s="100"/>
      <c r="BQ33" s="100"/>
      <c r="BR33" s="99"/>
      <c r="BS33" s="143"/>
      <c r="BT33" s="143"/>
      <c r="BU33" s="143"/>
      <c r="BV33" s="140"/>
    </row>
    <row r="34" spans="1:74" ht="13.5" customHeight="1" thickBot="1">
      <c r="B34" s="80">
        <v>74</v>
      </c>
      <c r="C34" s="93" t="s">
        <v>122</v>
      </c>
      <c r="D34" s="152">
        <v>11595540.060000001</v>
      </c>
      <c r="E34" s="242">
        <f t="shared" si="1"/>
        <v>0.31091406515618714</v>
      </c>
      <c r="F34" s="152">
        <v>13443123.494648736</v>
      </c>
      <c r="G34" s="323">
        <f t="shared" si="1"/>
        <v>0.36045377382085358</v>
      </c>
      <c r="H34" s="205">
        <f t="shared" si="7"/>
        <v>-1847583.4346487354</v>
      </c>
      <c r="I34" s="256">
        <f t="shared" si="8"/>
        <v>-13.74370647851444</v>
      </c>
      <c r="J34" s="152">
        <v>29255213.328742377</v>
      </c>
      <c r="K34" s="242">
        <f t="shared" si="2"/>
        <v>0.78442722425907974</v>
      </c>
      <c r="L34" s="204">
        <f t="shared" si="3"/>
        <v>-17659673.268742375</v>
      </c>
      <c r="M34" s="255">
        <f t="shared" si="4"/>
        <v>-60.364192427174245</v>
      </c>
      <c r="N34" s="152">
        <v>6598063.8999999994</v>
      </c>
      <c r="O34" s="242">
        <f t="shared" si="5"/>
        <v>0.18201555586206897</v>
      </c>
      <c r="P34" s="204">
        <f t="shared" si="6"/>
        <v>4997476.1600000011</v>
      </c>
      <c r="Q34" s="255">
        <f t="shared" si="0"/>
        <v>75.741554427807245</v>
      </c>
      <c r="BQ34" s="159"/>
      <c r="BR34" s="159"/>
      <c r="BS34" s="143"/>
      <c r="BT34" s="143"/>
      <c r="BU34" s="143"/>
      <c r="BV34" s="140"/>
    </row>
    <row r="35" spans="1:74" ht="15" customHeight="1" thickTop="1" thickBot="1">
      <c r="B35" s="102"/>
      <c r="C35" s="90" t="s">
        <v>460</v>
      </c>
      <c r="D35" s="91">
        <f>+D37+D48+D54+SUM(D57:D62)</f>
        <v>1615873839.74</v>
      </c>
      <c r="E35" s="244">
        <f t="shared" si="1"/>
        <v>43.32682235527551</v>
      </c>
      <c r="F35" s="91">
        <f>+F37+F48+F54+SUM(F57:F62)</f>
        <v>1613685697.0799999</v>
      </c>
      <c r="G35" s="249">
        <f t="shared" si="1"/>
        <v>43.268151148411313</v>
      </c>
      <c r="H35" s="91">
        <f t="shared" si="7"/>
        <v>2188142.6600000858</v>
      </c>
      <c r="I35" s="244">
        <f t="shared" si="8"/>
        <v>0.13559906145042078</v>
      </c>
      <c r="J35" s="91">
        <f>+J37+J48+J54+SUM(J57:J62)</f>
        <v>1732392493.3199997</v>
      </c>
      <c r="K35" s="249">
        <f t="shared" si="2"/>
        <v>46.451065647405812</v>
      </c>
      <c r="L35" s="91">
        <f t="shared" si="3"/>
        <v>-116518653.57999969</v>
      </c>
      <c r="M35" s="244">
        <f t="shared" si="4"/>
        <v>-6.7258807706272421</v>
      </c>
      <c r="N35" s="91">
        <f>+N37+N48+N54+SUM(N57:N61)</f>
        <v>1617955711.3000002</v>
      </c>
      <c r="O35" s="244">
        <f t="shared" si="5"/>
        <v>44.633261001379317</v>
      </c>
      <c r="P35" s="91">
        <f t="shared" si="6"/>
        <v>-2081871.5600001812</v>
      </c>
      <c r="Q35" s="244">
        <f t="shared" si="0"/>
        <v>-0.12867296338583856</v>
      </c>
      <c r="BQ35" s="81"/>
      <c r="BR35" s="81"/>
      <c r="BS35" s="143"/>
      <c r="BT35" s="143"/>
      <c r="BU35" s="143"/>
      <c r="BV35" s="140"/>
    </row>
    <row r="36" spans="1:74" ht="13.5" customHeight="1" thickTop="1" thickBot="1">
      <c r="C36" s="296" t="s">
        <v>448</v>
      </c>
      <c r="D36" s="91">
        <f>+D35-D57</f>
        <v>1551054394.74</v>
      </c>
      <c r="E36" s="244">
        <f t="shared" si="1"/>
        <v>41.588802647539886</v>
      </c>
      <c r="F36" s="91">
        <f>+F35-F57</f>
        <v>1497954551.3199999</v>
      </c>
      <c r="G36" s="249">
        <f t="shared" si="1"/>
        <v>40.165023496983508</v>
      </c>
      <c r="H36" s="91">
        <f t="shared" si="7"/>
        <v>53099843.420000076</v>
      </c>
      <c r="I36" s="244">
        <f t="shared" si="8"/>
        <v>3.5448233975595969</v>
      </c>
      <c r="J36" s="91">
        <f>+J35-J57</f>
        <v>1397534693.3199997</v>
      </c>
      <c r="K36" s="249">
        <f t="shared" si="2"/>
        <v>37.472441166912446</v>
      </c>
      <c r="L36" s="91">
        <f t="shared" si="3"/>
        <v>153519701.42000031</v>
      </c>
      <c r="M36" s="244">
        <f t="shared" si="4"/>
        <v>10.985036876279409</v>
      </c>
      <c r="N36" s="160">
        <f>+N35-N57</f>
        <v>1389952602.7300003</v>
      </c>
      <c r="O36" s="244">
        <f t="shared" si="5"/>
        <v>38.343520075310352</v>
      </c>
      <c r="P36" s="91">
        <f t="shared" ref="P36:P75" si="9">+D36-N36</f>
        <v>161101792.00999975</v>
      </c>
      <c r="Q36" s="244">
        <f t="shared" si="0"/>
        <v>11.590452199131136</v>
      </c>
      <c r="R36" s="211"/>
      <c r="BQ36" s="159"/>
      <c r="BR36" s="159"/>
      <c r="BS36" s="143"/>
      <c r="BT36" s="143"/>
      <c r="BU36" s="143"/>
      <c r="BV36" s="140"/>
    </row>
    <row r="37" spans="1:74" ht="13.5" customHeight="1" thickTop="1">
      <c r="A37" s="80">
        <v>41</v>
      </c>
      <c r="B37" s="80">
        <v>41</v>
      </c>
      <c r="C37" s="93" t="s">
        <v>62</v>
      </c>
      <c r="D37" s="94">
        <f>+SUM(D38:D47)</f>
        <v>733222773.36999989</v>
      </c>
      <c r="E37" s="242">
        <f t="shared" si="1"/>
        <v>19.660082407025069</v>
      </c>
      <c r="F37" s="94">
        <f>+SUM(F38:F47)</f>
        <v>730360471.63000023</v>
      </c>
      <c r="G37" s="250">
        <f t="shared" si="1"/>
        <v>19.583334807078703</v>
      </c>
      <c r="H37" s="202">
        <f t="shared" si="7"/>
        <v>2862301.7399996519</v>
      </c>
      <c r="I37" s="255">
        <f t="shared" si="8"/>
        <v>0.39190260853132486</v>
      </c>
      <c r="J37" s="94">
        <f>+SUM(J38:J47)</f>
        <v>702003655.03999996</v>
      </c>
      <c r="K37" s="250">
        <f t="shared" si="2"/>
        <v>18.822996515350582</v>
      </c>
      <c r="L37" s="202">
        <f t="shared" si="3"/>
        <v>31219118.329999924</v>
      </c>
      <c r="M37" s="255">
        <f t="shared" si="4"/>
        <v>4.4471446987296588</v>
      </c>
      <c r="N37" s="94">
        <f>+SUM(N38:N47)</f>
        <v>669657066.86000001</v>
      </c>
      <c r="O37" s="242">
        <f t="shared" si="5"/>
        <v>18.473298396137931</v>
      </c>
      <c r="P37" s="202">
        <f t="shared" si="9"/>
        <v>63565706.509999871</v>
      </c>
      <c r="Q37" s="255">
        <f t="shared" si="0"/>
        <v>9.4922774141781758</v>
      </c>
      <c r="BQ37" s="159"/>
      <c r="BR37" s="159"/>
      <c r="BS37" s="143"/>
      <c r="BT37" s="143"/>
      <c r="BU37" s="143"/>
      <c r="BV37" s="140"/>
    </row>
    <row r="38" spans="1:74" ht="13.5" customHeight="1">
      <c r="B38" s="80">
        <v>411</v>
      </c>
      <c r="C38" s="93" t="s">
        <v>63</v>
      </c>
      <c r="D38" s="152">
        <v>422565274.35999995</v>
      </c>
      <c r="E38" s="242">
        <f t="shared" si="1"/>
        <v>11.330346544040754</v>
      </c>
      <c r="F38" s="152">
        <v>434731752.68000007</v>
      </c>
      <c r="G38" s="250">
        <f t="shared" si="1"/>
        <v>11.656569317066632</v>
      </c>
      <c r="H38" s="204">
        <f t="shared" si="7"/>
        <v>-12166478.320000112</v>
      </c>
      <c r="I38" s="255">
        <f t="shared" si="8"/>
        <v>-2.7986173646155805</v>
      </c>
      <c r="J38" s="152">
        <v>415834795.0399999</v>
      </c>
      <c r="K38" s="250">
        <f t="shared" si="2"/>
        <v>11.14988054806274</v>
      </c>
      <c r="L38" s="204">
        <f t="shared" si="3"/>
        <v>6730479.3200000525</v>
      </c>
      <c r="M38" s="255">
        <f t="shared" si="4"/>
        <v>1.6185464516870667</v>
      </c>
      <c r="N38" s="152">
        <v>382177081.81999993</v>
      </c>
      <c r="O38" s="242">
        <f t="shared" si="5"/>
        <v>10.542816050206895</v>
      </c>
      <c r="P38" s="204">
        <f t="shared" si="9"/>
        <v>40388192.540000021</v>
      </c>
      <c r="Q38" s="255">
        <f t="shared" si="0"/>
        <v>10.567926351748724</v>
      </c>
      <c r="BQ38" s="159"/>
      <c r="BR38" s="159"/>
      <c r="BS38" s="143"/>
      <c r="BT38" s="143"/>
      <c r="BU38" s="143"/>
      <c r="BV38" s="140"/>
    </row>
    <row r="39" spans="1:74" ht="13.5" customHeight="1">
      <c r="B39" s="80">
        <v>412</v>
      </c>
      <c r="C39" s="93" t="s">
        <v>74</v>
      </c>
      <c r="D39" s="152">
        <v>10907612.039999999</v>
      </c>
      <c r="E39" s="242">
        <f t="shared" si="1"/>
        <v>0.29246848210215842</v>
      </c>
      <c r="F39" s="152">
        <v>10551988.82</v>
      </c>
      <c r="G39" s="250">
        <f t="shared" si="1"/>
        <v>0.28293306931224027</v>
      </c>
      <c r="H39" s="204">
        <f t="shared" si="7"/>
        <v>355623.21999999881</v>
      </c>
      <c r="I39" s="255">
        <f t="shared" si="8"/>
        <v>3.3702008793447362</v>
      </c>
      <c r="J39" s="152">
        <v>9991894.2600000016</v>
      </c>
      <c r="K39" s="250">
        <f t="shared" si="2"/>
        <v>0.2679151162354203</v>
      </c>
      <c r="L39" s="204">
        <f t="shared" si="3"/>
        <v>915717.77999999747</v>
      </c>
      <c r="M39" s="255">
        <f t="shared" si="4"/>
        <v>9.1646063916612803</v>
      </c>
      <c r="N39" s="152">
        <v>14740493.810000002</v>
      </c>
      <c r="O39" s="242">
        <f t="shared" si="5"/>
        <v>0.40663431200000005</v>
      </c>
      <c r="P39" s="204">
        <f t="shared" si="9"/>
        <v>-3832881.7700000033</v>
      </c>
      <c r="Q39" s="255">
        <f t="shared" si="0"/>
        <v>-26.002397337596406</v>
      </c>
      <c r="BQ39" s="159"/>
      <c r="BR39" s="159"/>
      <c r="BS39" s="143"/>
      <c r="BT39" s="143"/>
      <c r="BU39" s="143"/>
      <c r="BV39" s="140"/>
    </row>
    <row r="40" spans="1:74" ht="13.5" customHeight="1">
      <c r="B40" s="80">
        <v>413</v>
      </c>
      <c r="C40" s="93" t="s">
        <v>428</v>
      </c>
      <c r="D40" s="152">
        <v>31295356.900000002</v>
      </c>
      <c r="E40" s="242">
        <f t="shared" si="1"/>
        <v>0.83913009518702242</v>
      </c>
      <c r="F40" s="152">
        <v>32907986.210000001</v>
      </c>
      <c r="G40" s="250">
        <f t="shared" si="1"/>
        <v>0.88236992116905755</v>
      </c>
      <c r="H40" s="204">
        <f t="shared" si="7"/>
        <v>-1612629.3099999987</v>
      </c>
      <c r="I40" s="255">
        <f t="shared" si="8"/>
        <v>-4.9004193076693241</v>
      </c>
      <c r="J40" s="152">
        <v>30629063.869999994</v>
      </c>
      <c r="K40" s="250">
        <f t="shared" si="2"/>
        <v>0.82126461643651938</v>
      </c>
      <c r="L40" s="204">
        <f t="shared" si="3"/>
        <v>666293.03000000864</v>
      </c>
      <c r="M40" s="255">
        <f t="shared" si="4"/>
        <v>2.1753620444554826</v>
      </c>
      <c r="N40" s="152">
        <v>25605905.469999999</v>
      </c>
      <c r="O40" s="242">
        <f t="shared" si="5"/>
        <v>0.70636980606896549</v>
      </c>
      <c r="P40" s="204">
        <f t="shared" si="9"/>
        <v>5689451.4300000034</v>
      </c>
      <c r="Q40" s="255">
        <f t="shared" si="0"/>
        <v>22.2192940478742</v>
      </c>
      <c r="BQ40" s="159"/>
      <c r="BR40" s="159"/>
      <c r="BS40" s="143"/>
      <c r="BT40" s="143"/>
      <c r="BU40" s="143"/>
      <c r="BV40" s="140"/>
    </row>
    <row r="41" spans="1:74" ht="13.5" customHeight="1">
      <c r="B41" s="80">
        <v>414</v>
      </c>
      <c r="C41" s="93" t="s">
        <v>429</v>
      </c>
      <c r="D41" s="152">
        <v>59827010.189999998</v>
      </c>
      <c r="E41" s="242">
        <f t="shared" si="1"/>
        <v>1.6041563263172007</v>
      </c>
      <c r="F41" s="152">
        <v>46247537.360000007</v>
      </c>
      <c r="G41" s="250">
        <f t="shared" si="1"/>
        <v>1.240046584260625</v>
      </c>
      <c r="H41" s="204">
        <f t="shared" si="7"/>
        <v>13579472.829999991</v>
      </c>
      <c r="I41" s="255">
        <f t="shared" si="8"/>
        <v>29.362585783313563</v>
      </c>
      <c r="J41" s="152">
        <v>45371217.640000008</v>
      </c>
      <c r="K41" s="250">
        <f t="shared" si="2"/>
        <v>1.2165496082584799</v>
      </c>
      <c r="L41" s="204">
        <f t="shared" si="3"/>
        <v>14455792.54999999</v>
      </c>
      <c r="M41" s="255">
        <f t="shared" si="4"/>
        <v>31.861151853362486</v>
      </c>
      <c r="N41" s="152">
        <v>58440656.099999994</v>
      </c>
      <c r="O41" s="242">
        <f t="shared" si="5"/>
        <v>1.6121560303448272</v>
      </c>
      <c r="P41" s="204">
        <f t="shared" si="9"/>
        <v>1386354.0900000036</v>
      </c>
      <c r="Q41" s="255">
        <f t="shared" si="0"/>
        <v>2.372242514915925</v>
      </c>
      <c r="BQ41" s="159"/>
      <c r="BR41" s="159"/>
      <c r="BS41" s="143"/>
      <c r="BT41" s="143"/>
      <c r="BU41" s="143"/>
      <c r="BV41" s="140"/>
    </row>
    <row r="42" spans="1:74" ht="13.5" customHeight="1">
      <c r="B42" s="80">
        <v>415</v>
      </c>
      <c r="C42" s="93" t="s">
        <v>430</v>
      </c>
      <c r="D42" s="152">
        <v>20436434.789999999</v>
      </c>
      <c r="E42" s="242">
        <f t="shared" si="1"/>
        <v>0.5479671481431827</v>
      </c>
      <c r="F42" s="152">
        <v>23246057.440000001</v>
      </c>
      <c r="G42" s="250">
        <f t="shared" si="1"/>
        <v>0.6233022507038477</v>
      </c>
      <c r="H42" s="204">
        <f t="shared" si="7"/>
        <v>-2809622.6500000022</v>
      </c>
      <c r="I42" s="255">
        <f t="shared" si="8"/>
        <v>-12.086448023506222</v>
      </c>
      <c r="J42" s="152">
        <v>21336280.919999998</v>
      </c>
      <c r="K42" s="250">
        <f t="shared" si="2"/>
        <v>0.57209494355811763</v>
      </c>
      <c r="L42" s="204">
        <f t="shared" si="3"/>
        <v>-899846.12999999896</v>
      </c>
      <c r="M42" s="255">
        <f t="shared" si="4"/>
        <v>-4.2174460177664344</v>
      </c>
      <c r="N42" s="152">
        <v>20115842.639999997</v>
      </c>
      <c r="O42" s="242">
        <f t="shared" si="5"/>
        <v>0.55491979696551719</v>
      </c>
      <c r="P42" s="204">
        <f t="shared" si="9"/>
        <v>320592.15000000224</v>
      </c>
      <c r="Q42" s="255">
        <f t="shared" si="0"/>
        <v>1.5937296574517319</v>
      </c>
      <c r="BQ42" s="159"/>
      <c r="BR42" s="159"/>
      <c r="BS42" s="143"/>
      <c r="BT42" s="143"/>
      <c r="BU42" s="143"/>
      <c r="BV42" s="140"/>
    </row>
    <row r="43" spans="1:74" ht="15" customHeight="1">
      <c r="B43" s="80">
        <v>416</v>
      </c>
      <c r="C43" s="93" t="s">
        <v>79</v>
      </c>
      <c r="D43" s="152">
        <v>81326080.649999991</v>
      </c>
      <c r="E43" s="242">
        <f t="shared" si="1"/>
        <v>2.1806161858157926</v>
      </c>
      <c r="F43" s="152">
        <v>76599356.200000003</v>
      </c>
      <c r="G43" s="250">
        <f t="shared" si="1"/>
        <v>2.0538773615766188</v>
      </c>
      <c r="H43" s="204">
        <f t="shared" si="7"/>
        <v>4726724.4499999881</v>
      </c>
      <c r="I43" s="255">
        <f t="shared" si="8"/>
        <v>6.1707104138820199</v>
      </c>
      <c r="J43" s="152">
        <v>76488356.200000018</v>
      </c>
      <c r="K43" s="250">
        <f t="shared" si="2"/>
        <v>2.0509010912991021</v>
      </c>
      <c r="L43" s="204">
        <f t="shared" si="3"/>
        <v>4837724.4499999732</v>
      </c>
      <c r="M43" s="255">
        <f t="shared" si="4"/>
        <v>6.3247854841466307</v>
      </c>
      <c r="N43" s="152">
        <v>81802749.749999985</v>
      </c>
      <c r="O43" s="242">
        <f t="shared" si="5"/>
        <v>2.2566275793103445</v>
      </c>
      <c r="P43" s="204">
        <f t="shared" si="9"/>
        <v>-476669.09999999404</v>
      </c>
      <c r="Q43" s="255">
        <f t="shared" si="0"/>
        <v>-0.58270547317388832</v>
      </c>
      <c r="BQ43" s="159"/>
      <c r="BR43" s="159"/>
      <c r="BS43" s="143"/>
      <c r="BT43" s="143"/>
      <c r="BU43" s="143"/>
      <c r="BV43" s="140"/>
    </row>
    <row r="44" spans="1:74" ht="13.5" customHeight="1">
      <c r="B44" s="80">
        <v>417</v>
      </c>
      <c r="C44" s="93" t="s">
        <v>81</v>
      </c>
      <c r="D44" s="152">
        <v>9597174.6300000008</v>
      </c>
      <c r="E44" s="242">
        <f t="shared" si="1"/>
        <v>0.2573314017964875</v>
      </c>
      <c r="F44" s="152">
        <v>9282623.3499999996</v>
      </c>
      <c r="G44" s="250">
        <f t="shared" si="1"/>
        <v>0.24889726102694729</v>
      </c>
      <c r="H44" s="204">
        <f t="shared" si="7"/>
        <v>314551.28000000119</v>
      </c>
      <c r="I44" s="255">
        <f t="shared" si="8"/>
        <v>3.3886032874532361</v>
      </c>
      <c r="J44" s="152">
        <v>8124458.5300000003</v>
      </c>
      <c r="K44" s="250">
        <f t="shared" si="2"/>
        <v>0.21784310309692989</v>
      </c>
      <c r="L44" s="204">
        <f t="shared" si="3"/>
        <v>1472716.1000000006</v>
      </c>
      <c r="M44" s="255">
        <f t="shared" si="4"/>
        <v>18.126944639595564</v>
      </c>
      <c r="N44" s="152">
        <v>7918742.3199999994</v>
      </c>
      <c r="O44" s="242">
        <f t="shared" si="5"/>
        <v>0.218448064</v>
      </c>
      <c r="P44" s="204">
        <f t="shared" si="9"/>
        <v>1678432.3100000015</v>
      </c>
      <c r="Q44" s="255">
        <f t="shared" si="0"/>
        <v>21.195692979690264</v>
      </c>
      <c r="BQ44" s="159"/>
      <c r="BR44" s="159"/>
      <c r="BS44" s="143"/>
      <c r="BT44" s="143"/>
      <c r="BU44" s="143"/>
      <c r="BV44" s="140"/>
    </row>
    <row r="45" spans="1:74" ht="13.5" customHeight="1">
      <c r="B45" s="80">
        <v>418</v>
      </c>
      <c r="C45" s="93" t="s">
        <v>83</v>
      </c>
      <c r="D45" s="152">
        <v>27120821.130000003</v>
      </c>
      <c r="E45" s="242">
        <f t="shared" si="1"/>
        <v>0.72719724172141043</v>
      </c>
      <c r="F45" s="152">
        <v>26757997.609999999</v>
      </c>
      <c r="G45" s="250">
        <f t="shared" si="1"/>
        <v>0.71746876551816596</v>
      </c>
      <c r="H45" s="204">
        <f t="shared" si="7"/>
        <v>362823.52000000328</v>
      </c>
      <c r="I45" s="255">
        <f t="shared" si="8"/>
        <v>1.3559442125983736</v>
      </c>
      <c r="J45" s="152">
        <v>20493800</v>
      </c>
      <c r="K45" s="250">
        <f t="shared" si="2"/>
        <v>0.54950529561603434</v>
      </c>
      <c r="L45" s="204">
        <f t="shared" si="3"/>
        <v>6627021.1300000027</v>
      </c>
      <c r="M45" s="255">
        <f t="shared" si="4"/>
        <v>32.336712225160795</v>
      </c>
      <c r="N45" s="152">
        <v>19623354.030000001</v>
      </c>
      <c r="O45" s="242">
        <f t="shared" si="5"/>
        <v>0.54133390427586214</v>
      </c>
      <c r="P45" s="204">
        <f t="shared" si="9"/>
        <v>7497467.1000000015</v>
      </c>
      <c r="Q45" s="255">
        <f t="shared" si="0"/>
        <v>38.206858463328643</v>
      </c>
      <c r="BQ45" s="159"/>
      <c r="BR45" s="159"/>
      <c r="BS45" s="143"/>
      <c r="BT45" s="143"/>
      <c r="BU45" s="143"/>
      <c r="BV45" s="140"/>
    </row>
    <row r="46" spans="1:74" ht="13.5" customHeight="1">
      <c r="B46" s="80">
        <v>419</v>
      </c>
      <c r="C46" s="93" t="s">
        <v>85</v>
      </c>
      <c r="D46" s="152">
        <v>34369555.549999997</v>
      </c>
      <c r="E46" s="242">
        <f t="shared" si="1"/>
        <v>0.9215593390534923</v>
      </c>
      <c r="F46" s="152">
        <v>33992917.979999997</v>
      </c>
      <c r="G46" s="250">
        <f t="shared" si="1"/>
        <v>0.91146046333288633</v>
      </c>
      <c r="H46" s="204">
        <f t="shared" si="7"/>
        <v>376637.5700000003</v>
      </c>
      <c r="I46" s="255">
        <f t="shared" si="8"/>
        <v>1.1079883469303837</v>
      </c>
      <c r="J46" s="152">
        <v>33301478.079999994</v>
      </c>
      <c r="K46" s="250">
        <f t="shared" si="2"/>
        <v>0.89292071537739626</v>
      </c>
      <c r="L46" s="204">
        <f t="shared" si="3"/>
        <v>1068077.4700000025</v>
      </c>
      <c r="M46" s="255">
        <f t="shared" si="4"/>
        <v>3.2072974882200782</v>
      </c>
      <c r="N46" s="152">
        <v>30746760.07</v>
      </c>
      <c r="O46" s="242">
        <f>+N45/$N$11*100</f>
        <v>0.54133390427586214</v>
      </c>
      <c r="P46" s="204">
        <f t="shared" si="9"/>
        <v>3622795.4799999967</v>
      </c>
      <c r="Q46" s="255">
        <f t="shared" si="0"/>
        <v>11.782690181834155</v>
      </c>
      <c r="BQ46" s="159"/>
      <c r="BR46" s="159"/>
      <c r="BS46" s="143"/>
      <c r="BT46" s="143"/>
      <c r="BU46" s="143"/>
      <c r="BV46" s="140"/>
    </row>
    <row r="47" spans="1:74" ht="13.5" customHeight="1">
      <c r="B47" s="80">
        <v>441</v>
      </c>
      <c r="C47" s="93" t="s">
        <v>129</v>
      </c>
      <c r="D47" s="164">
        <v>35777453.129999995</v>
      </c>
      <c r="E47" s="245">
        <f t="shared" si="1"/>
        <v>0.95930964284756648</v>
      </c>
      <c r="F47" s="152">
        <v>36042253.979999997</v>
      </c>
      <c r="G47" s="250">
        <f t="shared" si="1"/>
        <v>0.96640981311167717</v>
      </c>
      <c r="H47" s="204">
        <f t="shared" si="7"/>
        <v>-264800.85000000149</v>
      </c>
      <c r="I47" s="257">
        <f t="shared" si="8"/>
        <v>-0.73469558853599892</v>
      </c>
      <c r="J47" s="152">
        <v>40432310.5</v>
      </c>
      <c r="K47" s="250">
        <f t="shared" si="2"/>
        <v>1.0841214774098404</v>
      </c>
      <c r="L47" s="204">
        <f t="shared" si="3"/>
        <v>-4654857.3700000048</v>
      </c>
      <c r="M47" s="257">
        <f t="shared" si="4"/>
        <v>-11.512716716992983</v>
      </c>
      <c r="N47" s="152">
        <v>28485480.849999994</v>
      </c>
      <c r="O47" s="245">
        <f>+N46/$N$11*100</f>
        <v>0.84818648468965518</v>
      </c>
      <c r="P47" s="204">
        <f t="shared" si="9"/>
        <v>7291972.2800000012</v>
      </c>
      <c r="Q47" s="257">
        <f t="shared" si="0"/>
        <v>25.598908856053242</v>
      </c>
      <c r="BQ47" s="159"/>
      <c r="BR47" s="159"/>
      <c r="BS47" s="143"/>
      <c r="BT47" s="143"/>
      <c r="BU47" s="143"/>
      <c r="BV47" s="140"/>
    </row>
    <row r="48" spans="1:74" ht="13.5" customHeight="1">
      <c r="A48" s="80">
        <v>42</v>
      </c>
      <c r="B48" s="80">
        <v>42</v>
      </c>
      <c r="C48" s="93" t="s">
        <v>86</v>
      </c>
      <c r="D48" s="152">
        <f>+SUM(D49:D53)</f>
        <v>554987593.7299999</v>
      </c>
      <c r="E48" s="242">
        <f t="shared" si="1"/>
        <v>14.881018735219195</v>
      </c>
      <c r="F48" s="152">
        <f>+SUM(F49:F53)</f>
        <v>575382853.77999985</v>
      </c>
      <c r="G48" s="250">
        <f t="shared" si="1"/>
        <v>15.427881854940336</v>
      </c>
      <c r="H48" s="202">
        <f t="shared" si="7"/>
        <v>-20395260.049999952</v>
      </c>
      <c r="I48" s="255">
        <f t="shared" si="8"/>
        <v>-3.5446416096712881</v>
      </c>
      <c r="J48" s="152">
        <f>+SUM(J49:J53)</f>
        <v>532392220.36999995</v>
      </c>
      <c r="K48" s="250">
        <f t="shared" si="2"/>
        <v>14.275163436653706</v>
      </c>
      <c r="L48" s="202">
        <f t="shared" si="3"/>
        <v>22595373.359999955</v>
      </c>
      <c r="M48" s="255">
        <f t="shared" si="4"/>
        <v>4.2441216260253896</v>
      </c>
      <c r="N48" s="152">
        <f>+SUM(N49:N53)</f>
        <v>487041860.10000014</v>
      </c>
      <c r="O48" s="242">
        <f t="shared" si="5"/>
        <v>13.435637520000004</v>
      </c>
      <c r="P48" s="202">
        <f t="shared" si="9"/>
        <v>67945733.629999757</v>
      </c>
      <c r="Q48" s="255">
        <f t="shared" si="0"/>
        <v>13.950696890006341</v>
      </c>
      <c r="BQ48" s="159"/>
      <c r="BR48" s="159"/>
      <c r="BS48" s="143"/>
      <c r="BT48" s="143"/>
      <c r="BU48" s="143"/>
      <c r="BV48" s="140"/>
    </row>
    <row r="49" spans="1:74" ht="13.5" customHeight="1">
      <c r="B49" s="80">
        <v>421</v>
      </c>
      <c r="C49" s="97" t="s">
        <v>88</v>
      </c>
      <c r="D49" s="154">
        <v>114057703.71999997</v>
      </c>
      <c r="E49" s="243">
        <f t="shared" si="1"/>
        <v>3.0582572387719527</v>
      </c>
      <c r="F49" s="154">
        <v>86455625</v>
      </c>
      <c r="G49" s="251">
        <f t="shared" si="1"/>
        <v>2.3181559190239978</v>
      </c>
      <c r="H49" s="205">
        <f t="shared" si="7"/>
        <v>27602078.719999969</v>
      </c>
      <c r="I49" s="256">
        <f t="shared" si="8"/>
        <v>31.926295969753227</v>
      </c>
      <c r="J49" s="154">
        <v>72605625</v>
      </c>
      <c r="K49" s="251">
        <f t="shared" si="2"/>
        <v>1.946792465477946</v>
      </c>
      <c r="L49" s="205">
        <f t="shared" si="3"/>
        <v>41452078.719999969</v>
      </c>
      <c r="M49" s="256">
        <f t="shared" si="4"/>
        <v>57.092103704086242</v>
      </c>
      <c r="N49" s="154">
        <v>60836104.649999991</v>
      </c>
      <c r="O49" s="243">
        <f t="shared" si="5"/>
        <v>1.6782373696551722</v>
      </c>
      <c r="P49" s="205">
        <f t="shared" si="9"/>
        <v>53221599.069999978</v>
      </c>
      <c r="Q49" s="256">
        <f t="shared" si="0"/>
        <v>87.483574722925624</v>
      </c>
      <c r="BQ49" s="159"/>
      <c r="BR49" s="159"/>
      <c r="BS49" s="143"/>
      <c r="BT49" s="143"/>
      <c r="BU49" s="143"/>
      <c r="BV49" s="140"/>
    </row>
    <row r="50" spans="1:74" ht="13.5" customHeight="1">
      <c r="B50" s="80">
        <v>422</v>
      </c>
      <c r="C50" s="97" t="s">
        <v>90</v>
      </c>
      <c r="D50" s="154">
        <v>22568289.629999999</v>
      </c>
      <c r="E50" s="243">
        <f t="shared" si="1"/>
        <v>0.60512909585735353</v>
      </c>
      <c r="F50" s="154">
        <v>25718132</v>
      </c>
      <c r="G50" s="251">
        <f t="shared" si="1"/>
        <v>0.68958659337712824</v>
      </c>
      <c r="H50" s="205">
        <f t="shared" si="7"/>
        <v>-3149842.370000001</v>
      </c>
      <c r="I50" s="256">
        <f t="shared" si="8"/>
        <v>-12.247555032379495</v>
      </c>
      <c r="J50" s="154">
        <v>22810100.000000004</v>
      </c>
      <c r="K50" s="251">
        <f t="shared" si="2"/>
        <v>0.6116128167314655</v>
      </c>
      <c r="L50" s="205">
        <f t="shared" si="3"/>
        <v>-241810.37000000477</v>
      </c>
      <c r="M50" s="256">
        <f t="shared" si="4"/>
        <v>-1.0601021915730513</v>
      </c>
      <c r="N50" s="154">
        <v>16655316.650000002</v>
      </c>
      <c r="O50" s="243">
        <f t="shared" si="5"/>
        <v>0.45945701103448278</v>
      </c>
      <c r="P50" s="205">
        <f t="shared" si="9"/>
        <v>5912972.9799999967</v>
      </c>
      <c r="Q50" s="256">
        <f t="shared" si="0"/>
        <v>35.502014787572335</v>
      </c>
      <c r="BQ50" s="159"/>
      <c r="BR50" s="159"/>
      <c r="BS50" s="143"/>
      <c r="BT50" s="143"/>
      <c r="BU50" s="143"/>
      <c r="BV50" s="140"/>
    </row>
    <row r="51" spans="1:74" ht="13.5" customHeight="1">
      <c r="B51" s="80">
        <v>423</v>
      </c>
      <c r="C51" s="97" t="s">
        <v>92</v>
      </c>
      <c r="D51" s="154">
        <v>390815633.62999994</v>
      </c>
      <c r="E51" s="243">
        <f t="shared" si="1"/>
        <v>10.479035624882691</v>
      </c>
      <c r="F51" s="154">
        <v>438109035.36999995</v>
      </c>
      <c r="G51" s="251">
        <f t="shared" si="1"/>
        <v>11.747125227778522</v>
      </c>
      <c r="H51" s="205">
        <f t="shared" si="7"/>
        <v>-47293401.74000001</v>
      </c>
      <c r="I51" s="256">
        <f t="shared" si="8"/>
        <v>-10.794893033890276</v>
      </c>
      <c r="J51" s="154">
        <v>414009035.36999995</v>
      </c>
      <c r="K51" s="251">
        <f t="shared" si="2"/>
        <v>11.100926005362648</v>
      </c>
      <c r="L51" s="205">
        <f t="shared" si="3"/>
        <v>-23193401.74000001</v>
      </c>
      <c r="M51" s="256">
        <f t="shared" si="4"/>
        <v>-5.6021486872314483</v>
      </c>
      <c r="N51" s="154">
        <v>387038896.73000014</v>
      </c>
      <c r="O51" s="243">
        <f t="shared" si="5"/>
        <v>10.676935082206901</v>
      </c>
      <c r="P51" s="205">
        <f t="shared" si="9"/>
        <v>3776736.8999997973</v>
      </c>
      <c r="Q51" s="256">
        <f t="shared" si="0"/>
        <v>0.97580293141297147</v>
      </c>
      <c r="BQ51" s="159"/>
      <c r="BR51" s="159"/>
      <c r="BS51" s="143"/>
      <c r="BT51" s="143"/>
      <c r="BU51" s="143"/>
      <c r="BV51" s="140"/>
    </row>
    <row r="52" spans="1:74" ht="13.5" customHeight="1">
      <c r="B52" s="80">
        <v>424</v>
      </c>
      <c r="C52" s="97" t="s">
        <v>94</v>
      </c>
      <c r="D52" s="154">
        <v>16279749.999999996</v>
      </c>
      <c r="E52" s="243">
        <f t="shared" si="1"/>
        <v>0.43651293739107111</v>
      </c>
      <c r="F52" s="154">
        <v>15001000</v>
      </c>
      <c r="G52" s="251">
        <f t="shared" si="1"/>
        <v>0.40222549939670199</v>
      </c>
      <c r="H52" s="205">
        <f t="shared" si="7"/>
        <v>1278749.9999999963</v>
      </c>
      <c r="I52" s="256">
        <f t="shared" si="8"/>
        <v>8.5244317045530096</v>
      </c>
      <c r="J52" s="154">
        <v>15001000.000000002</v>
      </c>
      <c r="K52" s="251">
        <f t="shared" si="2"/>
        <v>0.40222549939670199</v>
      </c>
      <c r="L52" s="205">
        <f t="shared" si="3"/>
        <v>1278749.9999999944</v>
      </c>
      <c r="M52" s="256">
        <f t="shared" si="4"/>
        <v>8.5244317045529954</v>
      </c>
      <c r="N52" s="154">
        <v>14449999.999999998</v>
      </c>
      <c r="O52" s="243">
        <f t="shared" si="5"/>
        <v>0.39862068965517233</v>
      </c>
      <c r="P52" s="205">
        <f t="shared" si="9"/>
        <v>1829749.9999999981</v>
      </c>
      <c r="Q52" s="256">
        <f t="shared" si="0"/>
        <v>12.662629757785453</v>
      </c>
      <c r="BQ52" s="159"/>
      <c r="BR52" s="159"/>
      <c r="BS52" s="143"/>
      <c r="BT52" s="143"/>
      <c r="BU52" s="143"/>
      <c r="BV52" s="140"/>
    </row>
    <row r="53" spans="1:74" ht="13.5" customHeight="1">
      <c r="B53" s="80">
        <v>425</v>
      </c>
      <c r="C53" s="97" t="s">
        <v>431</v>
      </c>
      <c r="D53" s="154">
        <v>11266216.75</v>
      </c>
      <c r="E53" s="243">
        <f t="shared" si="1"/>
        <v>0.30208383831612817</v>
      </c>
      <c r="F53" s="154">
        <v>10099061.41</v>
      </c>
      <c r="G53" s="251">
        <f t="shared" si="1"/>
        <v>0.27078861536398979</v>
      </c>
      <c r="H53" s="205">
        <f t="shared" si="7"/>
        <v>1167155.3399999999</v>
      </c>
      <c r="I53" s="256">
        <f t="shared" si="8"/>
        <v>11.557067460192826</v>
      </c>
      <c r="J53" s="154">
        <v>7966460.0000000009</v>
      </c>
      <c r="K53" s="251">
        <f t="shared" si="2"/>
        <v>0.21360664968494439</v>
      </c>
      <c r="L53" s="205">
        <f t="shared" si="3"/>
        <v>3299756.7499999991</v>
      </c>
      <c r="M53" s="256">
        <f t="shared" si="4"/>
        <v>41.420615304664778</v>
      </c>
      <c r="N53" s="154">
        <v>8061542.0699999994</v>
      </c>
      <c r="O53" s="243">
        <f t="shared" si="5"/>
        <v>0.22238736744827586</v>
      </c>
      <c r="P53" s="205">
        <f t="shared" si="9"/>
        <v>3204674.6800000006</v>
      </c>
      <c r="Q53" s="256">
        <f t="shared" si="0"/>
        <v>39.752626137445702</v>
      </c>
      <c r="BQ53" s="159"/>
      <c r="BR53" s="159"/>
      <c r="BS53" s="143"/>
      <c r="BT53" s="143"/>
      <c r="BU53" s="143"/>
      <c r="BV53" s="140"/>
    </row>
    <row r="54" spans="1:74" ht="13.5" customHeight="1">
      <c r="A54" s="80">
        <v>43</v>
      </c>
      <c r="B54" s="80">
        <v>431</v>
      </c>
      <c r="C54" s="93" t="s">
        <v>432</v>
      </c>
      <c r="D54" s="152">
        <f>SUM(D55:D56)</f>
        <v>171815385.72</v>
      </c>
      <c r="E54" s="242">
        <f t="shared" si="1"/>
        <v>4.6069281598069445</v>
      </c>
      <c r="F54" s="152">
        <f>SUM(F55:F56)</f>
        <v>170991948.05000001</v>
      </c>
      <c r="G54" s="250">
        <f t="shared" si="1"/>
        <v>4.5848491232068644</v>
      </c>
      <c r="H54" s="94">
        <f t="shared" si="7"/>
        <v>823437.66999998689</v>
      </c>
      <c r="I54" s="242">
        <f t="shared" si="8"/>
        <v>0.48156517274090049</v>
      </c>
      <c r="J54" s="152">
        <f>SUM(J55:J56)</f>
        <v>146359540.05000001</v>
      </c>
      <c r="K54" s="250">
        <f t="shared" si="2"/>
        <v>3.9243743142512404</v>
      </c>
      <c r="L54" s="94">
        <f t="shared" si="3"/>
        <v>25455845.669999987</v>
      </c>
      <c r="M54" s="242">
        <f t="shared" si="4"/>
        <v>17.392679466814158</v>
      </c>
      <c r="N54" s="152">
        <f>SUM(N55:N56)</f>
        <v>136226214.47</v>
      </c>
      <c r="O54" s="242">
        <f t="shared" si="5"/>
        <v>3.7579645371034482</v>
      </c>
      <c r="P54" s="202">
        <f t="shared" si="9"/>
        <v>35589171.25</v>
      </c>
      <c r="Q54" s="255">
        <f t="shared" si="0"/>
        <v>26.125053381585019</v>
      </c>
      <c r="BQ54" s="159"/>
      <c r="BR54" s="159"/>
      <c r="BS54" s="143"/>
      <c r="BT54" s="143"/>
      <c r="BU54" s="143"/>
      <c r="BV54" s="140"/>
    </row>
    <row r="55" spans="1:74" ht="13.5" customHeight="1">
      <c r="C55" s="237" t="s">
        <v>432</v>
      </c>
      <c r="D55" s="298">
        <v>170621786.5</v>
      </c>
      <c r="E55" s="242">
        <f t="shared" si="1"/>
        <v>4.5749238906019576</v>
      </c>
      <c r="F55" s="298">
        <v>169854448.05000001</v>
      </c>
      <c r="G55" s="250">
        <f t="shared" si="1"/>
        <v>4.5543490561737503</v>
      </c>
      <c r="H55" s="94">
        <f t="shared" si="7"/>
        <v>767338.44999998808</v>
      </c>
      <c r="I55" s="242">
        <f t="shared" si="8"/>
        <v>0.45176235230184147</v>
      </c>
      <c r="J55" s="298">
        <v>145222040.05000001</v>
      </c>
      <c r="K55" s="250">
        <f t="shared" si="2"/>
        <v>3.8938742472181258</v>
      </c>
      <c r="L55" s="94">
        <f t="shared" si="3"/>
        <v>25399746.449999988</v>
      </c>
      <c r="M55" s="242">
        <f t="shared" si="4"/>
        <v>17.490283459215178</v>
      </c>
      <c r="N55" s="298">
        <v>135771284.09999999</v>
      </c>
      <c r="O55" s="242">
        <f t="shared" si="5"/>
        <v>3.745414733793103</v>
      </c>
      <c r="P55" s="202">
        <f t="shared" si="9"/>
        <v>34850502.400000006</v>
      </c>
      <c r="Q55" s="255">
        <f t="shared" si="0"/>
        <v>25.668537077642625</v>
      </c>
      <c r="BQ55" s="159"/>
      <c r="BR55" s="159"/>
      <c r="BS55" s="143"/>
      <c r="BT55" s="143"/>
      <c r="BU55" s="143"/>
      <c r="BV55" s="140"/>
    </row>
    <row r="56" spans="1:74" ht="13.5" customHeight="1" thickBot="1">
      <c r="C56" s="237" t="s">
        <v>464</v>
      </c>
      <c r="D56" s="298">
        <v>1193599.22</v>
      </c>
      <c r="E56" s="242">
        <f t="shared" si="1"/>
        <v>3.2004269204987265E-2</v>
      </c>
      <c r="F56" s="298">
        <v>1137500</v>
      </c>
      <c r="G56" s="250">
        <f t="shared" si="1"/>
        <v>3.0500067033114361E-2</v>
      </c>
      <c r="H56" s="94">
        <f t="shared" si="7"/>
        <v>56099.219999999972</v>
      </c>
      <c r="I56" s="242">
        <f t="shared" si="8"/>
        <v>4.9317995604395719</v>
      </c>
      <c r="J56" s="298">
        <v>1137500</v>
      </c>
      <c r="K56" s="250">
        <f t="shared" si="2"/>
        <v>3.0500067033114361E-2</v>
      </c>
      <c r="L56" s="94">
        <f t="shared" si="3"/>
        <v>56099.219999999972</v>
      </c>
      <c r="M56" s="242">
        <f t="shared" si="4"/>
        <v>4.9317995604395719</v>
      </c>
      <c r="N56" s="298">
        <v>454930.37</v>
      </c>
      <c r="O56" s="242">
        <f t="shared" si="5"/>
        <v>1.2549803310344826E-2</v>
      </c>
      <c r="P56" s="202">
        <f t="shared" si="9"/>
        <v>738668.85</v>
      </c>
      <c r="Q56" s="255">
        <f t="shared" si="0"/>
        <v>162.36965010711418</v>
      </c>
      <c r="BQ56" s="159"/>
      <c r="BR56" s="159"/>
      <c r="BS56" s="143"/>
      <c r="BT56" s="143"/>
      <c r="BU56" s="143"/>
      <c r="BV56" s="140"/>
    </row>
    <row r="57" spans="1:74" ht="13.5" customHeight="1" thickTop="1" thickBot="1">
      <c r="B57" s="80">
        <v>44</v>
      </c>
      <c r="C57" s="90" t="s">
        <v>130</v>
      </c>
      <c r="D57" s="299">
        <v>64819445</v>
      </c>
      <c r="E57" s="244">
        <f t="shared" si="1"/>
        <v>1.7380197077356214</v>
      </c>
      <c r="F57" s="160">
        <v>115731145.75999999</v>
      </c>
      <c r="G57" s="249">
        <f t="shared" si="1"/>
        <v>3.1031276514278052</v>
      </c>
      <c r="H57" s="160">
        <f t="shared" si="7"/>
        <v>-50911700.75999999</v>
      </c>
      <c r="I57" s="244">
        <f t="shared" si="8"/>
        <v>-43.991356367955824</v>
      </c>
      <c r="J57" s="160">
        <v>334857800</v>
      </c>
      <c r="K57" s="249">
        <f t="shared" si="2"/>
        <v>8.9786244804933641</v>
      </c>
      <c r="L57" s="160">
        <f t="shared" si="3"/>
        <v>-270038355</v>
      </c>
      <c r="M57" s="244">
        <f t="shared" si="4"/>
        <v>-80.642695197782459</v>
      </c>
      <c r="N57" s="160">
        <v>228003108.57000002</v>
      </c>
      <c r="O57" s="244">
        <f t="shared" si="5"/>
        <v>6.2897409260689665</v>
      </c>
      <c r="P57" s="160">
        <f>+D57-N57</f>
        <v>-163183663.57000002</v>
      </c>
      <c r="Q57" s="244">
        <f t="shared" si="0"/>
        <v>-71.570806465518189</v>
      </c>
      <c r="BQ57" s="159"/>
      <c r="BR57" s="159"/>
      <c r="BS57" s="143"/>
      <c r="BT57" s="143"/>
      <c r="BU57" s="143"/>
      <c r="BV57" s="140"/>
    </row>
    <row r="58" spans="1:74" ht="13.5" customHeight="1" thickTop="1">
      <c r="B58" s="80">
        <v>451</v>
      </c>
      <c r="C58" s="93" t="s">
        <v>110</v>
      </c>
      <c r="D58" s="152">
        <v>2868099.3</v>
      </c>
      <c r="E58" s="242">
        <f t="shared" si="1"/>
        <v>7.6903051347365595E-2</v>
      </c>
      <c r="F58" s="152">
        <v>2550000</v>
      </c>
      <c r="G58" s="250">
        <f t="shared" si="1"/>
        <v>6.8373776645662965E-2</v>
      </c>
      <c r="H58" s="204">
        <f t="shared" si="7"/>
        <v>318099.29999999981</v>
      </c>
      <c r="I58" s="255">
        <f t="shared" si="8"/>
        <v>12.47448235294118</v>
      </c>
      <c r="J58" s="152">
        <v>2350000</v>
      </c>
      <c r="K58" s="250">
        <f t="shared" si="2"/>
        <v>6.301112749698351E-2</v>
      </c>
      <c r="L58" s="204">
        <f t="shared" si="3"/>
        <v>518099.29999999981</v>
      </c>
      <c r="M58" s="255">
        <f t="shared" si="4"/>
        <v>22.046778723404231</v>
      </c>
      <c r="N58" s="152">
        <v>2975830.1199999996</v>
      </c>
      <c r="O58" s="242">
        <f t="shared" si="5"/>
        <v>8.2091865379310333E-2</v>
      </c>
      <c r="P58" s="152">
        <f t="shared" si="9"/>
        <v>-107730.81999999983</v>
      </c>
      <c r="Q58" s="255">
        <f t="shared" si="0"/>
        <v>-3.6201938839169969</v>
      </c>
      <c r="BQ58" s="159"/>
      <c r="BR58" s="159"/>
      <c r="BS58" s="143"/>
      <c r="BT58" s="143"/>
      <c r="BU58" s="143"/>
      <c r="BV58" s="140"/>
    </row>
    <row r="59" spans="1:74" ht="13.5" customHeight="1" thickBot="1">
      <c r="B59" s="80">
        <v>47</v>
      </c>
      <c r="C59" s="93" t="s">
        <v>117</v>
      </c>
      <c r="D59" s="152">
        <v>18898013.969999999</v>
      </c>
      <c r="E59" s="242">
        <f t="shared" si="1"/>
        <v>0.50671709263976406</v>
      </c>
      <c r="F59" s="152">
        <v>18669277.859999999</v>
      </c>
      <c r="G59" s="250">
        <f t="shared" si="1"/>
        <v>0.50058393511194532</v>
      </c>
      <c r="H59" s="204">
        <f t="shared" si="7"/>
        <v>228736.1099999994</v>
      </c>
      <c r="I59" s="255">
        <f t="shared" si="8"/>
        <v>1.2252006302294234</v>
      </c>
      <c r="J59" s="152">
        <v>14429277.860000001</v>
      </c>
      <c r="K59" s="250">
        <f t="shared" si="2"/>
        <v>0.38689577315994106</v>
      </c>
      <c r="L59" s="204">
        <f t="shared" si="3"/>
        <v>4468736.1099999975</v>
      </c>
      <c r="M59" s="255">
        <f t="shared" si="4"/>
        <v>30.969922080355559</v>
      </c>
      <c r="N59" s="152">
        <v>16643694.030000001</v>
      </c>
      <c r="O59" s="242">
        <f t="shared" si="5"/>
        <v>0.45913638703448278</v>
      </c>
      <c r="P59" s="152">
        <f t="shared" si="9"/>
        <v>2254319.9399999976</v>
      </c>
      <c r="Q59" s="255">
        <f t="shared" si="0"/>
        <v>13.544588935224482</v>
      </c>
      <c r="BQ59" s="159"/>
      <c r="BR59" s="159"/>
      <c r="BS59" s="143"/>
      <c r="BT59" s="143"/>
      <c r="BU59" s="143"/>
      <c r="BV59" s="140"/>
    </row>
    <row r="60" spans="1:74" ht="13.5" customHeight="1" thickTop="1" thickBot="1">
      <c r="B60" s="80">
        <v>462</v>
      </c>
      <c r="C60" s="146" t="s">
        <v>112</v>
      </c>
      <c r="D60" s="161">
        <v>0</v>
      </c>
      <c r="E60" s="246">
        <f t="shared" si="1"/>
        <v>0</v>
      </c>
      <c r="F60" s="161">
        <v>0</v>
      </c>
      <c r="G60" s="252">
        <f t="shared" si="1"/>
        <v>0</v>
      </c>
      <c r="H60" s="206">
        <f t="shared" si="7"/>
        <v>0</v>
      </c>
      <c r="I60" s="258" t="e">
        <f t="shared" si="8"/>
        <v>#DIV/0!</v>
      </c>
      <c r="J60" s="161">
        <v>0</v>
      </c>
      <c r="K60" s="252">
        <f t="shared" si="2"/>
        <v>0</v>
      </c>
      <c r="L60" s="206">
        <f t="shared" si="3"/>
        <v>0</v>
      </c>
      <c r="M60" s="258" t="str">
        <f t="shared" si="4"/>
        <v>...</v>
      </c>
      <c r="N60" s="161">
        <v>0</v>
      </c>
      <c r="O60" s="246">
        <f t="shared" si="5"/>
        <v>0</v>
      </c>
      <c r="P60" s="161">
        <f t="shared" si="9"/>
        <v>0</v>
      </c>
      <c r="Q60" s="258" t="str">
        <f>+IF(ISNUMBER(D60/N60*100-100),D60/N60*100-100,"...")</f>
        <v>...</v>
      </c>
      <c r="BQ60" s="159"/>
      <c r="BR60" s="159"/>
      <c r="BS60" s="143"/>
      <c r="BT60" s="143"/>
      <c r="BU60" s="143"/>
      <c r="BV60" s="140"/>
    </row>
    <row r="61" spans="1:74" ht="13.5" customHeight="1" thickTop="1" thickBot="1">
      <c r="B61" s="301" t="s">
        <v>450</v>
      </c>
      <c r="C61" s="208" t="s">
        <v>449</v>
      </c>
      <c r="D61" s="330">
        <v>69262528.650000006</v>
      </c>
      <c r="E61" s="247">
        <f t="shared" si="1"/>
        <v>1.8571532015015417</v>
      </c>
      <c r="F61" s="209">
        <v>0</v>
      </c>
      <c r="G61" s="253">
        <f t="shared" si="1"/>
        <v>0</v>
      </c>
      <c r="H61" s="210">
        <f t="shared" si="7"/>
        <v>69262528.650000006</v>
      </c>
      <c r="I61" s="259" t="e">
        <f t="shared" si="8"/>
        <v>#DIV/0!</v>
      </c>
      <c r="J61" s="209">
        <v>0</v>
      </c>
      <c r="K61" s="253">
        <f t="shared" si="2"/>
        <v>0</v>
      </c>
      <c r="L61" s="210">
        <f>+D61-J61</f>
        <v>69262528.650000006</v>
      </c>
      <c r="M61" s="259" t="str">
        <f>+IF(ISNUMBER(D61/J61*100-100),D61/J61*100-100,"...")</f>
        <v>...</v>
      </c>
      <c r="N61" s="209">
        <v>77407937.149999946</v>
      </c>
      <c r="O61" s="247">
        <f>+N61/$N$11*100</f>
        <v>2.1353913696551712</v>
      </c>
      <c r="P61" s="210">
        <f>+D61-N61</f>
        <v>-8145408.4999999404</v>
      </c>
      <c r="Q61" s="258">
        <f t="shared" ref="Q61:Q75" si="10">+IF(ISNUMBER(L61/N61*100-100),L61/N61*100-100,"...")</f>
        <v>-10.522704518292329</v>
      </c>
      <c r="BQ61" s="159"/>
      <c r="BR61" s="159"/>
      <c r="BS61" s="143"/>
      <c r="BT61" s="143"/>
      <c r="BU61" s="143"/>
      <c r="BV61" s="140"/>
    </row>
    <row r="62" spans="1:74" ht="13.5" customHeight="1" thickTop="1" thickBot="1">
      <c r="B62" s="80">
        <v>990</v>
      </c>
      <c r="C62" s="315" t="s">
        <v>470</v>
      </c>
      <c r="D62" s="152">
        <v>0</v>
      </c>
      <c r="E62" s="242">
        <f t="shared" si="1"/>
        <v>0</v>
      </c>
      <c r="F62" s="152">
        <v>0</v>
      </c>
      <c r="G62" s="250">
        <f t="shared" si="1"/>
        <v>0</v>
      </c>
      <c r="H62" s="204">
        <f t="shared" si="7"/>
        <v>0</v>
      </c>
      <c r="I62" s="260" t="e">
        <f t="shared" si="8"/>
        <v>#DIV/0!</v>
      </c>
      <c r="J62" s="152">
        <v>0</v>
      </c>
      <c r="K62" s="250">
        <f t="shared" si="2"/>
        <v>0</v>
      </c>
      <c r="L62" s="204">
        <f t="shared" si="3"/>
        <v>0</v>
      </c>
      <c r="M62" s="260" t="str">
        <f t="shared" si="4"/>
        <v>...</v>
      </c>
      <c r="N62" s="317">
        <v>-15133946.66</v>
      </c>
      <c r="O62" s="242">
        <f t="shared" si="5"/>
        <v>-0.41748818372413798</v>
      </c>
      <c r="P62" s="152">
        <f t="shared" si="9"/>
        <v>15133946.66</v>
      </c>
      <c r="Q62" s="258">
        <f t="shared" si="10"/>
        <v>-100</v>
      </c>
      <c r="BQ62" s="159"/>
      <c r="BR62" s="159"/>
      <c r="BS62" s="143"/>
      <c r="BT62" s="143"/>
      <c r="BU62" s="143"/>
      <c r="BV62" s="140"/>
    </row>
    <row r="63" spans="1:74" ht="13.5" customHeight="1" thickTop="1" thickBot="1">
      <c r="C63" s="90" t="s">
        <v>446</v>
      </c>
      <c r="D63" s="91">
        <f>+D16-D35</f>
        <v>-129434081.05999994</v>
      </c>
      <c r="E63" s="244">
        <f>+D63/$D$11*100</f>
        <v>-3.4705478230325761</v>
      </c>
      <c r="F63" s="91">
        <f>+F16-F35</f>
        <v>-129598900.15478706</v>
      </c>
      <c r="G63" s="249">
        <f t="shared" si="1"/>
        <v>-3.4749671579243078</v>
      </c>
      <c r="H63" s="91">
        <f t="shared" si="7"/>
        <v>164819.09478712082</v>
      </c>
      <c r="I63" s="244">
        <f t="shared" si="8"/>
        <v>-0.12717630673583358</v>
      </c>
      <c r="J63" s="91">
        <f>+J16-J35</f>
        <v>-273925689.54656005</v>
      </c>
      <c r="K63" s="249">
        <f t="shared" si="2"/>
        <v>-7.344836829241455</v>
      </c>
      <c r="L63" s="91">
        <f t="shared" si="3"/>
        <v>144491608.48656011</v>
      </c>
      <c r="M63" s="244">
        <f t="shared" si="4"/>
        <v>-52.748469384431502</v>
      </c>
      <c r="N63" s="91">
        <f>+N16-N35</f>
        <v>-291247274.23000026</v>
      </c>
      <c r="O63" s="244">
        <f t="shared" si="5"/>
        <v>-8.0344075649655249</v>
      </c>
      <c r="P63" s="91">
        <f t="shared" si="9"/>
        <v>161813193.17000031</v>
      </c>
      <c r="Q63" s="244">
        <f t="shared" si="10"/>
        <v>-149.61131700496327</v>
      </c>
      <c r="BQ63" s="159"/>
      <c r="BR63" s="159"/>
      <c r="BS63" s="143"/>
      <c r="BT63" s="143"/>
      <c r="BU63" s="143"/>
      <c r="BV63" s="140"/>
    </row>
    <row r="64" spans="1:74" ht="13.5" customHeight="1" thickTop="1" thickBot="1">
      <c r="C64" s="321" t="s">
        <v>476</v>
      </c>
      <c r="D64" s="91"/>
      <c r="E64" s="244"/>
      <c r="F64" s="91"/>
      <c r="G64" s="249">
        <f t="shared" si="1"/>
        <v>0</v>
      </c>
      <c r="H64" s="91">
        <f t="shared" si="7"/>
        <v>0</v>
      </c>
      <c r="I64" s="244" t="e">
        <f t="shared" si="8"/>
        <v>#DIV/0!</v>
      </c>
      <c r="J64" s="91"/>
      <c r="K64" s="249"/>
      <c r="L64" s="91"/>
      <c r="M64" s="244"/>
      <c r="N64" s="91">
        <f>N63-N62</f>
        <v>-276113327.57000023</v>
      </c>
      <c r="O64" s="244">
        <f t="shared" si="5"/>
        <v>-7.6169193812413853</v>
      </c>
      <c r="P64" s="91"/>
      <c r="Q64" s="244"/>
      <c r="BQ64" s="159"/>
      <c r="BR64" s="159"/>
      <c r="BS64" s="143"/>
      <c r="BT64" s="143"/>
      <c r="BU64" s="143"/>
      <c r="BV64" s="140"/>
    </row>
    <row r="65" spans="2:74" ht="13.5" customHeight="1" thickTop="1" thickBot="1">
      <c r="C65" s="90" t="s">
        <v>452</v>
      </c>
      <c r="D65" s="91">
        <f>+D63+D43</f>
        <v>-48108000.409999952</v>
      </c>
      <c r="E65" s="244">
        <f t="shared" si="1"/>
        <v>-1.2899316372167837</v>
      </c>
      <c r="F65" s="91">
        <f>+F63+F43</f>
        <v>-52999543.954787061</v>
      </c>
      <c r="G65" s="249">
        <f t="shared" si="1"/>
        <v>-1.4210897963476889</v>
      </c>
      <c r="H65" s="91">
        <f t="shared" si="7"/>
        <v>4891543.5447871089</v>
      </c>
      <c r="I65" s="244">
        <f t="shared" si="8"/>
        <v>-9.2294068585948423</v>
      </c>
      <c r="J65" s="91">
        <f>+J63+J43</f>
        <v>-197437333.34656003</v>
      </c>
      <c r="K65" s="249">
        <f t="shared" si="2"/>
        <v>-5.2939357379423528</v>
      </c>
      <c r="L65" s="91">
        <f t="shared" si="3"/>
        <v>149329332.93656009</v>
      </c>
      <c r="M65" s="244">
        <f t="shared" si="4"/>
        <v>-75.633787392399398</v>
      </c>
      <c r="N65" s="91">
        <f>+N63+N43</f>
        <v>-209444524.48000026</v>
      </c>
      <c r="O65" s="244">
        <f t="shared" si="5"/>
        <v>-5.7777799856551795</v>
      </c>
      <c r="P65" s="91">
        <f t="shared" si="9"/>
        <v>161336524.07000029</v>
      </c>
      <c r="Q65" s="244">
        <f t="shared" si="10"/>
        <v>-171.2977974990315</v>
      </c>
      <c r="BQ65" s="159"/>
      <c r="BR65" s="159"/>
      <c r="BS65" s="143"/>
      <c r="BT65" s="143"/>
      <c r="BU65" s="143"/>
      <c r="BV65" s="140"/>
    </row>
    <row r="66" spans="2:74" ht="13.5" customHeight="1" thickTop="1" thickBot="1">
      <c r="C66" s="90" t="s">
        <v>453</v>
      </c>
      <c r="D66" s="91">
        <f>+SUM(D67:D68)</f>
        <v>533116186.30999994</v>
      </c>
      <c r="E66" s="244">
        <f t="shared" si="1"/>
        <v>14.294575313312773</v>
      </c>
      <c r="F66" s="91">
        <f>+SUM(F67:F69)</f>
        <v>417850585.75999999</v>
      </c>
      <c r="G66" s="249">
        <f t="shared" si="1"/>
        <v>11.203930440005362</v>
      </c>
      <c r="H66" s="91">
        <f t="shared" si="7"/>
        <v>115265600.54999995</v>
      </c>
      <c r="I66" s="244">
        <f t="shared" si="8"/>
        <v>27.58536292113871</v>
      </c>
      <c r="J66" s="91">
        <f>+SUM(J67:J69)</f>
        <v>393223383.50999999</v>
      </c>
      <c r="K66" s="249">
        <f t="shared" si="2"/>
        <v>10.543595214103767</v>
      </c>
      <c r="L66" s="91">
        <f t="shared" si="3"/>
        <v>139892802.79999995</v>
      </c>
      <c r="M66" s="244">
        <f t="shared" si="4"/>
        <v>35.575911470799468</v>
      </c>
      <c r="N66" s="91">
        <f>+SUM(N67:N68)</f>
        <v>541742968.75999999</v>
      </c>
      <c r="O66" s="244">
        <f t="shared" si="5"/>
        <v>14.944633620965517</v>
      </c>
      <c r="P66" s="91">
        <f t="shared" si="9"/>
        <v>-8626782.4500000477</v>
      </c>
      <c r="Q66" s="244">
        <f t="shared" si="10"/>
        <v>-74.177273934869561</v>
      </c>
      <c r="BQ66" s="159"/>
      <c r="BR66" s="159"/>
      <c r="BS66" s="143"/>
      <c r="BT66" s="143"/>
      <c r="BU66" s="143"/>
      <c r="BV66" s="140"/>
    </row>
    <row r="67" spans="2:74" ht="13.5" customHeight="1" thickTop="1">
      <c r="B67" s="80">
        <v>4611</v>
      </c>
      <c r="C67" s="97" t="s">
        <v>454</v>
      </c>
      <c r="D67" s="154">
        <v>225446619.97999999</v>
      </c>
      <c r="E67" s="243">
        <f t="shared" si="1"/>
        <v>6.0449556235420294</v>
      </c>
      <c r="F67" s="154">
        <v>44675182.640000001</v>
      </c>
      <c r="G67" s="251">
        <f t="shared" si="1"/>
        <v>1.1978866507574741</v>
      </c>
      <c r="H67" s="205">
        <f t="shared" si="7"/>
        <v>180771437.33999997</v>
      </c>
      <c r="I67" s="256">
        <f t="shared" si="8"/>
        <v>404.63502700523037</v>
      </c>
      <c r="J67" s="154">
        <v>44675182.640000001</v>
      </c>
      <c r="K67" s="251">
        <f t="shared" si="2"/>
        <v>1.1978866507574741</v>
      </c>
      <c r="L67" s="205">
        <f t="shared" si="3"/>
        <v>180771437.33999997</v>
      </c>
      <c r="M67" s="256">
        <f t="shared" si="4"/>
        <v>404.63502700523037</v>
      </c>
      <c r="N67" s="154">
        <v>221709652.11999997</v>
      </c>
      <c r="O67" s="243">
        <f t="shared" si="5"/>
        <v>6.1161283343448263</v>
      </c>
      <c r="P67" s="205">
        <f t="shared" si="9"/>
        <v>3736967.8600000143</v>
      </c>
      <c r="Q67" s="256">
        <f t="shared" si="10"/>
        <v>-18.464786890668279</v>
      </c>
      <c r="BQ67" s="159"/>
      <c r="BR67" s="159"/>
      <c r="BS67" s="143"/>
      <c r="BT67" s="143"/>
      <c r="BU67" s="143"/>
      <c r="BV67" s="140"/>
    </row>
    <row r="68" spans="2:74" ht="13.5" customHeight="1">
      <c r="B68" s="80">
        <v>4612</v>
      </c>
      <c r="C68" s="97" t="s">
        <v>455</v>
      </c>
      <c r="D68" s="154">
        <v>307669566.32999992</v>
      </c>
      <c r="E68" s="243">
        <f t="shared" si="1"/>
        <v>8.2496196897707446</v>
      </c>
      <c r="F68" s="154">
        <v>309173445.5</v>
      </c>
      <c r="G68" s="251">
        <f t="shared" si="1"/>
        <v>8.2899435715243328</v>
      </c>
      <c r="H68" s="205">
        <f t="shared" si="7"/>
        <v>-1503879.1700000763</v>
      </c>
      <c r="I68" s="256">
        <f t="shared" si="8"/>
        <v>-0.48641925491627092</v>
      </c>
      <c r="J68" s="154">
        <v>309173445.5</v>
      </c>
      <c r="K68" s="251">
        <f t="shared" si="2"/>
        <v>8.2899435715243328</v>
      </c>
      <c r="L68" s="205">
        <f t="shared" si="3"/>
        <v>-1503879.1700000763</v>
      </c>
      <c r="M68" s="256">
        <f t="shared" si="4"/>
        <v>-0.48641925491627092</v>
      </c>
      <c r="N68" s="154">
        <v>320033316.63999999</v>
      </c>
      <c r="O68" s="243">
        <f t="shared" si="5"/>
        <v>8.8285052866206879</v>
      </c>
      <c r="P68" s="205">
        <f t="shared" si="9"/>
        <v>-12363750.310000062</v>
      </c>
      <c r="Q68" s="256">
        <f t="shared" si="10"/>
        <v>-100.4699133158351</v>
      </c>
      <c r="BQ68" s="159"/>
      <c r="BR68" s="159"/>
      <c r="BS68" s="143"/>
      <c r="BT68" s="143"/>
      <c r="BU68" s="143"/>
      <c r="BV68" s="140"/>
    </row>
    <row r="69" spans="2:74" ht="13.5" customHeight="1" thickBot="1">
      <c r="B69" s="80" t="s">
        <v>451</v>
      </c>
      <c r="C69" s="97" t="s">
        <v>449</v>
      </c>
      <c r="D69" s="154">
        <v>0</v>
      </c>
      <c r="E69" s="243">
        <f t="shared" si="1"/>
        <v>0</v>
      </c>
      <c r="F69" s="154">
        <v>64001957.620000005</v>
      </c>
      <c r="G69" s="251">
        <f t="shared" si="1"/>
        <v>1.7161002177235554</v>
      </c>
      <c r="H69" s="205">
        <f t="shared" si="7"/>
        <v>-64001957.620000005</v>
      </c>
      <c r="I69" s="256">
        <f t="shared" si="8"/>
        <v>-100</v>
      </c>
      <c r="J69" s="154">
        <v>39374755.369999997</v>
      </c>
      <c r="K69" s="251">
        <f t="shared" si="2"/>
        <v>1.05576499182196</v>
      </c>
      <c r="L69" s="205">
        <f t="shared" si="3"/>
        <v>-39374755.369999997</v>
      </c>
      <c r="M69" s="256">
        <f t="shared" si="4"/>
        <v>-100</v>
      </c>
      <c r="N69" s="154">
        <v>0</v>
      </c>
      <c r="O69" s="243">
        <f t="shared" si="5"/>
        <v>0</v>
      </c>
      <c r="P69" s="205">
        <f t="shared" si="9"/>
        <v>0</v>
      </c>
      <c r="Q69" s="256" t="str">
        <f t="shared" si="10"/>
        <v>...</v>
      </c>
      <c r="BQ69" s="159"/>
      <c r="BR69" s="159"/>
      <c r="BS69" s="143"/>
      <c r="BT69" s="143"/>
      <c r="BU69" s="143"/>
      <c r="BV69" s="140"/>
    </row>
    <row r="70" spans="2:74" ht="13.5" customHeight="1" thickTop="1" thickBot="1">
      <c r="C70" s="90" t="s">
        <v>140</v>
      </c>
      <c r="D70" s="91">
        <f>+D63-D66</f>
        <v>-662550267.36999989</v>
      </c>
      <c r="E70" s="244">
        <f t="shared" si="1"/>
        <v>-17.765123136345352</v>
      </c>
      <c r="F70" s="91">
        <f>+F63-F66</f>
        <v>-547449485.91478705</v>
      </c>
      <c r="G70" s="249">
        <f t="shared" si="1"/>
        <v>-14.678897597929671</v>
      </c>
      <c r="H70" s="91">
        <f t="shared" si="7"/>
        <v>-115100781.45521283</v>
      </c>
      <c r="I70" s="244">
        <f t="shared" si="8"/>
        <v>21.024913606938483</v>
      </c>
      <c r="J70" s="91">
        <f>+J63-J66</f>
        <v>-667149073.05656004</v>
      </c>
      <c r="K70" s="249">
        <f t="shared" si="2"/>
        <v>-17.888432043345219</v>
      </c>
      <c r="L70" s="91">
        <f t="shared" ref="L70:L75" si="11">+D70-J70</f>
        <v>4598805.686560154</v>
      </c>
      <c r="M70" s="244">
        <f t="shared" ref="M70:M75" si="12">+IF(ISNUMBER(D70/J70*100-100),D70/J70*100-100,"...")</f>
        <v>-0.68932205293947391</v>
      </c>
      <c r="N70" s="91">
        <f>+N64-N66+N75</f>
        <v>-825496728.74000013</v>
      </c>
      <c r="O70" s="244">
        <f t="shared" ref="O70:O75" si="13">+N70/$N$11*100</f>
        <v>-22.772323551448277</v>
      </c>
      <c r="P70" s="91">
        <f t="shared" si="9"/>
        <v>162946461.37000024</v>
      </c>
      <c r="Q70" s="244">
        <f t="shared" si="10"/>
        <v>-100.55709556760807</v>
      </c>
      <c r="BQ70" s="159"/>
      <c r="BR70" s="159"/>
      <c r="BS70" s="143"/>
      <c r="BT70" s="143"/>
      <c r="BU70" s="143"/>
      <c r="BV70" s="140"/>
    </row>
    <row r="71" spans="2:74" ht="13.5" customHeight="1" thickTop="1" thickBot="1">
      <c r="C71" s="90" t="s">
        <v>120</v>
      </c>
      <c r="D71" s="91">
        <f>+SUM(D72:D75)</f>
        <v>662550267.36999989</v>
      </c>
      <c r="E71" s="244">
        <f t="shared" si="1"/>
        <v>17.765123136345352</v>
      </c>
      <c r="F71" s="91">
        <f>+SUM(F72:F75)</f>
        <v>547449485.91478682</v>
      </c>
      <c r="G71" s="249">
        <f t="shared" si="1"/>
        <v>14.678897597929662</v>
      </c>
      <c r="H71" s="91">
        <f t="shared" si="7"/>
        <v>115100781.45521307</v>
      </c>
      <c r="I71" s="244">
        <f t="shared" si="8"/>
        <v>21.02491360693854</v>
      </c>
      <c r="J71" s="91">
        <f>+SUM(J72:J75)</f>
        <v>667149073.05656004</v>
      </c>
      <c r="K71" s="249">
        <f t="shared" si="2"/>
        <v>17.888432043345219</v>
      </c>
      <c r="L71" s="91">
        <f t="shared" si="11"/>
        <v>-4598805.686560154</v>
      </c>
      <c r="M71" s="244">
        <f t="shared" si="12"/>
        <v>-0.68932205293947391</v>
      </c>
      <c r="N71" s="91">
        <f>+SUM(N72:N74)+N62</f>
        <v>825499520.90999997</v>
      </c>
      <c r="O71" s="244">
        <f t="shared" si="13"/>
        <v>22.772400576827586</v>
      </c>
      <c r="P71" s="91">
        <f>+SUM(P72:P75)</f>
        <v>-170442767.79000011</v>
      </c>
      <c r="Q71" s="244">
        <f t="shared" si="10"/>
        <v>-100.55709368328773</v>
      </c>
      <c r="BQ71" s="159"/>
      <c r="BR71" s="159"/>
      <c r="BS71" s="143"/>
      <c r="BT71" s="143"/>
      <c r="BU71" s="143"/>
      <c r="BV71" s="140"/>
    </row>
    <row r="72" spans="2:74" ht="13.5" customHeight="1" thickTop="1">
      <c r="B72" s="80">
        <v>7511</v>
      </c>
      <c r="C72" s="97" t="s">
        <v>456</v>
      </c>
      <c r="D72" s="154">
        <v>317784300</v>
      </c>
      <c r="E72" s="243">
        <f t="shared" si="1"/>
        <v>8.5208285292934711</v>
      </c>
      <c r="F72" s="154">
        <v>100000000</v>
      </c>
      <c r="G72" s="251">
        <f t="shared" si="1"/>
        <v>2.6813245743397238</v>
      </c>
      <c r="H72" s="205">
        <f t="shared" si="7"/>
        <v>217784300</v>
      </c>
      <c r="I72" s="256">
        <f t="shared" si="8"/>
        <v>217.78430000000003</v>
      </c>
      <c r="J72" s="154">
        <v>10000000</v>
      </c>
      <c r="K72" s="251">
        <f t="shared" si="2"/>
        <v>0.2681324574339724</v>
      </c>
      <c r="L72" s="205">
        <f t="shared" si="11"/>
        <v>307784300</v>
      </c>
      <c r="M72" s="256">
        <f t="shared" si="12"/>
        <v>3077.8429999999998</v>
      </c>
      <c r="N72" s="154">
        <v>175248203.14000002</v>
      </c>
      <c r="O72" s="243">
        <f t="shared" si="13"/>
        <v>4.8344331900689657</v>
      </c>
      <c r="P72" s="205">
        <f t="shared" si="9"/>
        <v>142536096.85999998</v>
      </c>
      <c r="Q72" s="256">
        <f t="shared" si="10"/>
        <v>75.62764951953389</v>
      </c>
      <c r="BQ72" s="159"/>
      <c r="BR72" s="159"/>
      <c r="BS72" s="143"/>
      <c r="BT72" s="143"/>
      <c r="BU72" s="143"/>
      <c r="BV72" s="140"/>
    </row>
    <row r="73" spans="2:74" ht="13.5" customHeight="1">
      <c r="B73" s="80">
        <v>7512</v>
      </c>
      <c r="C73" s="97" t="s">
        <v>457</v>
      </c>
      <c r="D73" s="154">
        <v>325213413.94999999</v>
      </c>
      <c r="E73" s="243">
        <f t="shared" si="1"/>
        <v>8.7200271872905208</v>
      </c>
      <c r="F73" s="154">
        <v>444949485.91478682</v>
      </c>
      <c r="G73" s="251">
        <f t="shared" si="1"/>
        <v>11.930539909231447</v>
      </c>
      <c r="H73" s="205">
        <f t="shared" si="7"/>
        <v>-119736071.96478683</v>
      </c>
      <c r="I73" s="256">
        <f t="shared" si="8"/>
        <v>-26.910037151434693</v>
      </c>
      <c r="J73" s="154">
        <v>657149073.05656004</v>
      </c>
      <c r="K73" s="251">
        <f t="shared" si="2"/>
        <v>17.620299585911251</v>
      </c>
      <c r="L73" s="205">
        <f t="shared" si="11"/>
        <v>-331935659.10656005</v>
      </c>
      <c r="M73" s="256">
        <f t="shared" si="12"/>
        <v>-50.51147033695819</v>
      </c>
      <c r="N73" s="154">
        <v>657542120.07999992</v>
      </c>
      <c r="O73" s="243">
        <f t="shared" si="13"/>
        <v>18.139092967724135</v>
      </c>
      <c r="P73" s="205">
        <f t="shared" si="9"/>
        <v>-332328706.12999994</v>
      </c>
      <c r="Q73" s="256">
        <f t="shared" si="10"/>
        <v>-150.4812770117563</v>
      </c>
      <c r="BQ73" s="159"/>
      <c r="BR73" s="159"/>
      <c r="BS73" s="143"/>
      <c r="BT73" s="143"/>
      <c r="BU73" s="143"/>
      <c r="BV73" s="140"/>
    </row>
    <row r="74" spans="2:74" ht="13.5" customHeight="1" thickBot="1">
      <c r="B74" s="80">
        <v>72</v>
      </c>
      <c r="C74" s="103" t="s">
        <v>401</v>
      </c>
      <c r="D74" s="154">
        <v>4219567.51</v>
      </c>
      <c r="E74" s="248">
        <f t="shared" si="1"/>
        <v>0.11314030057648478</v>
      </c>
      <c r="F74" s="154">
        <v>2500000</v>
      </c>
      <c r="G74" s="254">
        <f t="shared" si="1"/>
        <v>6.7033114358493101E-2</v>
      </c>
      <c r="H74" s="205">
        <f t="shared" si="7"/>
        <v>1719567.5099999998</v>
      </c>
      <c r="I74" s="256">
        <f t="shared" si="8"/>
        <v>68.782700399999982</v>
      </c>
      <c r="J74" s="154">
        <v>0</v>
      </c>
      <c r="K74" s="254">
        <f t="shared" si="2"/>
        <v>0</v>
      </c>
      <c r="L74" s="205">
        <f t="shared" si="11"/>
        <v>4219567.51</v>
      </c>
      <c r="M74" s="256" t="str">
        <f t="shared" si="12"/>
        <v>...</v>
      </c>
      <c r="N74" s="154">
        <v>7843144.3499999996</v>
      </c>
      <c r="O74" s="248">
        <f t="shared" si="13"/>
        <v>0.21636260275862068</v>
      </c>
      <c r="P74" s="205">
        <f t="shared" si="9"/>
        <v>-3623576.84</v>
      </c>
      <c r="Q74" s="256">
        <f t="shared" si="10"/>
        <v>-46.200562915815766</v>
      </c>
      <c r="BQ74" s="159"/>
      <c r="BR74" s="159"/>
      <c r="BS74" s="143"/>
      <c r="BT74" s="143"/>
      <c r="BU74" s="143"/>
      <c r="BV74" s="140"/>
    </row>
    <row r="75" spans="2:74" ht="13.5" customHeight="1" thickTop="1" thickBot="1">
      <c r="C75" s="146" t="s">
        <v>458</v>
      </c>
      <c r="D75" s="161">
        <f>-D70-SUM(D72:D74)</f>
        <v>15332985.909999847</v>
      </c>
      <c r="E75" s="246">
        <f t="shared" si="1"/>
        <v>0.41112711918487327</v>
      </c>
      <c r="F75" s="161">
        <f>-F70-SUM(F72:F74)</f>
        <v>0</v>
      </c>
      <c r="G75" s="252">
        <f t="shared" si="1"/>
        <v>0</v>
      </c>
      <c r="H75" s="203">
        <f t="shared" si="7"/>
        <v>15332985.909999847</v>
      </c>
      <c r="I75" s="246" t="e">
        <f t="shared" si="8"/>
        <v>#DIV/0!</v>
      </c>
      <c r="J75" s="161">
        <f>-J70-SUM(J72:J74)</f>
        <v>0</v>
      </c>
      <c r="K75" s="252">
        <f t="shared" si="2"/>
        <v>0</v>
      </c>
      <c r="L75" s="203">
        <f t="shared" si="11"/>
        <v>15332985.909999847</v>
      </c>
      <c r="M75" s="261" t="str">
        <f t="shared" si="12"/>
        <v>...</v>
      </c>
      <c r="N75" s="203">
        <v>-7640432.4100000001</v>
      </c>
      <c r="O75" s="246">
        <f t="shared" si="13"/>
        <v>-0.21077054924137931</v>
      </c>
      <c r="P75" s="210">
        <f t="shared" si="9"/>
        <v>22973418.319999848</v>
      </c>
      <c r="Q75" s="261">
        <f t="shared" si="10"/>
        <v>-300.68217461006043</v>
      </c>
      <c r="BQ75" s="159"/>
      <c r="BR75" s="159"/>
      <c r="BS75" s="143"/>
      <c r="BT75" s="143"/>
      <c r="BU75" s="143"/>
      <c r="BV75" s="140"/>
    </row>
    <row r="76" spans="2:74" s="187" customFormat="1" ht="13.5" thickTop="1">
      <c r="C76" s="188" t="str">
        <f>IF([1]MasterSheet!$A$1=1,[1]MasterSheet!C151,[1]MasterSheet!B151)</f>
        <v>Izvor: Ministarstvo finansija Crne Gore</v>
      </c>
      <c r="D76" s="307"/>
      <c r="E76" s="193"/>
      <c r="F76" s="193"/>
      <c r="G76" s="193"/>
      <c r="H76" s="193"/>
      <c r="I76" s="193"/>
      <c r="J76" s="192"/>
      <c r="K76" s="193"/>
      <c r="L76" s="193"/>
      <c r="M76" s="193"/>
      <c r="N76" s="192"/>
      <c r="O76" s="193"/>
      <c r="P76" s="193"/>
      <c r="Q76" s="193"/>
    </row>
    <row r="77" spans="2:74" s="187" customFormat="1">
      <c r="C77" s="190"/>
      <c r="D77" s="189"/>
      <c r="E77" s="189"/>
      <c r="F77" s="189"/>
      <c r="G77" s="189"/>
      <c r="H77" s="189"/>
      <c r="I77" s="189"/>
      <c r="J77" s="194"/>
      <c r="K77" s="189"/>
      <c r="L77" s="189"/>
      <c r="M77" s="189"/>
      <c r="N77" s="194"/>
      <c r="O77" s="197"/>
      <c r="P77" s="189"/>
      <c r="Q77" s="189"/>
    </row>
    <row r="78" spans="2:74" s="187" customFormat="1" ht="15">
      <c r="C78" s="311" t="s">
        <v>472</v>
      </c>
      <c r="D78" s="312"/>
      <c r="E78" s="313"/>
      <c r="F78" s="313"/>
      <c r="G78" s="313"/>
      <c r="H78" s="313"/>
      <c r="I78" s="313"/>
      <c r="J78" s="314"/>
      <c r="K78" s="313"/>
      <c r="L78" s="313"/>
      <c r="M78" s="313"/>
      <c r="N78" s="310"/>
      <c r="O78" s="304"/>
      <c r="P78" s="189"/>
      <c r="Q78" s="189"/>
    </row>
    <row r="79" spans="2:74" s="187" customFormat="1">
      <c r="J79" s="189"/>
      <c r="K79" s="189"/>
      <c r="L79" s="189"/>
      <c r="M79" s="189"/>
      <c r="N79" s="189"/>
      <c r="O79" s="189"/>
      <c r="P79" s="189"/>
      <c r="Q79" s="189"/>
    </row>
    <row r="80" spans="2:74" s="187" customFormat="1">
      <c r="C80" s="191"/>
    </row>
    <row r="81" spans="3:3">
      <c r="C81" s="191"/>
    </row>
    <row r="82" spans="3:3">
      <c r="C82" s="305"/>
    </row>
    <row r="83" spans="3:3">
      <c r="C83" s="306"/>
    </row>
  </sheetData>
  <sheetProtection formatCells="0" formatColumns="0" formatRows="0" sort="0" autoFilter="0"/>
  <mergeCells count="13">
    <mergeCell ref="D14:E14"/>
    <mergeCell ref="L14:M14"/>
    <mergeCell ref="D11:K11"/>
    <mergeCell ref="C14:C15"/>
    <mergeCell ref="P11:Q11"/>
    <mergeCell ref="N14:O14"/>
    <mergeCell ref="J14:K14"/>
    <mergeCell ref="P14:Q14"/>
    <mergeCell ref="L11:M11"/>
    <mergeCell ref="N13:O13"/>
    <mergeCell ref="D13:E13"/>
    <mergeCell ref="F14:G14"/>
    <mergeCell ref="H14:I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94"/>
  <sheetViews>
    <sheetView zoomScaleNormal="100" workbookViewId="0">
      <selection activeCell="C31" sqref="C31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5" width="7.7109375" style="80" customWidth="1"/>
    <col min="6" max="6" width="9.28515625" style="80" customWidth="1"/>
    <col min="7" max="9" width="7.7109375" style="80" customWidth="1"/>
    <col min="10" max="10" width="9.28515625" style="80" customWidth="1"/>
    <col min="11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9" t="str">
        <f>+'Central Budget'!C11</f>
        <v>BDP (u mil. €)</v>
      </c>
      <c r="D11" s="354">
        <f>+'Central Budget'!D11:K11</f>
        <v>3729500000</v>
      </c>
      <c r="E11" s="355"/>
      <c r="F11" s="355"/>
      <c r="G11" s="356"/>
      <c r="H11" s="351"/>
      <c r="I11" s="352"/>
      <c r="J11" s="324">
        <f>+'Central Budget'!N11</f>
        <v>3625000000</v>
      </c>
      <c r="K11" s="325"/>
      <c r="L11" s="351"/>
      <c r="M11" s="353"/>
      <c r="N11" s="20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57"/>
      <c r="E13" s="357"/>
      <c r="F13" s="86"/>
      <c r="G13" s="86"/>
      <c r="H13" s="86"/>
      <c r="I13" s="86"/>
      <c r="J13" s="357"/>
      <c r="K13" s="357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47" t="s">
        <v>258</v>
      </c>
      <c r="D14" s="349" t="s">
        <v>480</v>
      </c>
      <c r="E14" s="350"/>
      <c r="F14" s="349" t="s">
        <v>461</v>
      </c>
      <c r="G14" s="350"/>
      <c r="H14" s="349" t="s">
        <v>447</v>
      </c>
      <c r="I14" s="350"/>
      <c r="J14" s="349" t="s">
        <v>466</v>
      </c>
      <c r="K14" s="350"/>
      <c r="L14" s="349" t="str">
        <f>+H14</f>
        <v>Odstupanje</v>
      </c>
      <c r="M14" s="35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48"/>
      <c r="D15" s="150" t="str">
        <f>IF(MasterSheet!$A$1=1,MasterSheet!C71,MasterSheet!C70)</f>
        <v>mil. €</v>
      </c>
      <c r="E15" s="157" t="str">
        <f>IF(MasterSheet!$A$1=1,MasterSheet!D71,MasterSheet!D70)</f>
        <v>% BDP</v>
      </c>
      <c r="F15" s="150" t="str">
        <f>IF(MasterSheet!$A$1=1,MasterSheet!E71,MasterSheet!E70)</f>
        <v>mil. €</v>
      </c>
      <c r="G15" s="157" t="str">
        <f>IF(MasterSheet!$A$1=1,MasterSheet!F71,MasterSheet!F70)</f>
        <v>% BDP</v>
      </c>
      <c r="H15" s="150" t="str">
        <f>IF(MasterSheet!$A$1=1,MasterSheet!G71,MasterSheet!G70)</f>
        <v>mil. €</v>
      </c>
      <c r="I15" s="157" t="s">
        <v>441</v>
      </c>
      <c r="J15" s="150" t="str">
        <f>IF(MasterSheet!$A$1=1,MasterSheet!I71,MasterSheet!I70)</f>
        <v>mil. €</v>
      </c>
      <c r="K15" s="157" t="str">
        <f>IF(MasterSheet!$A$1=1,MasterSheet!J71,MasterSheet!J70)</f>
        <v>% BDP</v>
      </c>
      <c r="L15" s="150" t="str">
        <f>IF(MasterSheet!$A$1=1,MasterSheet!K71,MasterSheet!K70)</f>
        <v>mil. €</v>
      </c>
      <c r="M15" s="15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51" t="str">
        <f>IF(MasterSheet!$A$1=1,MasterSheet!C72,MasterSheet!B72)</f>
        <v>Izvorni prihodi</v>
      </c>
      <c r="D16" s="212">
        <f>+D17+D21+D27+D33+D38+D39</f>
        <v>197197453.69</v>
      </c>
      <c r="E16" s="262">
        <f>+D16/$D$11*100</f>
        <v>5.2875037857621665</v>
      </c>
      <c r="F16" s="212">
        <f>+F17+F21+F27+F33+F38+F39</f>
        <v>199569979.54547793</v>
      </c>
      <c r="G16" s="262">
        <f t="shared" ref="G16:G76" si="0">+F16/$D$11*100</f>
        <v>5.3511189045576595</v>
      </c>
      <c r="H16" s="212">
        <f>+D16-F16</f>
        <v>-2372525.8554779291</v>
      </c>
      <c r="I16" s="262">
        <f>+D16/F16*100-100</f>
        <v>-1.1888190101945071</v>
      </c>
      <c r="J16" s="212">
        <f>+J17+J21+J27+J33+J38+J39</f>
        <v>199106650.838</v>
      </c>
      <c r="K16" s="262">
        <f>+J16/$J$11*100</f>
        <v>5.4925972644965517</v>
      </c>
      <c r="L16" s="212">
        <f>+D16-J16</f>
        <v>-1909197.1480000019</v>
      </c>
      <c r="M16" s="262">
        <f>+D16/J16*100-100</f>
        <v>-0.95888165461303743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2:81" ht="15" customHeight="1" thickTop="1">
      <c r="B17" s="80">
        <v>711</v>
      </c>
      <c r="C17" s="93" t="str">
        <f>IF(MasterSheet!$A$1=1,MasterSheet!C73,MasterSheet!B73)</f>
        <v>Porezi</v>
      </c>
      <c r="D17" s="213">
        <f>+SUM(D18:D20)</f>
        <v>126225514.57000001</v>
      </c>
      <c r="E17" s="263">
        <f t="shared" ref="E17:E77" si="1">+D17/$D$11*100</f>
        <v>3.3845157412521787</v>
      </c>
      <c r="F17" s="213">
        <f>+SUM(F18:F20)</f>
        <v>123641378.61859886</v>
      </c>
      <c r="G17" s="263">
        <f t="shared" si="0"/>
        <v>3.3152266689529122</v>
      </c>
      <c r="H17" s="214">
        <f t="shared" ref="H17:H77" si="2">+D17-F17</f>
        <v>2584135.9514011443</v>
      </c>
      <c r="I17" s="272">
        <f t="shared" ref="I17:I77" si="3">+D17/F17*100-100</f>
        <v>2.0900251843458619</v>
      </c>
      <c r="J17" s="213">
        <f>+SUM(J18:J20)</f>
        <v>120035467.418</v>
      </c>
      <c r="K17" s="263">
        <f t="shared" ref="K17:K77" si="4">+J17/$J$11*100</f>
        <v>3.3113232391172414</v>
      </c>
      <c r="L17" s="214">
        <f t="shared" ref="L17:L77" si="5">+D17-J17</f>
        <v>6190047.15200001</v>
      </c>
      <c r="M17" s="272">
        <f t="shared" ref="M17:M77" si="6">+D17/J17*100-100</f>
        <v>5.1568484591678185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2:81" ht="15" customHeight="1">
      <c r="B18" s="80">
        <v>7111</v>
      </c>
      <c r="C18" s="97" t="str">
        <f>IF(MasterSheet!$A$1=1,MasterSheet!C74,MasterSheet!B74)</f>
        <v>Porez na dohodak fizičkih lica</v>
      </c>
      <c r="D18" s="215">
        <v>36916505.5</v>
      </c>
      <c r="E18" s="264">
        <f t="shared" si="1"/>
        <v>0.98985133395897562</v>
      </c>
      <c r="F18" s="215">
        <v>35062191.551960498</v>
      </c>
      <c r="G18" s="264">
        <f t="shared" si="0"/>
        <v>0.94013115838478334</v>
      </c>
      <c r="H18" s="216">
        <f>+D18-F18</f>
        <v>1854313.9480395019</v>
      </c>
      <c r="I18" s="273">
        <f>+D18/F18*100-100</f>
        <v>5.2886424549118516</v>
      </c>
      <c r="J18" s="215">
        <v>30961599.59</v>
      </c>
      <c r="K18" s="264">
        <f t="shared" si="4"/>
        <v>0.85411309213793107</v>
      </c>
      <c r="L18" s="216">
        <f>+D18-J18</f>
        <v>5954905.9100000001</v>
      </c>
      <c r="M18" s="273">
        <f>+D18/J18*100-100</f>
        <v>19.233198506718367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2:81" ht="15" customHeight="1">
      <c r="B19" s="80">
        <v>7113</v>
      </c>
      <c r="C19" s="97" t="str">
        <f>IF(MasterSheet!$A$1=1,MasterSheet!C76,MasterSheet!B76)</f>
        <v>Porez na promet nepokretnosti</v>
      </c>
      <c r="D19" s="215">
        <v>11897399.580000002</v>
      </c>
      <c r="E19" s="264">
        <f t="shared" si="1"/>
        <v>0.3190078986459311</v>
      </c>
      <c r="F19" s="215">
        <v>12061099.331244256</v>
      </c>
      <c r="G19" s="264">
        <f t="shared" si="0"/>
        <v>0.32339722030417634</v>
      </c>
      <c r="H19" s="216">
        <f>+D19-F19</f>
        <v>-163699.75124425441</v>
      </c>
      <c r="I19" s="273">
        <f>+D19/F19*100-100</f>
        <v>-1.357253984470475</v>
      </c>
      <c r="J19" s="215">
        <v>13076258.108000001</v>
      </c>
      <c r="K19" s="264">
        <f t="shared" si="4"/>
        <v>0.36072436159999999</v>
      </c>
      <c r="L19" s="216">
        <f>+D19-J19</f>
        <v>-1178858.527999999</v>
      </c>
      <c r="M19" s="273">
        <f>+D19/J19*100-100</f>
        <v>-9.0152589392433242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2:81" ht="15" customHeight="1">
      <c r="B20" s="80">
        <v>7117</v>
      </c>
      <c r="C20" s="97" t="s">
        <v>11</v>
      </c>
      <c r="D20" s="215">
        <v>77411609.49000001</v>
      </c>
      <c r="E20" s="264">
        <f t="shared" si="1"/>
        <v>2.0756565086472718</v>
      </c>
      <c r="F20" s="215">
        <v>76518087.735394105</v>
      </c>
      <c r="G20" s="264">
        <f t="shared" si="0"/>
        <v>2.0516982902639525</v>
      </c>
      <c r="H20" s="216">
        <f>+D20-F20</f>
        <v>893521.75460590422</v>
      </c>
      <c r="I20" s="273">
        <f>+D20/F20*100-100</f>
        <v>1.1677261952700349</v>
      </c>
      <c r="J20" s="215">
        <v>75997609.719999999</v>
      </c>
      <c r="K20" s="264">
        <f t="shared" si="4"/>
        <v>2.0964857853793104</v>
      </c>
      <c r="L20" s="216">
        <f>+D20-J20</f>
        <v>1413999.7700000107</v>
      </c>
      <c r="M20" s="273">
        <f>+D20/J20*100-100</f>
        <v>1.8605845304999065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2:81" ht="15" customHeight="1">
      <c r="B21" s="80">
        <v>713</v>
      </c>
      <c r="C21" s="93" t="str">
        <f>IF(MasterSheet!$A$1=1,MasterSheet!C86,MasterSheet!B86)</f>
        <v>Takse</v>
      </c>
      <c r="D21" s="94">
        <f>+D22+D25+D26</f>
        <v>5940652.6299999999</v>
      </c>
      <c r="E21" s="242">
        <f t="shared" si="1"/>
        <v>0.15928817884434909</v>
      </c>
      <c r="F21" s="221">
        <v>5909955.6672088793</v>
      </c>
      <c r="G21" s="242">
        <f t="shared" si="0"/>
        <v>0.15846509363745487</v>
      </c>
      <c r="H21" s="202">
        <f t="shared" si="2"/>
        <v>30696.962791120633</v>
      </c>
      <c r="I21" s="255">
        <f t="shared" si="3"/>
        <v>0.51941105009368016</v>
      </c>
      <c r="J21" s="94">
        <f>+J22+J25+J26</f>
        <v>5281653.3100000005</v>
      </c>
      <c r="K21" s="245">
        <f t="shared" si="4"/>
        <v>0.14570078096551725</v>
      </c>
      <c r="L21" s="202">
        <f t="shared" si="5"/>
        <v>658999.31999999937</v>
      </c>
      <c r="M21" s="255">
        <f t="shared" si="6"/>
        <v>12.477140798929099</v>
      </c>
      <c r="BY21" s="81"/>
      <c r="BZ21" s="81"/>
      <c r="CA21" s="81"/>
    </row>
    <row r="22" spans="2:81" ht="15" customHeight="1">
      <c r="B22" s="80">
        <v>7131</v>
      </c>
      <c r="C22" s="97" t="str">
        <f>IF(MasterSheet!$A$1=1,MasterSheet!C87,MasterSheet!B87)</f>
        <v>Administrativne takse</v>
      </c>
      <c r="D22" s="215">
        <v>1192377.3399999999</v>
      </c>
      <c r="E22" s="264">
        <f t="shared" si="1"/>
        <v>3.1971506636278318E-2</v>
      </c>
      <c r="F22" s="215">
        <v>1596441.0999999996</v>
      </c>
      <c r="G22" s="264">
        <f t="shared" si="0"/>
        <v>4.2805767529159391E-2</v>
      </c>
      <c r="H22" s="216">
        <f t="shared" si="2"/>
        <v>-404063.75999999978</v>
      </c>
      <c r="I22" s="273">
        <f t="shared" si="3"/>
        <v>-25.310282978808303</v>
      </c>
      <c r="J22" s="215">
        <v>1294629.26</v>
      </c>
      <c r="K22" s="264">
        <f t="shared" si="4"/>
        <v>3.5713910620689654E-2</v>
      </c>
      <c r="L22" s="216">
        <f t="shared" si="5"/>
        <v>-102251.92000000016</v>
      </c>
      <c r="M22" s="273">
        <f t="shared" si="6"/>
        <v>-7.898162289333726</v>
      </c>
      <c r="BY22" s="81"/>
      <c r="BZ22" s="81"/>
      <c r="CA22" s="81"/>
    </row>
    <row r="23" spans="2:81" ht="15" customHeight="1">
      <c r="B23" s="80">
        <v>7133</v>
      </c>
      <c r="C23" s="97" t="str">
        <f>IF(MasterSheet!$A$1=1,MasterSheet!C89,MasterSheet!B89)</f>
        <v>Boravišne takse</v>
      </c>
      <c r="D23" s="215">
        <v>0</v>
      </c>
      <c r="E23" s="264">
        <f t="shared" si="1"/>
        <v>0</v>
      </c>
      <c r="F23" s="215">
        <v>0</v>
      </c>
      <c r="G23" s="264">
        <f t="shared" si="0"/>
        <v>0</v>
      </c>
      <c r="H23" s="216">
        <f t="shared" si="2"/>
        <v>0</v>
      </c>
      <c r="I23" s="273" t="e">
        <f t="shared" si="3"/>
        <v>#DIV/0!</v>
      </c>
      <c r="J23" s="215">
        <v>0</v>
      </c>
      <c r="K23" s="264">
        <f t="shared" si="4"/>
        <v>0</v>
      </c>
      <c r="L23" s="216">
        <f t="shared" si="5"/>
        <v>0</v>
      </c>
      <c r="M23" s="273" t="e">
        <f t="shared" si="6"/>
        <v>#DIV/0!</v>
      </c>
      <c r="BY23" s="138"/>
      <c r="BZ23" s="138"/>
      <c r="CA23" s="138"/>
    </row>
    <row r="24" spans="2:81" ht="15" customHeight="1">
      <c r="B24" s="80">
        <v>7134</v>
      </c>
      <c r="C24" s="97" t="s">
        <v>434</v>
      </c>
      <c r="D24" s="215">
        <v>0</v>
      </c>
      <c r="E24" s="264">
        <f t="shared" si="1"/>
        <v>0</v>
      </c>
      <c r="F24" s="215">
        <v>0</v>
      </c>
      <c r="G24" s="264">
        <f t="shared" si="0"/>
        <v>0</v>
      </c>
      <c r="H24" s="216">
        <f t="shared" si="2"/>
        <v>0</v>
      </c>
      <c r="I24" s="273" t="e">
        <f t="shared" si="3"/>
        <v>#DIV/0!</v>
      </c>
      <c r="J24" s="215">
        <v>0</v>
      </c>
      <c r="K24" s="264">
        <f t="shared" si="4"/>
        <v>0</v>
      </c>
      <c r="L24" s="216">
        <f t="shared" si="5"/>
        <v>0</v>
      </c>
      <c r="M24" s="273" t="e">
        <f t="shared" si="6"/>
        <v>#DIV/0!</v>
      </c>
      <c r="BY24" s="138"/>
      <c r="BZ24" s="138"/>
      <c r="CA24" s="138"/>
    </row>
    <row r="25" spans="2:81" ht="15" customHeight="1">
      <c r="B25" s="80">
        <v>7135</v>
      </c>
      <c r="C25" s="97" t="s">
        <v>36</v>
      </c>
      <c r="D25" s="215">
        <v>3679695.01</v>
      </c>
      <c r="E25" s="264">
        <f t="shared" si="1"/>
        <v>9.8664566563882547E-2</v>
      </c>
      <c r="F25" s="215">
        <v>3653549.09</v>
      </c>
      <c r="G25" s="264">
        <f t="shared" si="0"/>
        <v>9.7963509585735353E-2</v>
      </c>
      <c r="H25" s="216">
        <f t="shared" si="2"/>
        <v>26145.919999999925</v>
      </c>
      <c r="I25" s="273">
        <f t="shared" si="3"/>
        <v>0.71563072935198591</v>
      </c>
      <c r="J25" s="215">
        <v>3588409.31</v>
      </c>
      <c r="K25" s="264">
        <f t="shared" si="4"/>
        <v>9.8990601655172428E-2</v>
      </c>
      <c r="L25" s="216">
        <f t="shared" si="5"/>
        <v>91285.699999999721</v>
      </c>
      <c r="M25" s="273">
        <f t="shared" si="6"/>
        <v>2.5439043351495485</v>
      </c>
      <c r="BY25" s="138"/>
      <c r="BZ25" s="138"/>
      <c r="CA25" s="138"/>
    </row>
    <row r="26" spans="2:81" ht="15" customHeight="1">
      <c r="B26" s="80">
        <v>7136</v>
      </c>
      <c r="C26" s="97" t="s">
        <v>37</v>
      </c>
      <c r="D26" s="215">
        <v>1068580.28</v>
      </c>
      <c r="E26" s="264">
        <f t="shared" si="1"/>
        <v>2.8652105644188228E-2</v>
      </c>
      <c r="F26" s="215">
        <v>247747.05000000002</v>
      </c>
      <c r="G26" s="264">
        <f t="shared" si="0"/>
        <v>6.6429025338517241E-3</v>
      </c>
      <c r="H26" s="216">
        <f t="shared" si="2"/>
        <v>820833.23</v>
      </c>
      <c r="I26" s="273">
        <f t="shared" si="3"/>
        <v>331.31907322408074</v>
      </c>
      <c r="J26" s="215">
        <v>398614.73999999993</v>
      </c>
      <c r="K26" s="264">
        <f t="shared" si="4"/>
        <v>1.0996268689655172E-2</v>
      </c>
      <c r="L26" s="216">
        <f t="shared" si="5"/>
        <v>669965.54</v>
      </c>
      <c r="M26" s="273">
        <f t="shared" si="6"/>
        <v>168.07344856339233</v>
      </c>
      <c r="BY26" s="138"/>
      <c r="BZ26" s="138"/>
      <c r="CA26" s="138"/>
    </row>
    <row r="27" spans="2:81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46265096.809999995</v>
      </c>
      <c r="E27" s="242">
        <f t="shared" si="1"/>
        <v>1.2405174101085934</v>
      </c>
      <c r="F27" s="221">
        <v>50392882.136297442</v>
      </c>
      <c r="G27" s="242">
        <f t="shared" si="0"/>
        <v>1.3511967324385961</v>
      </c>
      <c r="H27" s="202">
        <f>+D27-F27</f>
        <v>-4127785.3262974471</v>
      </c>
      <c r="I27" s="255">
        <f t="shared" si="3"/>
        <v>-8.1912070739138159</v>
      </c>
      <c r="J27" s="94">
        <f>+SUM(J28:J32)</f>
        <v>54060686.439999998</v>
      </c>
      <c r="K27" s="245">
        <f t="shared" si="4"/>
        <v>1.4913292811034482</v>
      </c>
      <c r="L27" s="202">
        <f t="shared" si="5"/>
        <v>-7795589.6300000027</v>
      </c>
      <c r="M27" s="255">
        <f t="shared" si="6"/>
        <v>-14.420071485130038</v>
      </c>
      <c r="BY27" s="138"/>
      <c r="BZ27" s="138"/>
      <c r="CA27" s="138"/>
    </row>
    <row r="28" spans="2:81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17">
        <v>1777773.86</v>
      </c>
      <c r="E28" s="265">
        <f t="shared" si="1"/>
        <v>4.7667887384367884E-2</v>
      </c>
      <c r="F28" s="217">
        <v>0</v>
      </c>
      <c r="G28" s="265">
        <f t="shared" si="0"/>
        <v>0</v>
      </c>
      <c r="H28" s="218">
        <f t="shared" si="2"/>
        <v>1777773.86</v>
      </c>
      <c r="I28" s="274" t="e">
        <f t="shared" si="3"/>
        <v>#DIV/0!</v>
      </c>
      <c r="J28" s="217">
        <v>6775803.9800000004</v>
      </c>
      <c r="K28" s="265">
        <f t="shared" si="4"/>
        <v>0.18691873048275864</v>
      </c>
      <c r="L28" s="218">
        <f t="shared" si="5"/>
        <v>-4998030.12</v>
      </c>
      <c r="M28" s="274">
        <f t="shared" si="6"/>
        <v>-73.762908944127986</v>
      </c>
      <c r="BY28" s="138"/>
      <c r="BZ28" s="138"/>
      <c r="CA28" s="138"/>
    </row>
    <row r="29" spans="2:81" ht="15" customHeight="1">
      <c r="B29" s="80">
        <v>7142</v>
      </c>
      <c r="C29" s="97" t="str">
        <f>IF(MasterSheet!$A$1=1,MasterSheet!C93,MasterSheet!B93)</f>
        <v>Naknade za korišćenje prirodnih dobara</v>
      </c>
      <c r="D29" s="219">
        <v>8713739.5999999996</v>
      </c>
      <c r="E29" s="243">
        <f t="shared" si="1"/>
        <v>0.23364364123877193</v>
      </c>
      <c r="F29" s="154">
        <v>4490000</v>
      </c>
      <c r="G29" s="243">
        <f t="shared" si="0"/>
        <v>0.1203914733878536</v>
      </c>
      <c r="H29" s="220">
        <f t="shared" si="2"/>
        <v>4223739.5999999996</v>
      </c>
      <c r="I29" s="256">
        <f t="shared" si="3"/>
        <v>94.069924276169246</v>
      </c>
      <c r="J29" s="154">
        <v>3487049.5300000003</v>
      </c>
      <c r="K29" s="292">
        <f t="shared" si="4"/>
        <v>9.6194469793103449E-2</v>
      </c>
      <c r="L29" s="220">
        <f t="shared" si="5"/>
        <v>5226690.0699999994</v>
      </c>
      <c r="M29" s="256">
        <f t="shared" si="6"/>
        <v>149.88860998484293</v>
      </c>
      <c r="BY29" s="138"/>
      <c r="BZ29" s="138"/>
      <c r="CA29" s="138"/>
    </row>
    <row r="30" spans="2:81" ht="24.75" customHeight="1">
      <c r="B30" s="80">
        <v>7146</v>
      </c>
      <c r="C30" s="155" t="s">
        <v>445</v>
      </c>
      <c r="D30" s="217">
        <v>27579446.249999996</v>
      </c>
      <c r="E30" s="243">
        <f t="shared" si="1"/>
        <v>0.73949446976806532</v>
      </c>
      <c r="F30" s="217">
        <v>49545886.130000003</v>
      </c>
      <c r="G30" s="243">
        <f t="shared" si="0"/>
        <v>1.3284860203780668</v>
      </c>
      <c r="H30" s="218">
        <f t="shared" si="2"/>
        <v>-21966439.880000006</v>
      </c>
      <c r="I30" s="256">
        <f t="shared" si="3"/>
        <v>-44.335547501085749</v>
      </c>
      <c r="J30" s="217">
        <v>38329051.369999997</v>
      </c>
      <c r="K30" s="292">
        <f t="shared" si="4"/>
        <v>1.0573531412413792</v>
      </c>
      <c r="L30" s="218">
        <f t="shared" si="5"/>
        <v>-10749605.120000001</v>
      </c>
      <c r="M30" s="256">
        <f t="shared" si="6"/>
        <v>-28.045580925630929</v>
      </c>
      <c r="BY30" s="138"/>
      <c r="BZ30" s="138"/>
      <c r="CA30" s="138"/>
    </row>
    <row r="31" spans="2:81" ht="38.25">
      <c r="B31" s="156">
        <v>7147</v>
      </c>
      <c r="C31" s="155" t="s">
        <v>435</v>
      </c>
      <c r="D31" s="217">
        <v>1404598.95</v>
      </c>
      <c r="E31" s="243">
        <f t="shared" si="1"/>
        <v>3.7661856817267733E-2</v>
      </c>
      <c r="F31" s="217">
        <v>2629995.87</v>
      </c>
      <c r="G31" s="243">
        <f t="shared" si="0"/>
        <v>7.0518725566429824E-2</v>
      </c>
      <c r="H31" s="218">
        <f t="shared" si="2"/>
        <v>-1225396.9200000002</v>
      </c>
      <c r="I31" s="256">
        <f t="shared" si="3"/>
        <v>-46.593111950400136</v>
      </c>
      <c r="J31" s="217">
        <v>0</v>
      </c>
      <c r="K31" s="292">
        <f t="shared" si="4"/>
        <v>0</v>
      </c>
      <c r="L31" s="220">
        <f t="shared" si="5"/>
        <v>1404598.95</v>
      </c>
      <c r="M31" s="256" t="e">
        <f t="shared" si="6"/>
        <v>#DIV/0!</v>
      </c>
      <c r="BY31" s="138"/>
      <c r="BZ31" s="138"/>
      <c r="CA31" s="138"/>
    </row>
    <row r="32" spans="2:81" ht="15" customHeight="1">
      <c r="B32" s="80">
        <v>7149</v>
      </c>
      <c r="C32" s="97" t="str">
        <f>IF(MasterSheet!$A$1=1,MasterSheet!C97,MasterSheet!B97)</f>
        <v>Ostale naknade</v>
      </c>
      <c r="D32" s="215">
        <v>6789538.1500000004</v>
      </c>
      <c r="E32" s="264">
        <f t="shared" si="1"/>
        <v>0.18204955490012067</v>
      </c>
      <c r="F32" s="215">
        <v>4372870.68</v>
      </c>
      <c r="G32" s="264">
        <f t="shared" si="0"/>
        <v>0.11725085614693659</v>
      </c>
      <c r="H32" s="216">
        <f t="shared" si="2"/>
        <v>2416667.4700000007</v>
      </c>
      <c r="I32" s="273">
        <f t="shared" si="3"/>
        <v>55.265011175679234</v>
      </c>
      <c r="J32" s="215">
        <v>5468781.5600000005</v>
      </c>
      <c r="K32" s="264">
        <f t="shared" si="4"/>
        <v>0.15086293958620692</v>
      </c>
      <c r="L32" s="216">
        <f t="shared" si="5"/>
        <v>1320756.5899999999</v>
      </c>
      <c r="M32" s="273">
        <f t="shared" si="6"/>
        <v>24.150838271916641</v>
      </c>
      <c r="BY32" s="81"/>
      <c r="BZ32" s="81"/>
      <c r="CA32" s="81"/>
      <c r="CB32" s="81"/>
      <c r="CC32" s="81"/>
    </row>
    <row r="33" spans="1:82" ht="15" customHeight="1">
      <c r="B33" s="80">
        <v>715</v>
      </c>
      <c r="C33" s="93" t="str">
        <f>IF(MasterSheet!$A$1=1,MasterSheet!C98,MasterSheet!B98)</f>
        <v>Ostali prihodi</v>
      </c>
      <c r="D33" s="221">
        <f>+SUM(D34:D37)</f>
        <v>13023079.540000001</v>
      </c>
      <c r="E33" s="266">
        <f t="shared" si="1"/>
        <v>0.34919103204182872</v>
      </c>
      <c r="F33" s="221">
        <v>12583581.177661404</v>
      </c>
      <c r="G33" s="266">
        <f t="shared" si="0"/>
        <v>0.33740665444862322</v>
      </c>
      <c r="H33" s="222">
        <f t="shared" si="2"/>
        <v>439498.36233859695</v>
      </c>
      <c r="I33" s="275">
        <f t="shared" si="3"/>
        <v>3.4926334255211913</v>
      </c>
      <c r="J33" s="221">
        <f>+SUM(J34:J37)</f>
        <v>12493530.049999999</v>
      </c>
      <c r="K33" s="266">
        <f t="shared" si="4"/>
        <v>0.34464910482758621</v>
      </c>
      <c r="L33" s="222">
        <f t="shared" si="5"/>
        <v>529549.49000000209</v>
      </c>
      <c r="M33" s="275">
        <f t="shared" si="6"/>
        <v>4.2385897971246607</v>
      </c>
      <c r="BY33" s="81"/>
      <c r="BZ33" s="81"/>
      <c r="CA33" s="81"/>
      <c r="CB33" s="81"/>
      <c r="CC33" s="81"/>
    </row>
    <row r="34" spans="1:82" ht="15" customHeight="1">
      <c r="B34" s="80">
        <v>7151</v>
      </c>
      <c r="C34" s="97" t="str">
        <f>IF(MasterSheet!$A$1=1,MasterSheet!C99,MasterSheet!B99)</f>
        <v>Prihodi od kapitala</v>
      </c>
      <c r="D34" s="215">
        <v>2105757.3699999996</v>
      </c>
      <c r="E34" s="264">
        <f t="shared" si="1"/>
        <v>5.6462189837779855E-2</v>
      </c>
      <c r="F34" s="215">
        <v>284541.62999999995</v>
      </c>
      <c r="G34" s="264">
        <f t="shared" si="0"/>
        <v>7.6294846494168109E-3</v>
      </c>
      <c r="H34" s="216">
        <f t="shared" si="2"/>
        <v>1821215.7399999998</v>
      </c>
      <c r="I34" s="273">
        <f t="shared" si="3"/>
        <v>640.05247316535019</v>
      </c>
      <c r="J34" s="215">
        <v>2333126.7100000004</v>
      </c>
      <c r="K34" s="264">
        <f t="shared" si="4"/>
        <v>6.4362116137931039E-2</v>
      </c>
      <c r="L34" s="216">
        <f t="shared" si="5"/>
        <v>-227369.34000000078</v>
      </c>
      <c r="M34" s="273">
        <f t="shared" si="6"/>
        <v>-9.745263256619296</v>
      </c>
      <c r="BY34" s="139"/>
      <c r="BZ34" s="139"/>
      <c r="CA34" s="139"/>
      <c r="CB34" s="139"/>
      <c r="CC34" s="139"/>
      <c r="CD34" s="140"/>
    </row>
    <row r="35" spans="1:82" ht="15" customHeight="1">
      <c r="B35" s="80">
        <v>7152</v>
      </c>
      <c r="C35" s="97" t="str">
        <f>IF(MasterSheet!$A$1=1,MasterSheet!C100,MasterSheet!B100)</f>
        <v>Novčane kazne i oduzete imovinske koristi</v>
      </c>
      <c r="D35" s="215">
        <v>1224399.33</v>
      </c>
      <c r="E35" s="264">
        <f t="shared" si="1"/>
        <v>3.2830120123340932E-2</v>
      </c>
      <c r="F35" s="215">
        <v>346643.42</v>
      </c>
      <c r="G35" s="264">
        <f t="shared" si="0"/>
        <v>9.2946352057916605E-3</v>
      </c>
      <c r="H35" s="216">
        <f t="shared" si="2"/>
        <v>877755.91000000015</v>
      </c>
      <c r="I35" s="273">
        <f t="shared" si="3"/>
        <v>253.21580025952898</v>
      </c>
      <c r="J35" s="215">
        <v>571857.4099999998</v>
      </c>
      <c r="K35" s="264">
        <f t="shared" si="4"/>
        <v>1.5775376827586202E-2</v>
      </c>
      <c r="L35" s="216">
        <f t="shared" si="5"/>
        <v>652541.92000000027</v>
      </c>
      <c r="M35" s="273">
        <f t="shared" si="6"/>
        <v>114.1092007533837</v>
      </c>
      <c r="BY35" s="139"/>
      <c r="BZ35" s="139"/>
      <c r="CA35" s="141"/>
      <c r="CB35" s="141"/>
      <c r="CC35" s="142"/>
      <c r="CD35" s="140"/>
    </row>
    <row r="36" spans="1:82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15">
        <v>2832288.34</v>
      </c>
      <c r="E36" s="264">
        <f t="shared" si="1"/>
        <v>7.5942843276578631E-2</v>
      </c>
      <c r="F36" s="215">
        <v>4971901.540000001</v>
      </c>
      <c r="G36" s="264">
        <f t="shared" si="0"/>
        <v>0.1333128178039952</v>
      </c>
      <c r="H36" s="216">
        <f t="shared" si="2"/>
        <v>-2139613.2000000011</v>
      </c>
      <c r="I36" s="273">
        <f t="shared" si="3"/>
        <v>-43.034102400990037</v>
      </c>
      <c r="J36" s="215">
        <v>3193246.12</v>
      </c>
      <c r="K36" s="264">
        <f t="shared" si="4"/>
        <v>8.8089548137931031E-2</v>
      </c>
      <c r="L36" s="216">
        <f t="shared" si="5"/>
        <v>-360957.78000000026</v>
      </c>
      <c r="M36" s="273">
        <f t="shared" si="6"/>
        <v>-11.303788259202534</v>
      </c>
      <c r="BY36" s="81"/>
      <c r="BZ36" s="81"/>
      <c r="CA36" s="143"/>
      <c r="CB36" s="143"/>
      <c r="CC36" s="143"/>
      <c r="CD36" s="140"/>
    </row>
    <row r="37" spans="1:82" ht="15" customHeight="1">
      <c r="B37" s="80">
        <v>7154</v>
      </c>
      <c r="C37" s="97" t="str">
        <f>IF(MasterSheet!$A$1=1,MasterSheet!C102,MasterSheet!B102)</f>
        <v>Ostali prihodi</v>
      </c>
      <c r="D37" s="215">
        <v>6860634.5000000019</v>
      </c>
      <c r="E37" s="264">
        <f t="shared" si="1"/>
        <v>0.18395587880412928</v>
      </c>
      <c r="F37" s="215">
        <v>7000629.4299999997</v>
      </c>
      <c r="G37" s="264">
        <f t="shared" si="0"/>
        <v>0.18770959726504893</v>
      </c>
      <c r="H37" s="215">
        <f t="shared" si="2"/>
        <v>-139994.92999999784</v>
      </c>
      <c r="I37" s="264">
        <f t="shared" si="3"/>
        <v>-1.9997477569670252</v>
      </c>
      <c r="J37" s="215">
        <v>6395299.8099999987</v>
      </c>
      <c r="K37" s="264">
        <f t="shared" si="4"/>
        <v>0.17642206372413791</v>
      </c>
      <c r="L37" s="216">
        <f t="shared" si="5"/>
        <v>465334.6900000032</v>
      </c>
      <c r="M37" s="273">
        <f t="shared" si="6"/>
        <v>7.2761982053192185</v>
      </c>
      <c r="BX37" s="100"/>
      <c r="BY37" s="100"/>
      <c r="BZ37" s="99"/>
      <c r="CA37" s="143"/>
      <c r="CB37" s="143"/>
      <c r="CC37" s="143"/>
      <c r="CD37" s="140"/>
    </row>
    <row r="38" spans="1:82">
      <c r="B38" s="80">
        <v>73</v>
      </c>
      <c r="C38" s="101" t="str">
        <f>IF(MasterSheet!$A$1=1,MasterSheet!C103,MasterSheet!B103)</f>
        <v xml:space="preserve">Primici od otplate kredita </v>
      </c>
      <c r="D38" s="221">
        <v>0</v>
      </c>
      <c r="E38" s="266">
        <f t="shared" si="1"/>
        <v>0</v>
      </c>
      <c r="F38" s="221">
        <v>200000</v>
      </c>
      <c r="G38" s="266">
        <f t="shared" si="0"/>
        <v>5.3626491486794478E-3</v>
      </c>
      <c r="H38" s="221">
        <f t="shared" si="2"/>
        <v>-200000</v>
      </c>
      <c r="I38" s="264">
        <f t="shared" si="3"/>
        <v>-100</v>
      </c>
      <c r="J38" s="221">
        <v>301707.61</v>
      </c>
      <c r="K38" s="266">
        <f t="shared" si="4"/>
        <v>8.3229685517241369E-3</v>
      </c>
      <c r="L38" s="222">
        <f t="shared" si="5"/>
        <v>-301707.61</v>
      </c>
      <c r="M38" s="275">
        <f t="shared" si="6"/>
        <v>-100</v>
      </c>
      <c r="BX38" s="100"/>
      <c r="BY38" s="100"/>
      <c r="BZ38" s="99"/>
      <c r="CA38" s="143"/>
      <c r="CB38" s="143"/>
      <c r="CC38" s="143"/>
      <c r="CD38" s="140"/>
    </row>
    <row r="39" spans="1:82" ht="13.5" customHeight="1" thickBot="1">
      <c r="B39" s="80">
        <v>74</v>
      </c>
      <c r="C39" s="93" t="s">
        <v>122</v>
      </c>
      <c r="D39" s="221">
        <v>5743110.1400000006</v>
      </c>
      <c r="E39" s="266">
        <f t="shared" si="1"/>
        <v>0.15399142351521655</v>
      </c>
      <c r="F39" s="221">
        <v>6842181.9457112998</v>
      </c>
      <c r="G39" s="266">
        <f t="shared" si="0"/>
        <v>0.18346110593139295</v>
      </c>
      <c r="H39" s="221">
        <f t="shared" si="2"/>
        <v>-1099071.8057112992</v>
      </c>
      <c r="I39" s="266">
        <f t="shared" si="3"/>
        <v>-16.063177133139533</v>
      </c>
      <c r="J39" s="221">
        <v>6933606.0099999998</v>
      </c>
      <c r="K39" s="266">
        <f t="shared" si="4"/>
        <v>0.19127188993103447</v>
      </c>
      <c r="L39" s="222">
        <f t="shared" si="5"/>
        <v>-1190495.8699999992</v>
      </c>
      <c r="M39" s="275">
        <f t="shared" si="6"/>
        <v>-17.169938244010481</v>
      </c>
      <c r="BY39" s="144"/>
      <c r="BZ39" s="144"/>
      <c r="CA39" s="143"/>
      <c r="CB39" s="143"/>
      <c r="CC39" s="143"/>
      <c r="CD39" s="140"/>
    </row>
    <row r="40" spans="1:82" ht="15" customHeight="1" thickTop="1" thickBot="1">
      <c r="B40" s="102"/>
      <c r="C40" s="151" t="str">
        <f>IF(MasterSheet!$A$1=1,MasterSheet!C104,MasterSheet!B104)</f>
        <v>Izdaci</v>
      </c>
      <c r="D40" s="223">
        <f>+D42+D52+D55+D58+D59+D60+D61+D62+D63</f>
        <v>204446762.20000002</v>
      </c>
      <c r="E40" s="267">
        <f t="shared" si="1"/>
        <v>5.4818812763104976</v>
      </c>
      <c r="F40" s="223">
        <f>+F42+F52+F55+F58+F59+F60+F61+F62+F63</f>
        <v>166477657.55890059</v>
      </c>
      <c r="G40" s="267">
        <f t="shared" si="0"/>
        <v>4.4638063429119343</v>
      </c>
      <c r="H40" s="223">
        <f t="shared" si="2"/>
        <v>37969104.641099423</v>
      </c>
      <c r="I40" s="267">
        <f t="shared" si="3"/>
        <v>22.807327540433334</v>
      </c>
      <c r="J40" s="223">
        <f>+J42+J52+J55+J58+J59+J60+J61+J62</f>
        <v>210595268.31300002</v>
      </c>
      <c r="K40" s="293">
        <f t="shared" si="4"/>
        <v>5.8095246431172418</v>
      </c>
      <c r="L40" s="223">
        <f t="shared" si="5"/>
        <v>-6148506.1130000055</v>
      </c>
      <c r="M40" s="267">
        <f t="shared" si="6"/>
        <v>-2.9195841683687433</v>
      </c>
      <c r="BY40" s="81"/>
      <c r="BZ40" s="81"/>
      <c r="CA40" s="143"/>
      <c r="CB40" s="143"/>
      <c r="CC40" s="143"/>
      <c r="CD40" s="140"/>
    </row>
    <row r="41" spans="1:82" ht="13.5" customHeight="1" thickTop="1" thickBot="1">
      <c r="C41" s="151" t="str">
        <f>IF(MasterSheet!$A$1=1,MasterSheet!C105,MasterSheet!B105)</f>
        <v>Tekuća budžetska potrošnja</v>
      </c>
      <c r="D41" s="223">
        <f>+D40-D58</f>
        <v>163410936.36000001</v>
      </c>
      <c r="E41" s="267">
        <f t="shared" si="1"/>
        <v>4.3815775937793271</v>
      </c>
      <c r="F41" s="223">
        <f>+F40-F58</f>
        <v>132712213.78054047</v>
      </c>
      <c r="G41" s="267">
        <f t="shared" si="0"/>
        <v>3.5584452012479009</v>
      </c>
      <c r="H41" s="223">
        <f t="shared" si="2"/>
        <v>30698722.579459548</v>
      </c>
      <c r="I41" s="267">
        <f t="shared" si="3"/>
        <v>23.131799029608885</v>
      </c>
      <c r="J41" s="223">
        <f>+J40-J58</f>
        <v>170462425.41300002</v>
      </c>
      <c r="K41" s="293">
        <f t="shared" si="4"/>
        <v>4.7024117355310349</v>
      </c>
      <c r="L41" s="223">
        <f t="shared" si="5"/>
        <v>-7051489.0530000031</v>
      </c>
      <c r="M41" s="267">
        <f t="shared" si="6"/>
        <v>-4.1366823427013344</v>
      </c>
      <c r="BY41" s="144"/>
      <c r="BZ41" s="144"/>
      <c r="CA41" s="143"/>
      <c r="CB41" s="143"/>
      <c r="CC41" s="143"/>
      <c r="CD41" s="140"/>
    </row>
    <row r="42" spans="1:82" ht="13.5" customHeight="1" thickTop="1">
      <c r="A42" s="80">
        <v>41</v>
      </c>
      <c r="C42" s="93" t="str">
        <f>+'Central Budget'!C37</f>
        <v>Tekući izdaci</v>
      </c>
      <c r="D42" s="94">
        <f>+SUM(D43:D51)</f>
        <v>78974895.13000001</v>
      </c>
      <c r="E42" s="242">
        <f t="shared" si="1"/>
        <v>2.1175732706797161</v>
      </c>
      <c r="F42" s="94">
        <f>+SUM(F43:F51)</f>
        <v>86105857.630018204</v>
      </c>
      <c r="G42" s="242">
        <f t="shared" si="0"/>
        <v>2.3087775205796541</v>
      </c>
      <c r="H42" s="202">
        <f t="shared" si="2"/>
        <v>-7130962.5000181943</v>
      </c>
      <c r="I42" s="255">
        <f t="shared" si="3"/>
        <v>-8.2816229885993238</v>
      </c>
      <c r="J42" s="94">
        <f>+SUM(J43:J51)</f>
        <v>81103981.883000001</v>
      </c>
      <c r="K42" s="245">
        <f t="shared" si="4"/>
        <v>2.2373512243586209</v>
      </c>
      <c r="L42" s="202">
        <f t="shared" si="5"/>
        <v>-2129086.7529999912</v>
      </c>
      <c r="M42" s="255">
        <f t="shared" si="6"/>
        <v>-2.6251322112290296</v>
      </c>
      <c r="BY42" s="144"/>
      <c r="BZ42" s="144"/>
      <c r="CA42" s="143"/>
      <c r="CB42" s="143"/>
      <c r="CC42" s="143"/>
      <c r="CD42" s="140"/>
    </row>
    <row r="43" spans="1:82" ht="13.5" customHeight="1">
      <c r="B43" s="80">
        <v>411</v>
      </c>
      <c r="C43" s="93" t="str">
        <f>+'Central Budget'!C38</f>
        <v>Bruto zarade i doprinosi na teret poslodavca</v>
      </c>
      <c r="D43" s="221">
        <v>45098519.069999993</v>
      </c>
      <c r="E43" s="266">
        <f t="shared" si="1"/>
        <v>1.2092376744871964</v>
      </c>
      <c r="F43" s="221">
        <v>47782117.367382355</v>
      </c>
      <c r="G43" s="266">
        <f t="shared" si="0"/>
        <v>1.2811936551114722</v>
      </c>
      <c r="H43" s="222">
        <f t="shared" si="2"/>
        <v>-2683598.2973823622</v>
      </c>
      <c r="I43" s="275">
        <f t="shared" si="3"/>
        <v>-5.6163235227710402</v>
      </c>
      <c r="J43" s="221">
        <v>46614673.850000001</v>
      </c>
      <c r="K43" s="266">
        <f t="shared" si="4"/>
        <v>1.2859220372413793</v>
      </c>
      <c r="L43" s="222">
        <f t="shared" si="5"/>
        <v>-1516154.7800000086</v>
      </c>
      <c r="M43" s="275">
        <f t="shared" si="6"/>
        <v>-3.252526843540295</v>
      </c>
      <c r="BY43" s="144"/>
      <c r="BZ43" s="144"/>
      <c r="CA43" s="143"/>
      <c r="CB43" s="143"/>
      <c r="CC43" s="143"/>
      <c r="CD43" s="140"/>
    </row>
    <row r="44" spans="1:82" ht="13.5" customHeight="1">
      <c r="B44" s="80">
        <v>412</v>
      </c>
      <c r="C44" s="93" t="str">
        <f>+'Central Budget'!C39</f>
        <v>Ostala lična primanja</v>
      </c>
      <c r="D44" s="221">
        <v>4422209.4800000004</v>
      </c>
      <c r="E44" s="266">
        <f t="shared" si="1"/>
        <v>0.11857378951602093</v>
      </c>
      <c r="F44" s="221">
        <v>7267976.531492223</v>
      </c>
      <c r="G44" s="266">
        <f t="shared" si="0"/>
        <v>0.19487804079614487</v>
      </c>
      <c r="H44" s="222">
        <f t="shared" si="2"/>
        <v>-2845767.0514922226</v>
      </c>
      <c r="I44" s="275">
        <f t="shared" si="3"/>
        <v>-39.154873975741147</v>
      </c>
      <c r="J44" s="221">
        <v>5051688.9400000004</v>
      </c>
      <c r="K44" s="266">
        <f t="shared" si="4"/>
        <v>0.13935693627586207</v>
      </c>
      <c r="L44" s="222">
        <f t="shared" si="5"/>
        <v>-629479.46</v>
      </c>
      <c r="M44" s="275">
        <f t="shared" si="6"/>
        <v>-12.46077237685185</v>
      </c>
      <c r="BY44" s="144"/>
      <c r="BZ44" s="144"/>
      <c r="CA44" s="143"/>
      <c r="CB44" s="143"/>
      <c r="CC44" s="143"/>
      <c r="CD44" s="140"/>
    </row>
    <row r="45" spans="1:82" ht="13.5" customHeight="1">
      <c r="B45" s="80">
        <v>413</v>
      </c>
      <c r="C45" s="93" t="str">
        <f>+'Central Budget'!C40</f>
        <v>Rashodi za materijal</v>
      </c>
      <c r="D45" s="221">
        <v>6862257.9700000007</v>
      </c>
      <c r="E45" s="266">
        <f t="shared" si="1"/>
        <v>0.18399940930419631</v>
      </c>
      <c r="F45" s="221">
        <v>7538818.3658536607</v>
      </c>
      <c r="G45" s="266">
        <f t="shared" si="0"/>
        <v>0.20214018945847056</v>
      </c>
      <c r="H45" s="222">
        <f t="shared" si="2"/>
        <v>-676560.39585366007</v>
      </c>
      <c r="I45" s="275">
        <f t="shared" si="3"/>
        <v>-8.9743559669519897</v>
      </c>
      <c r="J45" s="221">
        <v>6695243.5399999991</v>
      </c>
      <c r="K45" s="266">
        <f t="shared" si="4"/>
        <v>0.18469637351724136</v>
      </c>
      <c r="L45" s="222">
        <f t="shared" si="5"/>
        <v>167014.43000000156</v>
      </c>
      <c r="M45" s="275">
        <f t="shared" si="6"/>
        <v>2.4945235972700885</v>
      </c>
      <c r="BY45" s="144"/>
      <c r="BZ45" s="144"/>
      <c r="CA45" s="143"/>
      <c r="CB45" s="143"/>
      <c r="CC45" s="143"/>
      <c r="CD45" s="140"/>
    </row>
    <row r="46" spans="1:82" ht="13.5" customHeight="1">
      <c r="B46" s="80">
        <v>414</v>
      </c>
      <c r="C46" s="93" t="str">
        <f>+'Central Budget'!C41</f>
        <v>Rashodi za usluge</v>
      </c>
      <c r="D46" s="94">
        <v>8440500.9199999981</v>
      </c>
      <c r="E46" s="242">
        <f t="shared" si="1"/>
        <v>0.22631722536533039</v>
      </c>
      <c r="F46" s="152">
        <v>9182475.0294117648</v>
      </c>
      <c r="G46" s="242">
        <f t="shared" si="0"/>
        <v>0.24621195949622643</v>
      </c>
      <c r="H46" s="202">
        <f t="shared" si="2"/>
        <v>-741974.10941176675</v>
      </c>
      <c r="I46" s="275">
        <f t="shared" si="3"/>
        <v>-8.0803280927549395</v>
      </c>
      <c r="J46" s="152">
        <v>9875543.7130000014</v>
      </c>
      <c r="K46" s="245">
        <f t="shared" si="4"/>
        <v>0.27242879208275866</v>
      </c>
      <c r="L46" s="202">
        <f t="shared" si="5"/>
        <v>-1435042.7930000033</v>
      </c>
      <c r="M46" s="255">
        <f t="shared" si="6"/>
        <v>-14.531278830865148</v>
      </c>
      <c r="BY46" s="144"/>
      <c r="BZ46" s="144"/>
      <c r="CA46" s="143"/>
      <c r="CB46" s="143"/>
      <c r="CC46" s="143"/>
      <c r="CD46" s="140"/>
    </row>
    <row r="47" spans="1:82" ht="13.5" customHeight="1">
      <c r="B47" s="80">
        <v>415</v>
      </c>
      <c r="C47" s="93" t="str">
        <f>+'Central Budget'!C42</f>
        <v>Rashodi za tekuće održavanje</v>
      </c>
      <c r="D47" s="221">
        <v>5731511.8699999982</v>
      </c>
      <c r="E47" s="266">
        <f t="shared" si="1"/>
        <v>0.15368043625150818</v>
      </c>
      <c r="F47" s="221">
        <v>5000593.3688567765</v>
      </c>
      <c r="G47" s="266">
        <f t="shared" si="0"/>
        <v>0.13408213886195944</v>
      </c>
      <c r="H47" s="222">
        <f t="shared" si="2"/>
        <v>730918.50114322174</v>
      </c>
      <c r="I47" s="275">
        <f t="shared" si="3"/>
        <v>14.616635411615619</v>
      </c>
      <c r="J47" s="221">
        <v>4761373.5799999982</v>
      </c>
      <c r="K47" s="266">
        <f t="shared" si="4"/>
        <v>0.13134823668965512</v>
      </c>
      <c r="L47" s="222">
        <f t="shared" si="5"/>
        <v>970138.29</v>
      </c>
      <c r="M47" s="275">
        <f t="shared" si="6"/>
        <v>20.375176904308361</v>
      </c>
      <c r="BY47" s="144"/>
      <c r="BZ47" s="144"/>
      <c r="CA47" s="143"/>
      <c r="CB47" s="143"/>
      <c r="CC47" s="143"/>
      <c r="CD47" s="140"/>
    </row>
    <row r="48" spans="1:82" ht="13.5" customHeight="1">
      <c r="B48" s="80">
        <v>416</v>
      </c>
      <c r="C48" s="93" t="str">
        <f>+'Central Budget'!C43</f>
        <v>Kamate</v>
      </c>
      <c r="D48" s="221">
        <v>4099927.0799999996</v>
      </c>
      <c r="E48" s="266">
        <f t="shared" si="1"/>
        <v>0.10993235232604906</v>
      </c>
      <c r="F48" s="221">
        <v>4788699.2781575443</v>
      </c>
      <c r="G48" s="266">
        <f t="shared" si="0"/>
        <v>0.1284005705364672</v>
      </c>
      <c r="H48" s="222">
        <f t="shared" si="2"/>
        <v>-688772.19815754471</v>
      </c>
      <c r="I48" s="275">
        <f t="shared" si="3"/>
        <v>-14.383283604781923</v>
      </c>
      <c r="J48" s="221">
        <v>4442822.2999999989</v>
      </c>
      <c r="K48" s="266">
        <f t="shared" si="4"/>
        <v>0.12256061517241376</v>
      </c>
      <c r="L48" s="222">
        <f t="shared" si="5"/>
        <v>-342895.21999999927</v>
      </c>
      <c r="M48" s="275">
        <f t="shared" si="6"/>
        <v>-7.7179593701057883</v>
      </c>
      <c r="BY48" s="144"/>
      <c r="BZ48" s="144"/>
      <c r="CA48" s="143"/>
      <c r="CB48" s="143"/>
      <c r="CC48" s="143"/>
      <c r="CD48" s="140"/>
    </row>
    <row r="49" spans="1:82" ht="13.5" customHeight="1">
      <c r="B49" s="80">
        <v>417</v>
      </c>
      <c r="C49" s="93" t="str">
        <f>+'Central Budget'!C44</f>
        <v>Renta</v>
      </c>
      <c r="D49" s="221">
        <v>505241.3600000001</v>
      </c>
      <c r="E49" s="266">
        <f t="shared" si="1"/>
        <v>1.3547160745408234E-2</v>
      </c>
      <c r="F49" s="221">
        <v>601805.83191184408</v>
      </c>
      <c r="G49" s="266">
        <f t="shared" si="0"/>
        <v>1.6136367660861888E-2</v>
      </c>
      <c r="H49" s="222">
        <f t="shared" si="2"/>
        <v>-96564.471911843983</v>
      </c>
      <c r="I49" s="275">
        <f t="shared" si="3"/>
        <v>-16.045785333298213</v>
      </c>
      <c r="J49" s="221">
        <v>583055.70000000007</v>
      </c>
      <c r="K49" s="266">
        <f t="shared" si="4"/>
        <v>1.6084295172413794E-2</v>
      </c>
      <c r="L49" s="222">
        <f t="shared" si="5"/>
        <v>-77814.339999999967</v>
      </c>
      <c r="M49" s="275">
        <f t="shared" si="6"/>
        <v>-13.345953053884898</v>
      </c>
      <c r="BY49" s="144"/>
      <c r="BZ49" s="144"/>
      <c r="CA49" s="143"/>
      <c r="CB49" s="143"/>
      <c r="CC49" s="143"/>
      <c r="CD49" s="140"/>
    </row>
    <row r="50" spans="1:82" ht="13.5" customHeight="1">
      <c r="B50" s="80">
        <v>418</v>
      </c>
      <c r="C50" s="93" t="str">
        <f>+'Central Budget'!C45</f>
        <v>Subvencije</v>
      </c>
      <c r="D50" s="221">
        <v>725330.73</v>
      </c>
      <c r="E50" s="266">
        <f t="shared" si="1"/>
        <v>1.9448471108727713E-2</v>
      </c>
      <c r="F50" s="221">
        <v>975665.46874121996</v>
      </c>
      <c r="G50" s="266">
        <f t="shared" si="0"/>
        <v>2.6160757976705189E-2</v>
      </c>
      <c r="H50" s="222">
        <f t="shared" si="2"/>
        <v>-250334.73874121998</v>
      </c>
      <c r="I50" s="275">
        <f t="shared" si="3"/>
        <v>-25.657845517910545</v>
      </c>
      <c r="J50" s="221">
        <v>667323.80999999994</v>
      </c>
      <c r="K50" s="266">
        <f t="shared" si="4"/>
        <v>1.8408932689655169E-2</v>
      </c>
      <c r="L50" s="222">
        <f t="shared" si="5"/>
        <v>58006.920000000042</v>
      </c>
      <c r="M50" s="275">
        <f t="shared" si="6"/>
        <v>8.6924697022274842</v>
      </c>
      <c r="BY50" s="144"/>
      <c r="BZ50" s="144"/>
      <c r="CA50" s="143"/>
      <c r="CB50" s="143"/>
      <c r="CC50" s="143"/>
      <c r="CD50" s="140"/>
    </row>
    <row r="51" spans="1:82" ht="13.5" customHeight="1">
      <c r="B51" s="80">
        <v>419</v>
      </c>
      <c r="C51" s="93" t="str">
        <f>+'Central Budget'!C46</f>
        <v>Ostali izdaci</v>
      </c>
      <c r="D51" s="221">
        <v>3089396.65</v>
      </c>
      <c r="E51" s="266">
        <f t="shared" si="1"/>
        <v>8.2836751575278186E-2</v>
      </c>
      <c r="F51" s="221">
        <v>2967706.3882108098</v>
      </c>
      <c r="G51" s="266">
        <f t="shared" si="0"/>
        <v>7.9573840681346278E-2</v>
      </c>
      <c r="H51" s="222">
        <f t="shared" si="2"/>
        <v>121690.26178919012</v>
      </c>
      <c r="I51" s="275">
        <f t="shared" si="3"/>
        <v>4.1004818493030086</v>
      </c>
      <c r="J51" s="221">
        <v>2412256.4500000002</v>
      </c>
      <c r="K51" s="266">
        <f t="shared" si="4"/>
        <v>6.6545005517241393E-2</v>
      </c>
      <c r="L51" s="222">
        <f t="shared" si="5"/>
        <v>677140.19999999972</v>
      </c>
      <c r="M51" s="275">
        <f t="shared" si="6"/>
        <v>28.070821408727085</v>
      </c>
      <c r="BY51" s="144"/>
      <c r="BZ51" s="144"/>
      <c r="CA51" s="143"/>
      <c r="CB51" s="143"/>
      <c r="CC51" s="143"/>
      <c r="CD51" s="140"/>
    </row>
    <row r="52" spans="1:82" ht="13.5" customHeight="1">
      <c r="A52" s="80">
        <v>42</v>
      </c>
      <c r="B52" s="80" t="s">
        <v>427</v>
      </c>
      <c r="C52" s="93" t="str">
        <f>+'Central Budget'!C48</f>
        <v>Transferi za socijalnu zaštitu</v>
      </c>
      <c r="D52" s="221">
        <f>+D53</f>
        <v>1094549.17</v>
      </c>
      <c r="E52" s="266">
        <f t="shared" si="1"/>
        <v>2.9348415873441478E-2</v>
      </c>
      <c r="F52" s="221">
        <f>+F53</f>
        <v>3224448.8199364701</v>
      </c>
      <c r="G52" s="266">
        <f t="shared" si="0"/>
        <v>8.6457938595963804E-2</v>
      </c>
      <c r="H52" s="222">
        <f t="shared" si="2"/>
        <v>-2129899.6499364702</v>
      </c>
      <c r="I52" s="275">
        <f t="shared" si="3"/>
        <v>-66.054689308991257</v>
      </c>
      <c r="J52" s="221">
        <f>+J53</f>
        <v>817712.74</v>
      </c>
      <c r="K52" s="266">
        <f t="shared" si="4"/>
        <v>2.2557592827586206E-2</v>
      </c>
      <c r="L52" s="222">
        <f t="shared" si="5"/>
        <v>276836.42999999993</v>
      </c>
      <c r="M52" s="275">
        <f t="shared" si="6"/>
        <v>33.854973324739916</v>
      </c>
      <c r="BY52" s="144"/>
      <c r="BZ52" s="144"/>
      <c r="CA52" s="143"/>
      <c r="CB52" s="143"/>
      <c r="CC52" s="143"/>
      <c r="CD52" s="140"/>
    </row>
    <row r="53" spans="1:82" ht="13.5" customHeight="1">
      <c r="B53" s="80">
        <v>421</v>
      </c>
      <c r="C53" s="97" t="s">
        <v>88</v>
      </c>
      <c r="D53" s="302">
        <v>1094549.17</v>
      </c>
      <c r="E53" s="264">
        <f>+D53/$D$11*100</f>
        <v>2.9348415873441478E-2</v>
      </c>
      <c r="F53" s="215">
        <v>3224448.8199364701</v>
      </c>
      <c r="G53" s="264">
        <f t="shared" si="0"/>
        <v>8.6457938595963804E-2</v>
      </c>
      <c r="H53" s="216">
        <f>+D53-F53</f>
        <v>-2129899.6499364702</v>
      </c>
      <c r="I53" s="273">
        <f>+D53/F53*100-100</f>
        <v>-66.054689308991257</v>
      </c>
      <c r="J53" s="302">
        <v>817712.74</v>
      </c>
      <c r="K53" s="264">
        <f t="shared" si="4"/>
        <v>2.2557592827586206E-2</v>
      </c>
      <c r="L53" s="216">
        <f>+D53-J53</f>
        <v>276836.42999999993</v>
      </c>
      <c r="M53" s="273">
        <f>+D53/J53*100-100</f>
        <v>33.854973324739916</v>
      </c>
      <c r="BY53" s="144"/>
      <c r="BZ53" s="144"/>
      <c r="CA53" s="143"/>
      <c r="CB53" s="143"/>
      <c r="CC53" s="143"/>
      <c r="CD53" s="140"/>
    </row>
    <row r="54" spans="1:82" ht="13.5" customHeight="1">
      <c r="B54" s="80">
        <v>422</v>
      </c>
      <c r="C54" s="97" t="s">
        <v>90</v>
      </c>
      <c r="D54" s="215">
        <v>0</v>
      </c>
      <c r="E54" s="264">
        <f t="shared" si="1"/>
        <v>0</v>
      </c>
      <c r="F54" s="215">
        <v>0</v>
      </c>
      <c r="G54" s="264">
        <f t="shared" si="0"/>
        <v>0</v>
      </c>
      <c r="H54" s="216">
        <f t="shared" si="2"/>
        <v>0</v>
      </c>
      <c r="I54" s="273" t="e">
        <f t="shared" si="3"/>
        <v>#DIV/0!</v>
      </c>
      <c r="J54" s="215">
        <v>0</v>
      </c>
      <c r="K54" s="264">
        <f t="shared" si="4"/>
        <v>0</v>
      </c>
      <c r="L54" s="216">
        <f t="shared" si="5"/>
        <v>0</v>
      </c>
      <c r="M54" s="273" t="e">
        <f t="shared" si="6"/>
        <v>#DIV/0!</v>
      </c>
      <c r="BY54" s="144"/>
      <c r="BZ54" s="144"/>
      <c r="CA54" s="143"/>
      <c r="CB54" s="143"/>
      <c r="CC54" s="143"/>
      <c r="CD54" s="140"/>
    </row>
    <row r="55" spans="1:82" ht="13.5" customHeight="1">
      <c r="A55" s="80">
        <v>43</v>
      </c>
      <c r="C55" s="93" t="str">
        <f>+'Central Budget'!C54</f>
        <v xml:space="preserve">Transferi institucijama, pojedincima, nevladinom i javnom sektoru </v>
      </c>
      <c r="D55" s="94">
        <f>+SUM(D56:D57)</f>
        <v>41356828.290000007</v>
      </c>
      <c r="E55" s="242">
        <f t="shared" si="1"/>
        <v>1.1089108001072532</v>
      </c>
      <c r="F55" s="94">
        <f>+SUM(F56:F57)</f>
        <v>40933110.930349998</v>
      </c>
      <c r="G55" s="242">
        <f t="shared" si="0"/>
        <v>1.097549562417214</v>
      </c>
      <c r="H55" s="202">
        <f t="shared" si="2"/>
        <v>423717.35965000838</v>
      </c>
      <c r="I55" s="255">
        <f t="shared" si="3"/>
        <v>1.0351457536931008</v>
      </c>
      <c r="J55" s="152">
        <f>+J56+J57</f>
        <v>37814642.710000001</v>
      </c>
      <c r="K55" s="245">
        <f t="shared" si="4"/>
        <v>1.0431625575172414</v>
      </c>
      <c r="L55" s="202">
        <f t="shared" si="5"/>
        <v>3542185.5800000057</v>
      </c>
      <c r="M55" s="255">
        <f t="shared" si="6"/>
        <v>9.3672327070891015</v>
      </c>
      <c r="BY55" s="144"/>
      <c r="BZ55" s="144"/>
      <c r="CA55" s="143"/>
      <c r="CB55" s="143"/>
      <c r="CC55" s="143"/>
      <c r="CD55" s="140"/>
    </row>
    <row r="56" spans="1:82" ht="13.5" customHeight="1">
      <c r="A56" s="80" t="s">
        <v>427</v>
      </c>
      <c r="B56" s="80">
        <v>431</v>
      </c>
      <c r="C56" s="97" t="s">
        <v>432</v>
      </c>
      <c r="D56" s="215">
        <v>23033478.150000006</v>
      </c>
      <c r="E56" s="264">
        <f t="shared" si="1"/>
        <v>0.61760230996112087</v>
      </c>
      <c r="F56" s="215">
        <v>26021995.959070601</v>
      </c>
      <c r="G56" s="264">
        <f t="shared" si="0"/>
        <v>0.69773417238424995</v>
      </c>
      <c r="H56" s="215">
        <f t="shared" si="2"/>
        <v>-2988517.8090705946</v>
      </c>
      <c r="I56" s="264">
        <f t="shared" si="3"/>
        <v>-11.48458332624125</v>
      </c>
      <c r="J56" s="215">
        <v>20827970.48</v>
      </c>
      <c r="K56" s="264">
        <f t="shared" si="4"/>
        <v>0.5745647028965517</v>
      </c>
      <c r="L56" s="215">
        <f t="shared" si="5"/>
        <v>2205507.6700000055</v>
      </c>
      <c r="M56" s="264">
        <f t="shared" si="6"/>
        <v>10.589162646057318</v>
      </c>
      <c r="BY56" s="144"/>
      <c r="BZ56" s="144"/>
      <c r="CA56" s="143"/>
      <c r="CB56" s="143"/>
      <c r="CC56" s="143"/>
      <c r="CD56" s="140"/>
    </row>
    <row r="57" spans="1:82" s="236" customFormat="1" ht="13.5" customHeight="1" thickBot="1">
      <c r="A57" s="236" t="s">
        <v>427</v>
      </c>
      <c r="B57" s="236">
        <v>432</v>
      </c>
      <c r="C57" s="237" t="s">
        <v>433</v>
      </c>
      <c r="D57" s="219">
        <v>18323350.140000001</v>
      </c>
      <c r="E57" s="243">
        <f t="shared" si="1"/>
        <v>0.4913084901461322</v>
      </c>
      <c r="F57" s="154">
        <v>14911114.971279399</v>
      </c>
      <c r="G57" s="243">
        <f t="shared" si="0"/>
        <v>0.39981539003296418</v>
      </c>
      <c r="H57" s="219">
        <f t="shared" si="2"/>
        <v>3412235.1687206011</v>
      </c>
      <c r="I57" s="243">
        <f t="shared" si="3"/>
        <v>22.883836489041727</v>
      </c>
      <c r="J57" s="154">
        <v>16986672.23</v>
      </c>
      <c r="K57" s="292">
        <f t="shared" si="4"/>
        <v>0.4685978546206897</v>
      </c>
      <c r="L57" s="219">
        <f t="shared" si="5"/>
        <v>1336677.9100000001</v>
      </c>
      <c r="M57" s="243">
        <f t="shared" si="6"/>
        <v>7.8689804094724565</v>
      </c>
      <c r="BY57" s="238"/>
      <c r="BZ57" s="238"/>
      <c r="CA57" s="239"/>
      <c r="CB57" s="239"/>
      <c r="CC57" s="239"/>
      <c r="CD57" s="240"/>
    </row>
    <row r="58" spans="1:82" ht="13.5" customHeight="1" thickTop="1" thickBot="1">
      <c r="B58" s="80">
        <v>44</v>
      </c>
      <c r="C58" s="151" t="str">
        <f>+'Central Budget'!C57</f>
        <v>Kapitalni budžet</v>
      </c>
      <c r="D58" s="223">
        <v>41035825.840000004</v>
      </c>
      <c r="E58" s="267">
        <f t="shared" si="1"/>
        <v>1.1003036825311705</v>
      </c>
      <c r="F58" s="224">
        <v>33765443.778360128</v>
      </c>
      <c r="G58" s="267">
        <f t="shared" si="0"/>
        <v>0.90536114166403348</v>
      </c>
      <c r="H58" s="223">
        <f t="shared" si="2"/>
        <v>7270382.0616398752</v>
      </c>
      <c r="I58" s="267">
        <f t="shared" si="3"/>
        <v>21.532019864342416</v>
      </c>
      <c r="J58" s="224">
        <v>40132842.900000006</v>
      </c>
      <c r="K58" s="293">
        <f t="shared" si="4"/>
        <v>1.1071129075862072</v>
      </c>
      <c r="L58" s="223">
        <f t="shared" si="5"/>
        <v>902982.93999999762</v>
      </c>
      <c r="M58" s="267">
        <f t="shared" si="6"/>
        <v>2.2499849867351429</v>
      </c>
      <c r="BY58" s="144"/>
      <c r="BZ58" s="144"/>
      <c r="CA58" s="143"/>
      <c r="CB58" s="143"/>
      <c r="CC58" s="143"/>
      <c r="CD58" s="140"/>
    </row>
    <row r="59" spans="1:82" ht="13.5" customHeight="1" thickTop="1">
      <c r="B59" s="80">
        <v>451</v>
      </c>
      <c r="C59" s="93" t="str">
        <f>+'Central Budget'!C58</f>
        <v>Pozajmice i krediti</v>
      </c>
      <c r="D59" s="221">
        <v>673652.63000000012</v>
      </c>
      <c r="E59" s="266">
        <f t="shared" si="1"/>
        <v>1.8062813513875859E-2</v>
      </c>
      <c r="F59" s="221">
        <v>581972.8780779402</v>
      </c>
      <c r="G59" s="266">
        <f t="shared" si="0"/>
        <v>1.560458179589597E-2</v>
      </c>
      <c r="H59" s="222">
        <f t="shared" si="2"/>
        <v>91679.751922059921</v>
      </c>
      <c r="I59" s="275">
        <f t="shared" si="3"/>
        <v>15.753268816383198</v>
      </c>
      <c r="J59" s="221">
        <v>1723394.15</v>
      </c>
      <c r="K59" s="266">
        <f t="shared" si="4"/>
        <v>4.7541907586206897E-2</v>
      </c>
      <c r="L59" s="222">
        <f t="shared" si="5"/>
        <v>-1049741.5199999998</v>
      </c>
      <c r="M59" s="275">
        <f t="shared" si="6"/>
        <v>-60.911284861910424</v>
      </c>
      <c r="BY59" s="144"/>
      <c r="BZ59" s="144"/>
      <c r="CA59" s="143"/>
      <c r="CB59" s="143"/>
      <c r="CC59" s="143"/>
      <c r="CD59" s="140"/>
    </row>
    <row r="60" spans="1:82" ht="13.5" customHeight="1" thickBot="1">
      <c r="B60" s="80">
        <v>47</v>
      </c>
      <c r="C60" s="93" t="str">
        <f>+'Central Budget'!C59</f>
        <v>Rezerve</v>
      </c>
      <c r="D60" s="225">
        <v>1941229.8</v>
      </c>
      <c r="E60" s="268">
        <f t="shared" si="1"/>
        <v>5.2050671671805875E-2</v>
      </c>
      <c r="F60" s="225">
        <v>1866823.5221578623</v>
      </c>
      <c r="G60" s="268">
        <f t="shared" si="0"/>
        <v>5.0055597859173136E-2</v>
      </c>
      <c r="H60" s="226">
        <f t="shared" si="2"/>
        <v>74406.27784213773</v>
      </c>
      <c r="I60" s="276">
        <f t="shared" si="3"/>
        <v>3.985715680083743</v>
      </c>
      <c r="J60" s="225">
        <v>1883983.68</v>
      </c>
      <c r="K60" s="268">
        <f t="shared" si="4"/>
        <v>5.1971963586206892E-2</v>
      </c>
      <c r="L60" s="226">
        <f t="shared" si="5"/>
        <v>57246.120000000112</v>
      </c>
      <c r="M60" s="276">
        <f t="shared" si="6"/>
        <v>3.038567722624876</v>
      </c>
      <c r="BY60" s="144"/>
      <c r="BZ60" s="144"/>
      <c r="CA60" s="143"/>
      <c r="CB60" s="143"/>
      <c r="CC60" s="143"/>
      <c r="CD60" s="140"/>
    </row>
    <row r="61" spans="1:82" ht="13.5" customHeight="1" thickTop="1" thickBot="1">
      <c r="B61" s="80">
        <v>462</v>
      </c>
      <c r="C61" s="195" t="s">
        <v>112</v>
      </c>
      <c r="D61" s="227">
        <v>0</v>
      </c>
      <c r="E61" s="269">
        <f t="shared" si="1"/>
        <v>0</v>
      </c>
      <c r="F61" s="227">
        <v>0</v>
      </c>
      <c r="G61" s="269">
        <f t="shared" si="0"/>
        <v>0</v>
      </c>
      <c r="H61" s="228">
        <f t="shared" si="2"/>
        <v>0</v>
      </c>
      <c r="I61" s="276" t="e">
        <f t="shared" si="3"/>
        <v>#DIV/0!</v>
      </c>
      <c r="J61" s="227">
        <v>0</v>
      </c>
      <c r="K61" s="269">
        <f t="shared" si="4"/>
        <v>0</v>
      </c>
      <c r="L61" s="228">
        <f t="shared" si="5"/>
        <v>0</v>
      </c>
      <c r="M61" s="277" t="e">
        <f t="shared" si="6"/>
        <v>#DIV/0!</v>
      </c>
      <c r="BY61" s="144"/>
      <c r="BZ61" s="144"/>
      <c r="CA61" s="143"/>
      <c r="CB61" s="143"/>
      <c r="CC61" s="143"/>
      <c r="CD61" s="140"/>
    </row>
    <row r="62" spans="1:82" ht="13.5" customHeight="1" thickTop="1" thickBot="1">
      <c r="B62" s="80" t="s">
        <v>451</v>
      </c>
      <c r="C62" s="195" t="s">
        <v>449</v>
      </c>
      <c r="D62" s="221">
        <v>39369781.339999996</v>
      </c>
      <c r="E62" s="266">
        <v>0.35700057584158418</v>
      </c>
      <c r="F62" s="221">
        <v>0</v>
      </c>
      <c r="G62" s="266">
        <v>0.29042904290429045</v>
      </c>
      <c r="H62" s="222">
        <v>2521396.8100000005</v>
      </c>
      <c r="I62" s="275">
        <v>22.921789181818198</v>
      </c>
      <c r="J62" s="221">
        <v>47118710.25</v>
      </c>
      <c r="K62" s="266">
        <v>0.30767367454798328</v>
      </c>
      <c r="L62" s="222">
        <v>2460528.2100000009</v>
      </c>
      <c r="M62" s="275">
        <v>22.245343462447437</v>
      </c>
      <c r="BY62" s="144"/>
      <c r="BZ62" s="144"/>
      <c r="CA62" s="143"/>
      <c r="CB62" s="143"/>
      <c r="CC62" s="143"/>
      <c r="CD62" s="140"/>
    </row>
    <row r="63" spans="1:82" ht="13.5" customHeight="1" thickTop="1" thickBot="1">
      <c r="B63" s="80">
        <v>990</v>
      </c>
      <c r="C63" s="196" t="s">
        <v>151</v>
      </c>
      <c r="D63" s="229">
        <v>0</v>
      </c>
      <c r="E63" s="270">
        <f t="shared" si="1"/>
        <v>0</v>
      </c>
      <c r="F63" s="229">
        <v>0</v>
      </c>
      <c r="G63" s="270">
        <f t="shared" si="0"/>
        <v>0</v>
      </c>
      <c r="H63" s="230">
        <f t="shared" si="2"/>
        <v>0</v>
      </c>
      <c r="I63" s="278"/>
      <c r="J63" s="230">
        <v>-22526157.100000009</v>
      </c>
      <c r="K63" s="270">
        <f t="shared" si="4"/>
        <v>-0.62141123034482781</v>
      </c>
      <c r="L63" s="230">
        <f t="shared" si="5"/>
        <v>22526157.100000009</v>
      </c>
      <c r="M63" s="278"/>
      <c r="BY63" s="144"/>
      <c r="BZ63" s="144"/>
      <c r="CA63" s="143"/>
      <c r="CB63" s="143"/>
      <c r="CC63" s="143"/>
      <c r="CD63" s="140"/>
    </row>
    <row r="64" spans="1:82" ht="13.5" customHeight="1" thickTop="1" thickBot="1">
      <c r="C64" s="151" t="str">
        <f>+'Central Budget'!C63</f>
        <v>Suficit / deficit</v>
      </c>
      <c r="D64" s="223">
        <f>+D16-D40</f>
        <v>-7249308.5100000203</v>
      </c>
      <c r="E64" s="267">
        <f t="shared" si="1"/>
        <v>-0.19437749054833142</v>
      </c>
      <c r="F64" s="223">
        <f>+F16-F40</f>
        <v>33092321.986577332</v>
      </c>
      <c r="G64" s="267">
        <f t="shared" si="0"/>
        <v>0.88731256164572536</v>
      </c>
      <c r="H64" s="223">
        <f>+D64-F64</f>
        <v>-40341630.496577352</v>
      </c>
      <c r="I64" s="267">
        <f t="shared" si="3"/>
        <v>-121.90631564911169</v>
      </c>
      <c r="J64" s="223">
        <f>+J16-J40</f>
        <v>-11488617.475000024</v>
      </c>
      <c r="K64" s="293">
        <f t="shared" si="4"/>
        <v>-0.31692737862069031</v>
      </c>
      <c r="L64" s="223">
        <f t="shared" si="5"/>
        <v>4239308.9650000036</v>
      </c>
      <c r="M64" s="267">
        <f t="shared" si="6"/>
        <v>-36.900079354413307</v>
      </c>
      <c r="BY64" s="144"/>
      <c r="BZ64" s="144"/>
      <c r="CA64" s="143"/>
      <c r="CB64" s="143"/>
      <c r="CC64" s="143"/>
      <c r="CD64" s="140"/>
    </row>
    <row r="65" spans="2:82" ht="13.5" customHeight="1" thickTop="1" thickBot="1">
      <c r="C65" s="320" t="s">
        <v>475</v>
      </c>
      <c r="D65" s="223"/>
      <c r="E65" s="267"/>
      <c r="F65" s="223"/>
      <c r="G65" s="267"/>
      <c r="H65" s="223"/>
      <c r="I65" s="267"/>
      <c r="J65" s="223">
        <f>J64-J63</f>
        <v>11037539.624999985</v>
      </c>
      <c r="K65" s="293">
        <f t="shared" si="4"/>
        <v>0.30448385172413756</v>
      </c>
      <c r="L65" s="223"/>
      <c r="M65" s="267"/>
      <c r="BY65" s="144"/>
      <c r="BZ65" s="144"/>
      <c r="CA65" s="143"/>
      <c r="CB65" s="143"/>
      <c r="CC65" s="143"/>
      <c r="CD65" s="140"/>
    </row>
    <row r="66" spans="2:82" ht="13.5" customHeight="1" thickTop="1" thickBot="1">
      <c r="C66" s="151" t="str">
        <f>+'Central Budget'!C65</f>
        <v>Primarni bilans</v>
      </c>
      <c r="D66" s="223">
        <f>+D64+D48</f>
        <v>-3149381.4300000207</v>
      </c>
      <c r="E66" s="267">
        <f t="shared" si="1"/>
        <v>-8.4445138222282362E-2</v>
      </c>
      <c r="F66" s="223">
        <f>+F64+F48</f>
        <v>37881021.264734879</v>
      </c>
      <c r="G66" s="267">
        <f t="shared" si="0"/>
        <v>1.0157131321821928</v>
      </c>
      <c r="H66" s="223">
        <f t="shared" si="2"/>
        <v>-41030402.694734901</v>
      </c>
      <c r="I66" s="267">
        <f t="shared" si="3"/>
        <v>-108.31387677747728</v>
      </c>
      <c r="J66" s="223">
        <f>+J65-J48</f>
        <v>6594717.3249999862</v>
      </c>
      <c r="K66" s="293">
        <f t="shared" si="4"/>
        <v>0.18192323655172377</v>
      </c>
      <c r="L66" s="223">
        <f t="shared" si="5"/>
        <v>-9744098.7550000064</v>
      </c>
      <c r="M66" s="267">
        <f t="shared" si="6"/>
        <v>-147.75612471001594</v>
      </c>
      <c r="BY66" s="144"/>
      <c r="BZ66" s="144"/>
      <c r="CA66" s="143"/>
      <c r="CB66" s="143"/>
      <c r="CC66" s="143"/>
      <c r="CD66" s="140"/>
    </row>
    <row r="67" spans="2:82" ht="13.5" customHeight="1" thickTop="1" thickBot="1">
      <c r="C67" s="151" t="str">
        <f>+'Central Budget'!C66</f>
        <v>Otplata dugova</v>
      </c>
      <c r="D67" s="223">
        <f>+SUM(D68:D69)</f>
        <v>17297596.619999997</v>
      </c>
      <c r="E67" s="267">
        <f t="shared" si="1"/>
        <v>0.46380470894221737</v>
      </c>
      <c r="F67" s="223">
        <f>+SUM(F68:F70)</f>
        <v>69717250.31642893</v>
      </c>
      <c r="G67" s="267">
        <f t="shared" si="0"/>
        <v>1.8693457652883476</v>
      </c>
      <c r="H67" s="223">
        <f t="shared" si="2"/>
        <v>-52419653.696428932</v>
      </c>
      <c r="I67" s="267">
        <f t="shared" si="3"/>
        <v>-75.188928792385539</v>
      </c>
      <c r="J67" s="223">
        <f>+SUM(J68:J69)</f>
        <v>26924043.32</v>
      </c>
      <c r="K67" s="293">
        <f t="shared" si="4"/>
        <v>0.74273222951724138</v>
      </c>
      <c r="L67" s="223">
        <f t="shared" si="5"/>
        <v>-9626446.700000003</v>
      </c>
      <c r="M67" s="267">
        <f t="shared" si="6"/>
        <v>-35.754090073273588</v>
      </c>
      <c r="BY67" s="144"/>
      <c r="BZ67" s="144"/>
      <c r="CA67" s="143"/>
      <c r="CB67" s="143"/>
      <c r="CC67" s="143"/>
      <c r="CD67" s="140"/>
    </row>
    <row r="68" spans="2:82" ht="13.5" customHeight="1" thickTop="1">
      <c r="B68" s="80">
        <v>4611</v>
      </c>
      <c r="C68" s="97" t="str">
        <f>+'Central Budget'!C67</f>
        <v>Otplata hartija od vrijednosti i kredita rezidentima</v>
      </c>
      <c r="D68" s="231">
        <v>15077864.909999998</v>
      </c>
      <c r="E68" s="271">
        <f t="shared" si="1"/>
        <v>0.40428649711757608</v>
      </c>
      <c r="F68" s="316">
        <v>20984347.527376998</v>
      </c>
      <c r="G68" s="271">
        <f t="shared" si="0"/>
        <v>0.56265846701640965</v>
      </c>
      <c r="H68" s="232">
        <f t="shared" si="2"/>
        <v>-5906482.6173769999</v>
      </c>
      <c r="I68" s="279">
        <f t="shared" si="3"/>
        <v>-28.147087297668762</v>
      </c>
      <c r="J68" s="231">
        <v>24886206.350000001</v>
      </c>
      <c r="K68" s="271">
        <f t="shared" si="4"/>
        <v>0.68651603724137933</v>
      </c>
      <c r="L68" s="232">
        <f t="shared" si="5"/>
        <v>-9808341.4400000032</v>
      </c>
      <c r="M68" s="279">
        <f t="shared" si="6"/>
        <v>-39.412762644717048</v>
      </c>
      <c r="BY68" s="144"/>
      <c r="BZ68" s="144"/>
      <c r="CA68" s="143"/>
      <c r="CB68" s="143"/>
      <c r="CC68" s="143"/>
      <c r="CD68" s="140"/>
    </row>
    <row r="69" spans="2:82" ht="12" customHeight="1">
      <c r="B69" s="80">
        <v>4612</v>
      </c>
      <c r="C69" s="97" t="str">
        <f>+'Central Budget'!C68</f>
        <v>Otplata hartija od vrijednosti i kredita nerezidentima</v>
      </c>
      <c r="D69" s="233">
        <v>2219731.71</v>
      </c>
      <c r="E69" s="264">
        <f t="shared" si="1"/>
        <v>5.951821182464137E-2</v>
      </c>
      <c r="F69" s="215">
        <v>2071670.5369437453</v>
      </c>
      <c r="G69" s="264">
        <f t="shared" si="0"/>
        <v>5.5548211206428347E-2</v>
      </c>
      <c r="H69" s="216">
        <f t="shared" si="2"/>
        <v>148061.17305625463</v>
      </c>
      <c r="I69" s="273">
        <f t="shared" si="3"/>
        <v>7.1469459267728723</v>
      </c>
      <c r="J69" s="233">
        <v>2037836.9700000002</v>
      </c>
      <c r="K69" s="264">
        <f t="shared" si="4"/>
        <v>5.6216192275862074E-2</v>
      </c>
      <c r="L69" s="216">
        <f t="shared" si="5"/>
        <v>181894.73999999976</v>
      </c>
      <c r="M69" s="273">
        <f t="shared" si="6"/>
        <v>8.9258730054347666</v>
      </c>
      <c r="BY69" s="144"/>
      <c r="BZ69" s="144"/>
      <c r="CA69" s="143"/>
      <c r="CB69" s="143"/>
      <c r="CC69" s="143"/>
      <c r="CD69" s="140"/>
    </row>
    <row r="70" spans="2:82" ht="13.5" customHeight="1" thickBot="1">
      <c r="B70" s="80" t="s">
        <v>451</v>
      </c>
      <c r="C70" s="97" t="str">
        <f>+'Central Budget'!C61</f>
        <v>Otplata obaveza iz prethodnih godina</v>
      </c>
      <c r="D70" s="233">
        <v>0</v>
      </c>
      <c r="E70" s="264">
        <f t="shared" si="1"/>
        <v>0</v>
      </c>
      <c r="F70" s="302">
        <v>46661232.252108186</v>
      </c>
      <c r="G70" s="264">
        <f t="shared" si="0"/>
        <v>1.2511390870655097</v>
      </c>
      <c r="H70" s="216">
        <f t="shared" si="2"/>
        <v>-46661232.252108186</v>
      </c>
      <c r="I70" s="273">
        <f t="shared" si="3"/>
        <v>-100</v>
      </c>
      <c r="J70" s="233">
        <v>0</v>
      </c>
      <c r="K70" s="264">
        <f t="shared" si="4"/>
        <v>0</v>
      </c>
      <c r="L70" s="216">
        <f t="shared" si="5"/>
        <v>0</v>
      </c>
      <c r="M70" s="273" t="e">
        <f t="shared" si="6"/>
        <v>#DIV/0!</v>
      </c>
      <c r="BY70" s="144"/>
      <c r="BZ70" s="144"/>
      <c r="CA70" s="143"/>
      <c r="CB70" s="143"/>
      <c r="CC70" s="143"/>
      <c r="CD70" s="140"/>
    </row>
    <row r="71" spans="2:82" ht="13.5" customHeight="1" thickTop="1" thickBot="1">
      <c r="C71" s="151" t="str">
        <f>+'Central Budget'!C70</f>
        <v>Nedostajuća sredstva</v>
      </c>
      <c r="D71" s="223">
        <f>+D64-D67</f>
        <v>-24546905.130000018</v>
      </c>
      <c r="E71" s="267">
        <f t="shared" si="1"/>
        <v>-0.65818219949054879</v>
      </c>
      <c r="F71" s="223">
        <f>+F64-F67</f>
        <v>-36624928.329851598</v>
      </c>
      <c r="G71" s="267">
        <f t="shared" si="0"/>
        <v>-0.98203320364262225</v>
      </c>
      <c r="H71" s="223">
        <f t="shared" si="2"/>
        <v>12078023.19985158</v>
      </c>
      <c r="I71" s="267">
        <f t="shared" si="3"/>
        <v>-32.977602279721708</v>
      </c>
      <c r="J71" s="223">
        <f>+J65-J67+J76</f>
        <v>-27670275.149999972</v>
      </c>
      <c r="K71" s="293">
        <f t="shared" si="4"/>
        <v>-0.76331793517241298</v>
      </c>
      <c r="L71" s="223">
        <f t="shared" si="5"/>
        <v>3123370.0199999548</v>
      </c>
      <c r="M71" s="267">
        <f t="shared" si="6"/>
        <v>-11.287816991584762</v>
      </c>
      <c r="BY71" s="144"/>
      <c r="BZ71" s="144"/>
      <c r="CA71" s="143"/>
      <c r="CB71" s="143"/>
      <c r="CC71" s="143"/>
      <c r="CD71" s="140"/>
    </row>
    <row r="72" spans="2:82" ht="13.5" customHeight="1" thickTop="1" thickBot="1">
      <c r="C72" s="151" t="str">
        <f>+'Central Budget'!C71</f>
        <v>Finansiranje</v>
      </c>
      <c r="D72" s="223">
        <f>+SUM(D73:D76)-D77</f>
        <v>24546905.130000021</v>
      </c>
      <c r="E72" s="267">
        <f t="shared" si="1"/>
        <v>0.6581821994905489</v>
      </c>
      <c r="F72" s="223">
        <f>SUM(F73:F76)+F77</f>
        <v>36624928.329851598</v>
      </c>
      <c r="G72" s="267">
        <f t="shared" si="0"/>
        <v>0.98203320364262225</v>
      </c>
      <c r="H72" s="223">
        <f t="shared" si="2"/>
        <v>-12078023.199851576</v>
      </c>
      <c r="I72" s="267">
        <f t="shared" si="3"/>
        <v>-32.977602279721694</v>
      </c>
      <c r="J72" s="223">
        <f>+SUM(J73:J75)+J77+J63</f>
        <v>27670976.159999989</v>
      </c>
      <c r="K72" s="293">
        <f t="shared" si="4"/>
        <v>0.76333727337931001</v>
      </c>
      <c r="L72" s="223">
        <f t="shared" si="5"/>
        <v>-3124071.0299999677</v>
      </c>
      <c r="M72" s="267">
        <f t="shared" si="6"/>
        <v>-11.290064405158191</v>
      </c>
      <c r="BY72" s="144"/>
      <c r="BZ72" s="144"/>
      <c r="CA72" s="143"/>
      <c r="CB72" s="143"/>
      <c r="CC72" s="143"/>
      <c r="CD72" s="140"/>
    </row>
    <row r="73" spans="2:82" ht="13.5" customHeight="1" thickTop="1">
      <c r="B73" s="80">
        <v>7511</v>
      </c>
      <c r="C73" s="97" t="str">
        <f>+'Central Budget'!C72</f>
        <v>Pozajmice i krediti od domaćih izvora</v>
      </c>
      <c r="D73" s="231">
        <v>11428013.42</v>
      </c>
      <c r="E73" s="271">
        <f t="shared" si="1"/>
        <v>0.30642213218930153</v>
      </c>
      <c r="F73" s="316">
        <v>12393177.411806</v>
      </c>
      <c r="G73" s="271">
        <f t="shared" si="0"/>
        <v>0.33230131148427405</v>
      </c>
      <c r="H73" s="232">
        <f t="shared" si="2"/>
        <v>-965163.99180600047</v>
      </c>
      <c r="I73" s="279">
        <f t="shared" si="3"/>
        <v>-7.7878655306472524</v>
      </c>
      <c r="J73" s="231">
        <v>43804891.43</v>
      </c>
      <c r="K73" s="271">
        <f t="shared" si="4"/>
        <v>1.2084107980689656</v>
      </c>
      <c r="L73" s="232">
        <f t="shared" si="5"/>
        <v>-32376878.009999998</v>
      </c>
      <c r="M73" s="279">
        <f t="shared" si="6"/>
        <v>-73.911558625223606</v>
      </c>
      <c r="BY73" s="144"/>
      <c r="BZ73" s="144"/>
      <c r="CA73" s="143"/>
      <c r="CB73" s="143"/>
      <c r="CC73" s="143"/>
      <c r="CD73" s="140"/>
    </row>
    <row r="74" spans="2:82" ht="13.5" customHeight="1">
      <c r="B74" s="80">
        <v>7512</v>
      </c>
      <c r="C74" s="97" t="str">
        <f>+'Central Budget'!C73</f>
        <v>Pozajmice i krediti od inostranih izvora</v>
      </c>
      <c r="D74" s="233">
        <v>200100</v>
      </c>
      <c r="E74" s="264">
        <f t="shared" si="1"/>
        <v>5.3653304732537875E-3</v>
      </c>
      <c r="F74" s="215">
        <v>2000000</v>
      </c>
      <c r="G74" s="264">
        <f t="shared" si="0"/>
        <v>5.3626491486794478E-2</v>
      </c>
      <c r="H74" s="216">
        <f t="shared" si="2"/>
        <v>-1799900</v>
      </c>
      <c r="I74" s="273">
        <f t="shared" si="3"/>
        <v>-89.995000000000005</v>
      </c>
      <c r="J74" s="233">
        <v>3170050.35</v>
      </c>
      <c r="K74" s="264">
        <f t="shared" si="4"/>
        <v>8.7449664827586218E-2</v>
      </c>
      <c r="L74" s="216">
        <f t="shared" si="5"/>
        <v>-2969950.35</v>
      </c>
      <c r="M74" s="295">
        <f t="shared" si="6"/>
        <v>-93.687797419369062</v>
      </c>
      <c r="BY74" s="144"/>
      <c r="BZ74" s="144"/>
      <c r="CA74" s="143"/>
      <c r="CB74" s="143"/>
      <c r="CC74" s="143"/>
      <c r="CD74" s="140"/>
    </row>
    <row r="75" spans="2:82" ht="13.5" customHeight="1" thickBot="1">
      <c r="B75" s="80">
        <v>72</v>
      </c>
      <c r="C75" s="103" t="str">
        <f>+'Central Budget'!C74</f>
        <v>Primici od prodaje imovine</v>
      </c>
      <c r="D75" s="233">
        <v>6912274.6999999993</v>
      </c>
      <c r="E75" s="264">
        <f t="shared" si="1"/>
        <v>0.18534052017696739</v>
      </c>
      <c r="F75" s="215">
        <v>4266481.2163877673</v>
      </c>
      <c r="G75" s="264">
        <f t="shared" si="0"/>
        <v>0.11439820931459359</v>
      </c>
      <c r="H75" s="216">
        <f t="shared" si="2"/>
        <v>2645793.4836122319</v>
      </c>
      <c r="I75" s="273">
        <f t="shared" si="3"/>
        <v>62.013480182441839</v>
      </c>
      <c r="J75" s="233">
        <v>1832083.79</v>
      </c>
      <c r="K75" s="264">
        <f t="shared" si="4"/>
        <v>5.0540242482758624E-2</v>
      </c>
      <c r="L75" s="216">
        <f t="shared" si="5"/>
        <v>5080190.9099999992</v>
      </c>
      <c r="M75" s="273">
        <f t="shared" si="6"/>
        <v>277.29031487146119</v>
      </c>
      <c r="BY75" s="144"/>
      <c r="BZ75" s="144"/>
      <c r="CA75" s="143"/>
      <c r="CB75" s="143"/>
      <c r="CC75" s="143"/>
      <c r="CD75" s="140"/>
    </row>
    <row r="76" spans="2:82" ht="13.5" customHeight="1" thickTop="1" thickBot="1">
      <c r="C76" s="146" t="str">
        <f>+'Central Budget'!C75</f>
        <v>Povećanje / smanjenje depozita</v>
      </c>
      <c r="D76" s="147">
        <f>-D71-SUM(D73:D75)+D77</f>
        <v>7754283.8200000208</v>
      </c>
      <c r="E76" s="246">
        <f t="shared" si="1"/>
        <v>0.20791751762970961</v>
      </c>
      <c r="F76" s="147">
        <f>-F71-SUM(F73:F75)-F77</f>
        <v>15217270.767753405</v>
      </c>
      <c r="G76" s="246">
        <f t="shared" si="0"/>
        <v>0.40802442063958722</v>
      </c>
      <c r="H76" s="203">
        <f t="shared" si="2"/>
        <v>-7462986.9477533847</v>
      </c>
      <c r="I76" s="261">
        <f t="shared" si="3"/>
        <v>-49.042874124104053</v>
      </c>
      <c r="J76" s="161">
        <v>-11783771.454999957</v>
      </c>
      <c r="K76" s="294">
        <f t="shared" si="4"/>
        <v>-0.32506955737930915</v>
      </c>
      <c r="L76" s="203">
        <f t="shared" si="5"/>
        <v>19538055.274999976</v>
      </c>
      <c r="M76" s="261">
        <f t="shared" si="6"/>
        <v>-165.8047709904439</v>
      </c>
      <c r="BY76" s="144"/>
      <c r="BZ76" s="144"/>
      <c r="CA76" s="143"/>
      <c r="CB76" s="143"/>
      <c r="CC76" s="143"/>
      <c r="CD76" s="140"/>
    </row>
    <row r="77" spans="2:82" ht="13.5" customHeight="1" thickTop="1" thickBot="1">
      <c r="B77" s="80">
        <v>999</v>
      </c>
      <c r="C77" s="151" t="s">
        <v>459</v>
      </c>
      <c r="D77" s="224">
        <v>1747766.81</v>
      </c>
      <c r="E77" s="267">
        <f t="shared" si="1"/>
        <v>4.6863300978683471E-2</v>
      </c>
      <c r="F77" s="212">
        <v>2747998.9339044262</v>
      </c>
      <c r="G77" s="267">
        <f>+F77/$D$11*100</f>
        <v>7.3682770717373003E-2</v>
      </c>
      <c r="H77" s="223">
        <f t="shared" si="2"/>
        <v>-1000232.1239044261</v>
      </c>
      <c r="I77" s="267">
        <f t="shared" si="3"/>
        <v>-36.398563025760389</v>
      </c>
      <c r="J77" s="318">
        <v>1390107.69</v>
      </c>
      <c r="K77" s="293">
        <f t="shared" si="4"/>
        <v>3.8347798344827586E-2</v>
      </c>
      <c r="L77" s="223">
        <f t="shared" si="5"/>
        <v>357659.12000000011</v>
      </c>
      <c r="M77" s="267">
        <f t="shared" si="6"/>
        <v>25.728878602203849</v>
      </c>
      <c r="N77" s="207"/>
      <c r="BY77" s="144"/>
      <c r="BZ77" s="144"/>
      <c r="CA77" s="143"/>
      <c r="CB77" s="143"/>
      <c r="CC77" s="143"/>
      <c r="CD77" s="140"/>
    </row>
    <row r="78" spans="2:82" ht="13.5" thickTop="1">
      <c r="C78" s="106" t="str">
        <f>IF(MasterSheet!$A$1=1,MasterSheet!C151,MasterSheet!B151)</f>
        <v>Izvor: Ministarstvo finansija Crne Gore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O78" s="81"/>
    </row>
    <row r="79" spans="2:82" ht="15">
      <c r="C79" s="105"/>
      <c r="D79" s="105"/>
      <c r="E79" s="105"/>
      <c r="F79" s="107"/>
      <c r="G79" s="105"/>
      <c r="H79" s="105"/>
      <c r="I79" s="105"/>
      <c r="J79" s="105"/>
      <c r="K79" s="303"/>
      <c r="L79" s="105"/>
      <c r="M79" s="105"/>
      <c r="O79" s="81"/>
    </row>
    <row r="80" spans="2:82">
      <c r="D80" s="133"/>
      <c r="E80" s="134"/>
      <c r="F80" s="308"/>
      <c r="G80" s="134"/>
      <c r="H80" s="134"/>
      <c r="I80" s="134"/>
      <c r="J80" s="134"/>
      <c r="K80" s="134"/>
      <c r="L80" s="134"/>
      <c r="M80" s="134"/>
    </row>
    <row r="81" spans="3:13">
      <c r="D81" s="133"/>
      <c r="E81" s="134"/>
      <c r="F81" s="134"/>
      <c r="G81" s="134"/>
      <c r="H81" s="134"/>
      <c r="I81" s="134"/>
      <c r="J81" s="134"/>
      <c r="K81" s="134"/>
      <c r="L81" s="134"/>
      <c r="M81" s="134"/>
    </row>
    <row r="82" spans="3:13"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</row>
    <row r="83" spans="3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3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3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3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3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3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3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3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3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3:13">
      <c r="E92" s="134"/>
      <c r="F92" s="134"/>
      <c r="G92" s="134"/>
      <c r="H92" s="134"/>
      <c r="I92" s="134"/>
      <c r="J92" s="134"/>
      <c r="K92" s="134"/>
      <c r="L92" s="134"/>
      <c r="M92" s="134"/>
    </row>
    <row r="93" spans="3:13">
      <c r="E93" s="134"/>
      <c r="F93" s="134"/>
      <c r="G93" s="134"/>
      <c r="H93" s="134"/>
      <c r="I93" s="134"/>
      <c r="J93" s="134"/>
      <c r="K93" s="134"/>
      <c r="L93" s="134"/>
      <c r="M93" s="134"/>
    </row>
    <row r="94" spans="3:13">
      <c r="E94" s="134"/>
      <c r="F94" s="134"/>
      <c r="G94" s="134"/>
      <c r="H94" s="134"/>
      <c r="I94" s="134"/>
      <c r="J94" s="134"/>
      <c r="K94" s="134"/>
      <c r="L94" s="134"/>
      <c r="M94" s="134"/>
    </row>
  </sheetData>
  <sheetProtection formatCells="0" formatColumns="0" formatRows="0" sort="0" autoFilter="0"/>
  <mergeCells count="11">
    <mergeCell ref="L14:M14"/>
    <mergeCell ref="H11:I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M96"/>
  <sheetViews>
    <sheetView topLeftCell="B1" zoomScaleNormal="100" workbookViewId="0">
      <selection activeCell="R20" sqref="R20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4" width="11.5703125" style="80" customWidth="1"/>
    <col min="5" max="5" width="7.7109375" style="80" customWidth="1"/>
    <col min="6" max="6" width="9.5703125" style="80" customWidth="1"/>
    <col min="7" max="9" width="7.7109375" style="80" customWidth="1"/>
    <col min="10" max="10" width="10" style="80" customWidth="1"/>
    <col min="11" max="13" width="7.7109375" style="80" customWidth="1"/>
    <col min="14" max="57" width="9.140625" style="80" customWidth="1"/>
    <col min="58" max="58" width="9.140625" style="80"/>
    <col min="59" max="59" width="15.42578125" style="80" customWidth="1"/>
    <col min="60" max="60" width="12.7109375" style="80" customWidth="1"/>
    <col min="61" max="61" width="11.85546875" style="80" customWidth="1"/>
    <col min="62" max="16384" width="9.140625" style="80"/>
  </cols>
  <sheetData>
    <row r="1" spans="2:57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</row>
    <row r="2" spans="2:57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2:57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</row>
    <row r="4" spans="2:57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</row>
    <row r="5" spans="2:57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</row>
    <row r="6" spans="2:57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</row>
    <row r="7" spans="2:57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2:57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2:57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2:57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2:57" ht="18.75" customHeight="1" thickTop="1" thickBot="1">
      <c r="C11" s="165" t="str">
        <f>IF(MasterSheet!$A$1=1,MasterSheet!B67,MasterSheet!B66)</f>
        <v>BDP (u mil. €)</v>
      </c>
      <c r="D11" s="358">
        <f>+'Central Budget'!D11:K11</f>
        <v>3729500000</v>
      </c>
      <c r="E11" s="359"/>
      <c r="F11" s="359"/>
      <c r="G11" s="360"/>
      <c r="H11" s="351"/>
      <c r="I11" s="352"/>
      <c r="J11" s="328">
        <f>+'Central Budget'!N11</f>
        <v>3625000000</v>
      </c>
      <c r="K11" s="329"/>
      <c r="L11" s="351"/>
      <c r="M11" s="353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</row>
    <row r="12" spans="2:57" ht="19.5" customHeight="1" thickTop="1">
      <c r="C12" s="17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2:57" ht="27" customHeight="1" thickBot="1">
      <c r="B13" s="85"/>
      <c r="C13" s="173"/>
      <c r="D13" s="357"/>
      <c r="E13" s="357"/>
      <c r="F13" s="86"/>
      <c r="G13" s="86"/>
      <c r="H13" s="86"/>
      <c r="I13" s="86"/>
      <c r="J13" s="365"/>
      <c r="K13" s="365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</row>
    <row r="14" spans="2:57" ht="15.75" customHeight="1" thickTop="1">
      <c r="B14" s="87"/>
      <c r="C14" s="361" t="s">
        <v>234</v>
      </c>
      <c r="D14" s="363" t="s">
        <v>465</v>
      </c>
      <c r="E14" s="364"/>
      <c r="F14" s="363" t="s">
        <v>461</v>
      </c>
      <c r="G14" s="364"/>
      <c r="H14" s="363" t="s">
        <v>447</v>
      </c>
      <c r="I14" s="364"/>
      <c r="J14" s="363" t="s">
        <v>466</v>
      </c>
      <c r="K14" s="364"/>
      <c r="L14" s="363" t="str">
        <f>+H14</f>
        <v>Odstupanje</v>
      </c>
      <c r="M14" s="364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</row>
    <row r="15" spans="2:57" ht="15" customHeight="1" thickBot="1">
      <c r="C15" s="362" t="str">
        <f>IF(MasterSheet!$A$1=1,MasterSheet!B71,MasterSheet!B70)</f>
        <v>Budžet Crne Gore</v>
      </c>
      <c r="D15" s="166" t="str">
        <f>IF(MasterSheet!$A$1=1,MasterSheet!C71,MasterSheet!C70)</f>
        <v>mil. €</v>
      </c>
      <c r="E15" s="167" t="str">
        <f>IF(MasterSheet!$A$1=1,MasterSheet!D71,MasterSheet!D70)</f>
        <v>% BDP</v>
      </c>
      <c r="F15" s="168" t="str">
        <f>IF(MasterSheet!$A$1=1,MasterSheet!E71,MasterSheet!E70)</f>
        <v>mil. €</v>
      </c>
      <c r="G15" s="169" t="str">
        <f>IF(MasterSheet!$A$1=1,MasterSheet!F71,MasterSheet!F70)</f>
        <v>% BDP</v>
      </c>
      <c r="H15" s="170" t="str">
        <f>IF(MasterSheet!$A$1=1,MasterSheet!G71,MasterSheet!G70)</f>
        <v>mil. €</v>
      </c>
      <c r="I15" s="169" t="s">
        <v>441</v>
      </c>
      <c r="J15" s="166" t="str">
        <f>IF(MasterSheet!$A$1=1,MasterSheet!I71,MasterSheet!I70)</f>
        <v>mil. €</v>
      </c>
      <c r="K15" s="168" t="str">
        <f>IF(MasterSheet!$A$1=1,MasterSheet!J71,MasterSheet!J70)</f>
        <v>% BDP</v>
      </c>
      <c r="L15" s="166" t="str">
        <f>IF(MasterSheet!$A$1=1,MasterSheet!K71,MasterSheet!K70)</f>
        <v>mil. €</v>
      </c>
      <c r="M15" s="16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</row>
    <row r="16" spans="2:57" ht="15" customHeight="1" thickTop="1" thickBot="1">
      <c r="C16" s="176" t="str">
        <f>IF(MasterSheet!$A$1=1,MasterSheet!C72,MasterSheet!B72)</f>
        <v>Izvorni prihodi</v>
      </c>
      <c r="D16" s="174">
        <f>D17+D26+D31+D32+D33+D34+D35</f>
        <v>1683637212.3700001</v>
      </c>
      <c r="E16" s="280">
        <f t="shared" ref="E16:E77" si="0">D16/D$11*100</f>
        <v>45.143778318005097</v>
      </c>
      <c r="F16" s="174">
        <f>F17+F26+F31+F32+F33+F34+F35</f>
        <v>1683656776.470691</v>
      </c>
      <c r="G16" s="280">
        <f>F16/D$11*100</f>
        <v>45.144302895044667</v>
      </c>
      <c r="H16" s="174">
        <f>+D16-F16</f>
        <v>-19564.100690841675</v>
      </c>
      <c r="I16" s="280">
        <f>+D16/F16*100-100</f>
        <v>-1.1620005314796344E-3</v>
      </c>
      <c r="J16" s="174">
        <f>J17+J26+J31+J32+J33+J34+J35</f>
        <v>1525815087.908</v>
      </c>
      <c r="K16" s="280">
        <f t="shared" ref="K16:K77" si="1">J16/J$11*100</f>
        <v>42.091450700910343</v>
      </c>
      <c r="L16" s="174">
        <f>+D16-J16</f>
        <v>157822124.46200013</v>
      </c>
      <c r="M16" s="280">
        <f>+D16/J16*100-100</f>
        <v>10.343463353635158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</row>
    <row r="17" spans="2:62" ht="15" customHeight="1" thickTop="1">
      <c r="B17" s="80">
        <v>711</v>
      </c>
      <c r="C17" s="93" t="str">
        <f>IF(MasterSheet!$A$1=1,MasterSheet!C73,MasterSheet!B73)</f>
        <v>Porezi</v>
      </c>
      <c r="D17" s="152">
        <f>SUM(D18:D25)</f>
        <v>1012752250.3000001</v>
      </c>
      <c r="E17" s="281">
        <f t="shared" si="0"/>
        <v>27.155174964472451</v>
      </c>
      <c r="F17" s="152">
        <f>SUM(F18:F25)</f>
        <v>999701770.47309268</v>
      </c>
      <c r="G17" s="281">
        <f t="shared" ref="G17:G77" si="2">F17/D$11*100</f>
        <v>26.805249241804336</v>
      </c>
      <c r="H17" s="204">
        <f t="shared" ref="H17:H77" si="3">+D17-F17</f>
        <v>13050479.826907396</v>
      </c>
      <c r="I17" s="287">
        <f t="shared" ref="I17:I77" si="4">+D17/F17*100-100</f>
        <v>1.3054373026399162</v>
      </c>
      <c r="J17" s="152">
        <f>SUM(J18:J25)</f>
        <v>925573053.77799988</v>
      </c>
      <c r="K17" s="281">
        <f t="shared" si="1"/>
        <v>25.533049759393101</v>
      </c>
      <c r="L17" s="204">
        <f t="shared" ref="L17:L77" si="5">+D17-J17</f>
        <v>87179196.522000194</v>
      </c>
      <c r="M17" s="289">
        <f t="shared" ref="M17:M77" si="6">+D17/J17*100-100</f>
        <v>9.4189428015598082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</row>
    <row r="18" spans="2:62" ht="15" customHeight="1">
      <c r="B18" s="80">
        <v>7111</v>
      </c>
      <c r="C18" s="97" t="str">
        <f>IF(MasterSheet!$A$1=1,MasterSheet!C74,MasterSheet!B74)</f>
        <v>Porez na dohodak fizičkih lica</v>
      </c>
      <c r="D18" s="154">
        <f>+'Central Budget'!D18+'Local Government'!D18</f>
        <v>160048107.97000003</v>
      </c>
      <c r="E18" s="282">
        <f t="shared" si="0"/>
        <v>4.2914092497653851</v>
      </c>
      <c r="F18" s="154">
        <f>+'Central Budget'!F18+'Local Government'!F18</f>
        <v>153899115.78192067</v>
      </c>
      <c r="G18" s="282">
        <f t="shared" si="2"/>
        <v>4.1265348111521831</v>
      </c>
      <c r="H18" s="205">
        <f t="shared" si="3"/>
        <v>6148992.1880793571</v>
      </c>
      <c r="I18" s="288">
        <f t="shared" si="4"/>
        <v>3.9954694715677448</v>
      </c>
      <c r="J18" s="154">
        <f>'Central Budget'!N18+'Local Government'!J18</f>
        <v>135727918.74999997</v>
      </c>
      <c r="K18" s="282">
        <f t="shared" si="1"/>
        <v>3.7442184482758614</v>
      </c>
      <c r="L18" s="205">
        <f t="shared" si="5"/>
        <v>24320189.220000058</v>
      </c>
      <c r="M18" s="288">
        <f t="shared" si="6"/>
        <v>17.918339457334426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</row>
    <row r="19" spans="2:62" ht="15" customHeight="1">
      <c r="B19" s="80">
        <v>7112</v>
      </c>
      <c r="C19" s="97" t="str">
        <f>IF(MasterSheet!$A$1=1,MasterSheet!C75,MasterSheet!B75)</f>
        <v>Porez na dobit pravnih lica</v>
      </c>
      <c r="D19" s="154">
        <f>+'Central Budget'!D19</f>
        <v>45254590.029999994</v>
      </c>
      <c r="E19" s="282">
        <f t="shared" si="0"/>
        <v>1.2134224434910845</v>
      </c>
      <c r="F19" s="154">
        <f>+'Central Budget'!F19</f>
        <v>45542233.551658332</v>
      </c>
      <c r="G19" s="282">
        <f t="shared" si="2"/>
        <v>1.2211350999238055</v>
      </c>
      <c r="H19" s="205">
        <f t="shared" si="3"/>
        <v>-287643.52165833861</v>
      </c>
      <c r="I19" s="288">
        <f t="shared" si="4"/>
        <v>-0.63159730919227286</v>
      </c>
      <c r="J19" s="154">
        <f>'Central Budget'!N19</f>
        <v>42151728.179999992</v>
      </c>
      <c r="K19" s="282">
        <f t="shared" si="1"/>
        <v>1.1628062946206894</v>
      </c>
      <c r="L19" s="205">
        <f t="shared" si="5"/>
        <v>3102861.8500000015</v>
      </c>
      <c r="M19" s="288">
        <f t="shared" si="6"/>
        <v>7.3611735128626066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G19" s="81"/>
    </row>
    <row r="20" spans="2:62" ht="15" customHeight="1">
      <c r="B20" s="80">
        <v>7113</v>
      </c>
      <c r="C20" s="97" t="str">
        <f>IF(MasterSheet!$A$1=1,MasterSheet!C76,MasterSheet!B76)</f>
        <v>Porez na promet nepokretnosti</v>
      </c>
      <c r="D20" s="154">
        <f>+'Central Budget'!D20+'Local Government'!D19</f>
        <v>13227449.570000002</v>
      </c>
      <c r="E20" s="282">
        <f t="shared" si="0"/>
        <v>0.3546708558788042</v>
      </c>
      <c r="F20" s="154">
        <f>+'Central Budget'!F20+'Local Government'!F19</f>
        <v>13469197.56905468</v>
      </c>
      <c r="G20" s="282">
        <f t="shared" si="2"/>
        <v>0.36115290438543179</v>
      </c>
      <c r="H20" s="205">
        <f t="shared" si="3"/>
        <v>-241747.99905467778</v>
      </c>
      <c r="I20" s="288">
        <f t="shared" si="4"/>
        <v>-1.794821093203737</v>
      </c>
      <c r="J20" s="154">
        <f>'Central Budget'!N20+'Local Government'!J19</f>
        <v>14563053.488000002</v>
      </c>
      <c r="K20" s="282">
        <f t="shared" si="1"/>
        <v>0.40173940656551727</v>
      </c>
      <c r="L20" s="205">
        <f t="shared" si="5"/>
        <v>-1335603.9179999996</v>
      </c>
      <c r="M20" s="288">
        <f t="shared" si="6"/>
        <v>-9.1711804746205274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</row>
    <row r="21" spans="2:62" ht="15" customHeight="1">
      <c r="B21" s="80">
        <v>7114</v>
      </c>
      <c r="C21" s="97" t="str">
        <f>IF(MasterSheet!$A$1=1,MasterSheet!C77,MasterSheet!B77)</f>
        <v>Porez na dodatu vrijednost</v>
      </c>
      <c r="D21" s="154">
        <f>+'Central Budget'!D21</f>
        <v>500656533.33000004</v>
      </c>
      <c r="E21" s="282">
        <f t="shared" si="0"/>
        <v>13.424226661214641</v>
      </c>
      <c r="F21" s="154">
        <f>+'Central Budget'!F21</f>
        <v>494449009.91917253</v>
      </c>
      <c r="G21" s="282">
        <f t="shared" si="2"/>
        <v>13.257782810542231</v>
      </c>
      <c r="H21" s="205">
        <f t="shared" si="3"/>
        <v>6207523.4108275175</v>
      </c>
      <c r="I21" s="288">
        <f t="shared" si="4"/>
        <v>1.2554425807915521</v>
      </c>
      <c r="J21" s="154">
        <f>'Central Budget'!N21</f>
        <v>457115481.22000003</v>
      </c>
      <c r="K21" s="282">
        <f t="shared" si="1"/>
        <v>12.610082240551726</v>
      </c>
      <c r="L21" s="205">
        <f t="shared" si="5"/>
        <v>43541052.110000014</v>
      </c>
      <c r="M21" s="288">
        <f t="shared" si="6"/>
        <v>9.525175562593688</v>
      </c>
    </row>
    <row r="22" spans="2:62" ht="15" customHeight="1">
      <c r="B22" s="80">
        <v>7115</v>
      </c>
      <c r="C22" s="97" t="str">
        <f>IF(MasterSheet!$A$1=1,MasterSheet!C78,MasterSheet!B78)</f>
        <v>Akcize</v>
      </c>
      <c r="D22" s="154">
        <f>+'Central Budget'!D22</f>
        <v>182670922.38</v>
      </c>
      <c r="E22" s="282">
        <f t="shared" si="0"/>
        <v>4.8980003319479817</v>
      </c>
      <c r="F22" s="154">
        <f>+'Central Budget'!F22</f>
        <v>182524698.45681819</v>
      </c>
      <c r="G22" s="282">
        <f t="shared" si="2"/>
        <v>4.8940795939621449</v>
      </c>
      <c r="H22" s="205">
        <f t="shared" si="3"/>
        <v>146223.92318180203</v>
      </c>
      <c r="I22" s="288">
        <f t="shared" si="4"/>
        <v>8.0111855775172103E-2</v>
      </c>
      <c r="J22" s="154">
        <f>+'Central Budget'!N22</f>
        <v>170010238.31999999</v>
      </c>
      <c r="K22" s="282">
        <f t="shared" si="1"/>
        <v>4.6899376088275861</v>
      </c>
      <c r="L22" s="205">
        <f t="shared" si="5"/>
        <v>12660684.060000002</v>
      </c>
      <c r="M22" s="288">
        <f t="shared" si="6"/>
        <v>7.4470127123576759</v>
      </c>
    </row>
    <row r="23" spans="2:62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f>+'Central Budget'!D23</f>
        <v>24283642.720000003</v>
      </c>
      <c r="E23" s="282">
        <f t="shared" si="0"/>
        <v>0.65112327979621942</v>
      </c>
      <c r="F23" s="154">
        <f>+IF(ISNUMBER(VLOOKUP($B23,'Central Budget'!$B$16:$O$78,'Public Expenditure'!F$1,FALSE)),VLOOKUP($B23,'Central Budget'!$B$16:$O$78,'Public Expenditure'!F$1,FALSE),0)+IF(ISNUMBER(VLOOKUP('Public Expenditure'!$B23,'Local Government'!$B$16:$M$77,'Public Expenditure'!F$1,FALSE)),VLOOKUP('Public Expenditure'!$B23,'Local Government'!$B$16:$M$77,'Public Expenditure'!F$1,FALSE),0)</f>
        <v>24037377.760315243</v>
      </c>
      <c r="G23" s="282">
        <f t="shared" si="2"/>
        <v>0.64452011691420419</v>
      </c>
      <c r="H23" s="205">
        <f t="shared" si="3"/>
        <v>246264.95968475938</v>
      </c>
      <c r="I23" s="288">
        <f t="shared" si="4"/>
        <v>1.024508422425896</v>
      </c>
      <c r="J23" s="154">
        <f>+'Central Budget'!N23</f>
        <v>22887481.920000002</v>
      </c>
      <c r="K23" s="282">
        <f t="shared" si="1"/>
        <v>0.63137881158620701</v>
      </c>
      <c r="L23" s="205">
        <f t="shared" si="5"/>
        <v>1396160.8000000007</v>
      </c>
      <c r="M23" s="288">
        <f t="shared" si="6"/>
        <v>6.1001066210782255</v>
      </c>
      <c r="BH23" s="138"/>
      <c r="BI23" s="138"/>
      <c r="BJ23" s="81"/>
    </row>
    <row r="24" spans="2:62" ht="15" customHeight="1">
      <c r="B24" s="80">
        <v>7117</v>
      </c>
      <c r="C24" s="97" t="s">
        <v>11</v>
      </c>
      <c r="D24" s="154">
        <f>+'Local Government'!D20</f>
        <v>77411609.49000001</v>
      </c>
      <c r="E24" s="282">
        <f t="shared" si="0"/>
        <v>2.0756565086472718</v>
      </c>
      <c r="F24" s="154">
        <f>+IF(ISNUMBER(VLOOKUP($B24,'Central Budget'!$B$16:$O$78,'Public Expenditure'!F$1,FALSE)),VLOOKUP($B24,'Central Budget'!$B$16:$O$78,'Public Expenditure'!F$1,FALSE),0)+IF(ISNUMBER(VLOOKUP('Public Expenditure'!$B24,'Local Government'!$B$16:$M$77,'Public Expenditure'!F$1,FALSE)),VLOOKUP('Public Expenditure'!$B24,'Local Government'!$B$16:$M$77,'Public Expenditure'!F$1,FALSE),0)</f>
        <v>76518087.735394105</v>
      </c>
      <c r="G24" s="282">
        <f t="shared" si="2"/>
        <v>2.0516982902639525</v>
      </c>
      <c r="H24" s="205">
        <f t="shared" si="3"/>
        <v>893521.75460590422</v>
      </c>
      <c r="I24" s="288">
        <f t="shared" si="4"/>
        <v>1.1677261952700349</v>
      </c>
      <c r="J24" s="154">
        <f>+'Local Government'!J20</f>
        <v>75997609.719999999</v>
      </c>
      <c r="K24" s="282">
        <f t="shared" si="1"/>
        <v>2.0964857853793104</v>
      </c>
      <c r="L24" s="205">
        <f t="shared" si="5"/>
        <v>1413999.7700000107</v>
      </c>
      <c r="M24" s="288">
        <f t="shared" si="6"/>
        <v>1.8605845304999065</v>
      </c>
      <c r="BH24" s="138"/>
      <c r="BI24" s="138"/>
      <c r="BJ24" s="81"/>
    </row>
    <row r="25" spans="2:62" ht="15" customHeight="1">
      <c r="B25" s="80">
        <v>7118</v>
      </c>
      <c r="C25" s="97" t="s">
        <v>462</v>
      </c>
      <c r="D25" s="154">
        <f>+'Central Budget'!D24</f>
        <v>9199394.8100000005</v>
      </c>
      <c r="E25" s="282">
        <f t="shared" si="0"/>
        <v>0.24666563373106315</v>
      </c>
      <c r="F25" s="154">
        <f>+IF(ISNUMBER(VLOOKUP($B25,'Central Budget'!$B$16:$O$78,'Public Expenditure'!F$1,FALSE)),VLOOKUP($B25,'Central Budget'!$B$16:$O$78,'Public Expenditure'!F$1,FALSE),0)+IF(ISNUMBER(VLOOKUP('Public Expenditure'!$B25,'Local Government'!$B$16:$M$77,'Public Expenditure'!F$1,FALSE)),VLOOKUP('Public Expenditure'!$B25,'Local Government'!$B$16:$M$77,'Public Expenditure'!F$1,FALSE),0)</f>
        <v>9262049.6987588499</v>
      </c>
      <c r="G25" s="282">
        <f t="shared" si="2"/>
        <v>0.24834561466037941</v>
      </c>
      <c r="H25" s="205">
        <f t="shared" si="3"/>
        <v>-62654.888758849353</v>
      </c>
      <c r="I25" s="288">
        <f t="shared" si="4"/>
        <v>-0.67646893286747911</v>
      </c>
      <c r="J25" s="154">
        <f>+'Central Budget'!N24</f>
        <v>7119542.1799999997</v>
      </c>
      <c r="K25" s="282">
        <f t="shared" si="1"/>
        <v>0.19640116358620691</v>
      </c>
      <c r="L25" s="205">
        <f t="shared" si="5"/>
        <v>2079852.6300000008</v>
      </c>
      <c r="M25" s="288">
        <f t="shared" si="6"/>
        <v>29.213291773769669</v>
      </c>
      <c r="BH25" s="138"/>
      <c r="BI25" s="138"/>
      <c r="BJ25" s="81"/>
    </row>
    <row r="26" spans="2:62" ht="15" customHeight="1">
      <c r="B26" s="80">
        <v>712</v>
      </c>
      <c r="C26" s="93" t="str">
        <f>IF(MasterSheet!$A$1=1,MasterSheet!C81,MasterSheet!B81)</f>
        <v>Doprinosi</v>
      </c>
      <c r="D26" s="152">
        <f>'Central Budget'!D25</f>
        <v>462885204.29000008</v>
      </c>
      <c r="E26" s="283">
        <f t="shared" si="0"/>
        <v>12.411454733610405</v>
      </c>
      <c r="F26" s="152">
        <f>SUM(F27:F30)</f>
        <v>464323028.41630036</v>
      </c>
      <c r="G26" s="283">
        <f t="shared" si="2"/>
        <v>12.450007465244681</v>
      </c>
      <c r="H26" s="204">
        <f t="shared" si="3"/>
        <v>-1437824.1263002753</v>
      </c>
      <c r="I26" s="289">
        <f t="shared" si="4"/>
        <v>-0.30966030937649691</v>
      </c>
      <c r="J26" s="152">
        <f>SUM(J27:J30)</f>
        <v>437288820.67000002</v>
      </c>
      <c r="K26" s="283">
        <f t="shared" si="1"/>
        <v>12.063139880551725</v>
      </c>
      <c r="L26" s="204">
        <f t="shared" si="5"/>
        <v>25596383.620000064</v>
      </c>
      <c r="M26" s="289">
        <f t="shared" si="6"/>
        <v>5.8534273940006329</v>
      </c>
      <c r="BH26" s="138"/>
      <c r="BI26" s="138"/>
      <c r="BJ26" s="81"/>
    </row>
    <row r="27" spans="2:62" ht="15" customHeight="1">
      <c r="B27" s="80">
        <v>7121</v>
      </c>
      <c r="C27" s="97" t="str">
        <f>IF(MasterSheet!$A$1=1,MasterSheet!C82,MasterSheet!B82)</f>
        <v>Doprinosi za penzijsko i invalidsko osiguranje</v>
      </c>
      <c r="D27" s="154">
        <f>+'Central Budget'!D26</f>
        <v>273553324.41000003</v>
      </c>
      <c r="E27" s="282">
        <f t="shared" si="0"/>
        <v>7.3348525113285978</v>
      </c>
      <c r="F27" s="154">
        <f>+IF(ISNUMBER(VLOOKUP($B27,'Central Budget'!$B$16:$O$78,'Public Expenditure'!F$1,FALSE)),VLOOKUP($B27,'Central Budget'!$B$16:$O$78,'Public Expenditure'!F$1,FALSE),0)+IF(ISNUMBER(VLOOKUP('Public Expenditure'!$B27,'Local Government'!$B$16:$M$77,'Public Expenditure'!F$1,FALSE)),VLOOKUP('Public Expenditure'!$B27,'Local Government'!$B$16:$M$77,'Public Expenditure'!F$1,FALSE),0)</f>
        <v>276048147.59794891</v>
      </c>
      <c r="G27" s="282">
        <f t="shared" si="2"/>
        <v>7.4017468185533968</v>
      </c>
      <c r="H27" s="205">
        <f t="shared" si="3"/>
        <v>-2494823.1879488826</v>
      </c>
      <c r="I27" s="288">
        <f t="shared" si="4"/>
        <v>-0.90376378528809198</v>
      </c>
      <c r="J27" s="154">
        <f>+'Central Budget'!N26</f>
        <v>264099239.14000005</v>
      </c>
      <c r="K27" s="282">
        <f t="shared" si="1"/>
        <v>7.2854962521379321</v>
      </c>
      <c r="L27" s="205">
        <f t="shared" si="5"/>
        <v>9454085.2699999809</v>
      </c>
      <c r="M27" s="288">
        <f t="shared" si="6"/>
        <v>3.579747257427087</v>
      </c>
      <c r="BH27" s="138"/>
      <c r="BI27" s="138"/>
      <c r="BJ27" s="81"/>
    </row>
    <row r="28" spans="2:62" ht="15" customHeight="1">
      <c r="B28" s="80">
        <v>7122</v>
      </c>
      <c r="C28" s="97" t="str">
        <f>IF(MasterSheet!$A$1=1,MasterSheet!C83,MasterSheet!B83)</f>
        <v>Doprinosi za zdravstveno osiguranje</v>
      </c>
      <c r="D28" s="154">
        <f>+'Central Budget'!D27</f>
        <v>164379366.90000004</v>
      </c>
      <c r="E28" s="282">
        <f t="shared" si="0"/>
        <v>4.4075443598337589</v>
      </c>
      <c r="F28" s="154">
        <f>+IF(ISNUMBER(VLOOKUP($B28,'Central Budget'!$B$16:$O$78,'Public Expenditure'!F$1,FALSE)),VLOOKUP($B28,'Central Budget'!$B$16:$O$78,'Public Expenditure'!F$1,FALSE),0)+IF(ISNUMBER(VLOOKUP('Public Expenditure'!$B28,'Local Government'!$B$16:$M$77,'Public Expenditure'!F$1,FALSE)),VLOOKUP('Public Expenditure'!$B28,'Local Government'!$B$16:$M$77,'Public Expenditure'!F$1,FALSE),0)</f>
        <v>163183755.64591512</v>
      </c>
      <c r="G28" s="282">
        <f t="shared" si="2"/>
        <v>4.3754861414644086</v>
      </c>
      <c r="H28" s="205">
        <f t="shared" si="3"/>
        <v>1195611.2540849149</v>
      </c>
      <c r="I28" s="288">
        <f t="shared" si="4"/>
        <v>0.73267786327899387</v>
      </c>
      <c r="J28" s="154">
        <f>+'Central Budget'!N27</f>
        <v>150309788.34999993</v>
      </c>
      <c r="K28" s="282">
        <f t="shared" si="1"/>
        <v>4.1464769199999978</v>
      </c>
      <c r="L28" s="205">
        <f t="shared" si="5"/>
        <v>14069578.550000101</v>
      </c>
      <c r="M28" s="288">
        <f t="shared" si="6"/>
        <v>9.3603874401304807</v>
      </c>
      <c r="BH28" s="138"/>
      <c r="BI28" s="138"/>
      <c r="BJ28" s="81"/>
    </row>
    <row r="29" spans="2:62" ht="15" customHeight="1">
      <c r="B29" s="80">
        <v>7123</v>
      </c>
      <c r="C29" s="97" t="str">
        <f>IF(MasterSheet!$A$1=1,MasterSheet!C84,MasterSheet!B84)</f>
        <v>Doprinosi za osiguranje od nezaposlenosti</v>
      </c>
      <c r="D29" s="154">
        <f>+'Central Budget'!D28</f>
        <v>12989910.719999999</v>
      </c>
      <c r="E29" s="282">
        <f t="shared" si="0"/>
        <v>0.34830166832015014</v>
      </c>
      <c r="F29" s="154">
        <f>+IF(ISNUMBER(VLOOKUP($B29,'Central Budget'!$B$16:$O$78,'Public Expenditure'!F$1,FALSE)),VLOOKUP($B29,'Central Budget'!$B$16:$O$78,'Public Expenditure'!F$1,FALSE),0)+IF(ISNUMBER(VLOOKUP('Public Expenditure'!$B29,'Local Government'!$B$16:$M$77,'Public Expenditure'!F$1,FALSE)),VLOOKUP('Public Expenditure'!$B29,'Local Government'!$B$16:$M$77,'Public Expenditure'!F$1,FALSE),0)</f>
        <v>13153089.829222243</v>
      </c>
      <c r="G29" s="282">
        <f t="shared" si="2"/>
        <v>0.35267702987591482</v>
      </c>
      <c r="H29" s="205">
        <f t="shared" si="3"/>
        <v>-163179.10922224447</v>
      </c>
      <c r="I29" s="288">
        <f t="shared" si="4"/>
        <v>-1.2406142688975592</v>
      </c>
      <c r="J29" s="154">
        <f>+'Central Budget'!N28</f>
        <v>12114496.520000001</v>
      </c>
      <c r="K29" s="282">
        <f t="shared" si="1"/>
        <v>0.3341930074482759</v>
      </c>
      <c r="L29" s="205">
        <f t="shared" si="5"/>
        <v>875414.19999999739</v>
      </c>
      <c r="M29" s="288">
        <f t="shared" si="6"/>
        <v>7.2261707166679372</v>
      </c>
      <c r="BH29" s="138"/>
      <c r="BI29" s="138"/>
      <c r="BJ29" s="81"/>
    </row>
    <row r="30" spans="2:62" ht="15" customHeight="1">
      <c r="B30" s="80">
        <v>7124</v>
      </c>
      <c r="C30" s="97" t="str">
        <f>IF(MasterSheet!$A$1=1,MasterSheet!C85,MasterSheet!B85)</f>
        <v>Ostali doprinosi</v>
      </c>
      <c r="D30" s="154">
        <f>+'Central Budget'!D29</f>
        <v>11962602.260000002</v>
      </c>
      <c r="E30" s="282">
        <f t="shared" si="0"/>
        <v>0.32075619412789919</v>
      </c>
      <c r="F30" s="154">
        <f>+IF(ISNUMBER(VLOOKUP($B30,'Central Budget'!$B$16:$O$78,'Public Expenditure'!F$1,FALSE)),VLOOKUP($B30,'Central Budget'!$B$16:$O$78,'Public Expenditure'!F$1,FALSE),0)+IF(ISNUMBER(VLOOKUP('Public Expenditure'!$B30,'Local Government'!$B$16:$M$77,'Public Expenditure'!F$1,FALSE)),VLOOKUP('Public Expenditure'!$B30,'Local Government'!$B$16:$M$77,'Public Expenditure'!F$1,FALSE),0)</f>
        <v>11938035.343214052</v>
      </c>
      <c r="G30" s="282">
        <f t="shared" si="2"/>
        <v>0.32009747535095995</v>
      </c>
      <c r="H30" s="205">
        <f t="shared" si="3"/>
        <v>24566.916785949841</v>
      </c>
      <c r="I30" s="288">
        <f t="shared" si="4"/>
        <v>0.2057869329388069</v>
      </c>
      <c r="J30" s="154">
        <f>+'Central Budget'!N29</f>
        <v>10765296.66</v>
      </c>
      <c r="K30" s="282">
        <f t="shared" si="1"/>
        <v>0.29697370096551723</v>
      </c>
      <c r="L30" s="205">
        <f t="shared" si="5"/>
        <v>1197305.6000000015</v>
      </c>
      <c r="M30" s="288">
        <f t="shared" si="6"/>
        <v>11.121900657403728</v>
      </c>
      <c r="BH30" s="81"/>
      <c r="BI30" s="81"/>
      <c r="BJ30" s="81"/>
    </row>
    <row r="31" spans="2:62" ht="15" customHeight="1">
      <c r="B31" s="80">
        <v>713</v>
      </c>
      <c r="C31" s="93" t="str">
        <f>IF(MasterSheet!$A$1=1,MasterSheet!C86,MasterSheet!B86)</f>
        <v>Takse</v>
      </c>
      <c r="D31" s="152">
        <f>+'Central Budget'!D30+'Local Government'!D21</f>
        <v>18869080.560000002</v>
      </c>
      <c r="E31" s="283">
        <f t="shared" si="0"/>
        <v>0.50594129400723964</v>
      </c>
      <c r="F31" s="152">
        <f>+IF(ISNUMBER(VLOOKUP($B31,'Central Budget'!$B$16:$O$78,'Public Expenditure'!F$1,FALSE)),VLOOKUP($B31,'Central Budget'!$B$16:$O$78,'Public Expenditure'!F$1,FALSE),0)+IF(ISNUMBER(VLOOKUP('Public Expenditure'!$B31,'Local Government'!$B$16:$M$77,'Public Expenditure'!F$1,FALSE)),VLOOKUP('Public Expenditure'!$B31,'Local Government'!$B$16:$M$77,'Public Expenditure'!F$1,FALSE),0)</f>
        <v>19432454.131727457</v>
      </c>
      <c r="G31" s="283">
        <f t="shared" si="2"/>
        <v>0.52104716803130324</v>
      </c>
      <c r="H31" s="204">
        <f t="shared" si="3"/>
        <v>-563373.57172745466</v>
      </c>
      <c r="I31" s="289">
        <f t="shared" si="4"/>
        <v>-2.8991375351177737</v>
      </c>
      <c r="J31" s="152">
        <f>+'Central Budget'!N30+'Local Government'!J21</f>
        <v>18436067</v>
      </c>
      <c r="K31" s="283">
        <f t="shared" si="1"/>
        <v>0.50858115862068964</v>
      </c>
      <c r="L31" s="204">
        <f t="shared" si="5"/>
        <v>433013.56000000238</v>
      </c>
      <c r="M31" s="289">
        <f t="shared" si="6"/>
        <v>2.3487306701586874</v>
      </c>
      <c r="BH31" s="81"/>
      <c r="BI31" s="81"/>
      <c r="BJ31" s="81"/>
    </row>
    <row r="32" spans="2:62" ht="15" customHeight="1">
      <c r="B32" s="80">
        <v>714</v>
      </c>
      <c r="C32" s="93" t="str">
        <f>IF(MasterSheet!$A$1=1,MasterSheet!C91,MasterSheet!B91)</f>
        <v>Naknade</v>
      </c>
      <c r="D32" s="152">
        <f>+'Central Budget'!D31+'Local Government'!D27</f>
        <v>120208619.10999998</v>
      </c>
      <c r="E32" s="283">
        <f t="shared" si="0"/>
        <v>3.2231832446708673</v>
      </c>
      <c r="F32" s="152">
        <f>+IF(ISNUMBER(VLOOKUP($B32,'Central Budget'!$B$16:$O$78,'Public Expenditure'!F$1,FALSE)),VLOOKUP($B32,'Central Budget'!$B$16:$O$78,'Public Expenditure'!F$1,FALSE),0)+IF(ISNUMBER(VLOOKUP('Public Expenditure'!$B32,'Local Government'!$B$16:$M$77,'Public Expenditure'!F$1,FALSE)),VLOOKUP('Public Expenditure'!$B32,'Local Government'!$B$16:$M$77,'Public Expenditure'!F$1,FALSE),0)</f>
        <v>122903523.04897943</v>
      </c>
      <c r="G32" s="283">
        <f t="shared" si="2"/>
        <v>3.2954423662415722</v>
      </c>
      <c r="H32" s="204">
        <f t="shared" si="3"/>
        <v>-2694903.9389794469</v>
      </c>
      <c r="I32" s="289">
        <f t="shared" si="4"/>
        <v>-2.192698689284498</v>
      </c>
      <c r="J32" s="152">
        <f>+'Central Budget'!N31+'Local Government'!J27</f>
        <v>83690687.739999995</v>
      </c>
      <c r="K32" s="283">
        <f t="shared" si="1"/>
        <v>2.3087086273103448</v>
      </c>
      <c r="L32" s="204">
        <f t="shared" si="5"/>
        <v>36517931.36999999</v>
      </c>
      <c r="M32" s="289">
        <f t="shared" si="6"/>
        <v>43.634402292701225</v>
      </c>
      <c r="BH32" s="138"/>
      <c r="BI32" s="138"/>
      <c r="BJ32" s="138"/>
    </row>
    <row r="33" spans="1:65" ht="15" customHeight="1">
      <c r="B33" s="80">
        <v>715</v>
      </c>
      <c r="C33" s="93" t="str">
        <f>IF(MasterSheet!$A$1=1,MasterSheet!C98,MasterSheet!B98)</f>
        <v>Ostali prihodi</v>
      </c>
      <c r="D33" s="152">
        <f>+'Central Budget'!D32+'Local Government'!D33</f>
        <v>47300461.239999995</v>
      </c>
      <c r="E33" s="283">
        <f t="shared" si="0"/>
        <v>1.268278891004156</v>
      </c>
      <c r="F33" s="152">
        <f>+IF(ISNUMBER(VLOOKUP($B33,'Central Budget'!$B$16:$O$78,'Public Expenditure'!F$1,FALSE)),VLOOKUP($B33,'Central Budget'!$B$16:$O$78,'Public Expenditure'!F$1,FALSE),0)+IF(ISNUMBER(VLOOKUP('Public Expenditure'!$B33,'Local Government'!$B$16:$M$77,'Public Expenditure'!F$1,FALSE)),VLOOKUP('Public Expenditure'!$B33,'Local Government'!$B$16:$M$77,'Public Expenditure'!F$1,FALSE),0)</f>
        <v>51584762.750197917</v>
      </c>
      <c r="G33" s="283">
        <f t="shared" si="2"/>
        <v>1.3831549202359006</v>
      </c>
      <c r="H33" s="204">
        <f t="shared" si="3"/>
        <v>-4284301.5101979226</v>
      </c>
      <c r="I33" s="289">
        <f t="shared" si="4"/>
        <v>-8.3053624399609873</v>
      </c>
      <c r="J33" s="152">
        <f>+'Central Budget'!N32+'Local Government'!J33</f>
        <v>39063293.329999991</v>
      </c>
      <c r="K33" s="283">
        <f t="shared" si="1"/>
        <v>1.0776080918620687</v>
      </c>
      <c r="L33" s="204">
        <f t="shared" si="5"/>
        <v>8237167.9100000039</v>
      </c>
      <c r="M33" s="289">
        <f t="shared" si="6"/>
        <v>21.08672159414165</v>
      </c>
      <c r="BH33" s="81"/>
      <c r="BI33" s="81"/>
      <c r="BJ33" s="81"/>
      <c r="BK33" s="81"/>
      <c r="BL33" s="81"/>
    </row>
    <row r="34" spans="1:65">
      <c r="B34" s="80">
        <v>73</v>
      </c>
      <c r="C34" s="101" t="str">
        <f>IF(MasterSheet!$A$1=1,MasterSheet!C103,MasterSheet!B103)</f>
        <v xml:space="preserve">Primici od otplate kredita </v>
      </c>
      <c r="D34" s="152">
        <f>+'Central Budget'!D33+'Local Government'!D38</f>
        <v>4282946.67</v>
      </c>
      <c r="E34" s="283">
        <f t="shared" si="0"/>
        <v>0.11483970156857487</v>
      </c>
      <c r="F34" s="152">
        <f>+IF(ISNUMBER(VLOOKUP($B34,'Central Budget'!$B$16:$O$78,'Public Expenditure'!F$1,FALSE)),VLOOKUP($B34,'Central Budget'!$B$16:$O$78,'Public Expenditure'!F$1,FALSE),0)+IF(ISNUMBER(VLOOKUP('Public Expenditure'!$B34,'Local Government'!$B$16:$M$77,'Public Expenditure'!F$1,FALSE)),VLOOKUP('Public Expenditure'!$B34,'Local Government'!$B$16:$M$77,'Public Expenditure'!F$1,FALSE),0)</f>
        <v>5425932.2100328896</v>
      </c>
      <c r="G34" s="283">
        <f t="shared" si="2"/>
        <v>0.14548685373462633</v>
      </c>
      <c r="H34" s="204">
        <f t="shared" si="3"/>
        <v>-1142985.5400328897</v>
      </c>
      <c r="I34" s="289">
        <f t="shared" si="4"/>
        <v>-21.065238115570949</v>
      </c>
      <c r="J34" s="152">
        <f>+'Central Budget'!N33+'Local Government'!J38</f>
        <v>8231495.4800000004</v>
      </c>
      <c r="K34" s="283">
        <f t="shared" si="1"/>
        <v>0.22707573737931036</v>
      </c>
      <c r="L34" s="204">
        <f t="shared" si="5"/>
        <v>-3948548.8100000005</v>
      </c>
      <c r="M34" s="289">
        <f t="shared" si="6"/>
        <v>-47.968790356427441</v>
      </c>
      <c r="BG34" s="100"/>
      <c r="BH34" s="100"/>
      <c r="BI34" s="99"/>
      <c r="BJ34" s="143"/>
      <c r="BK34" s="143"/>
      <c r="BL34" s="143"/>
      <c r="BM34" s="140"/>
    </row>
    <row r="35" spans="1:65" ht="13.5" customHeight="1" thickBot="1">
      <c r="B35" s="80">
        <v>74</v>
      </c>
      <c r="C35" s="93" t="s">
        <v>122</v>
      </c>
      <c r="D35" s="152">
        <f>+'Central Budget'!D34+'Local Government'!D39</f>
        <v>17338650.200000003</v>
      </c>
      <c r="E35" s="283">
        <f>D35/D$11*100</f>
        <v>0.4649054886714038</v>
      </c>
      <c r="F35" s="152">
        <f>+IF(ISNUMBER(VLOOKUP($B35,'Central Budget'!$B$16:$O$78,'Public Expenditure'!F$1,FALSE)),VLOOKUP($B35,'Central Budget'!$B$16:$O$78,'Public Expenditure'!F$1,FALSE),0)+IF(ISNUMBER(VLOOKUP('Public Expenditure'!$B35,'Local Government'!$B$16:$M$77,'Public Expenditure'!F$1,FALSE)),VLOOKUP('Public Expenditure'!$B35,'Local Government'!$B$16:$M$77,'Public Expenditure'!F$1,FALSE),0)</f>
        <v>20285305.440360036</v>
      </c>
      <c r="G35" s="283">
        <f t="shared" si="2"/>
        <v>0.54391487975224662</v>
      </c>
      <c r="H35" s="204">
        <f t="shared" si="3"/>
        <v>-2946655.2403600328</v>
      </c>
      <c r="I35" s="289">
        <f t="shared" si="4"/>
        <v>-14.526058032615623</v>
      </c>
      <c r="J35" s="152">
        <f>+'Central Budget'!N34+'Local Government'!J39</f>
        <v>13531669.91</v>
      </c>
      <c r="K35" s="283">
        <f>J35/J$11*100</f>
        <v>0.37328744579310347</v>
      </c>
      <c r="L35" s="204">
        <f t="shared" si="5"/>
        <v>3806980.2900000028</v>
      </c>
      <c r="M35" s="289">
        <f t="shared" si="6"/>
        <v>28.133854249478986</v>
      </c>
      <c r="BH35" s="159"/>
      <c r="BI35" s="159"/>
      <c r="BJ35" s="143"/>
      <c r="BK35" s="143"/>
      <c r="BL35" s="143"/>
      <c r="BM35" s="140"/>
    </row>
    <row r="36" spans="1:65" ht="15" customHeight="1" thickTop="1" thickBot="1">
      <c r="B36" s="102"/>
      <c r="C36" s="176" t="s">
        <v>234</v>
      </c>
      <c r="D36" s="171">
        <f>+D38+D49+D55+SUM(D58:D63)</f>
        <v>1820320601.9399998</v>
      </c>
      <c r="E36" s="280">
        <f t="shared" si="0"/>
        <v>48.808703631585999</v>
      </c>
      <c r="F36" s="171">
        <f>+F38+F49+F55+SUM(F58:F63)</f>
        <v>1780163354.6389005</v>
      </c>
      <c r="G36" s="280">
        <f t="shared" si="2"/>
        <v>47.731957491323243</v>
      </c>
      <c r="H36" s="171">
        <f t="shared" si="3"/>
        <v>40157247.3010993</v>
      </c>
      <c r="I36" s="280">
        <f t="shared" si="4"/>
        <v>2.2558181077289419</v>
      </c>
      <c r="J36" s="171">
        <f>+J38+J48+J49+J55+SUM(J58:J62)</f>
        <v>1828550979.6129999</v>
      </c>
      <c r="K36" s="280">
        <f t="shared" si="1"/>
        <v>50.442785644496546</v>
      </c>
      <c r="L36" s="171">
        <f t="shared" si="5"/>
        <v>-8230377.6730000973</v>
      </c>
      <c r="M36" s="280">
        <f t="shared" si="6"/>
        <v>-0.45010381251398712</v>
      </c>
      <c r="BH36" s="81"/>
      <c r="BI36" s="81"/>
      <c r="BJ36" s="143"/>
      <c r="BK36" s="143"/>
      <c r="BL36" s="143"/>
      <c r="BM36" s="140"/>
    </row>
    <row r="37" spans="1:65" ht="13.5" customHeight="1" thickTop="1" thickBot="1">
      <c r="C37" s="176" t="s">
        <v>279</v>
      </c>
      <c r="D37" s="171">
        <f>+D36-D58</f>
        <v>1714465331.0999999</v>
      </c>
      <c r="E37" s="280">
        <f t="shared" si="0"/>
        <v>45.970380241319205</v>
      </c>
      <c r="F37" s="171">
        <f>+F36-F58</f>
        <v>1630666765.1005404</v>
      </c>
      <c r="G37" s="280">
        <f t="shared" si="2"/>
        <v>43.723468698231407</v>
      </c>
      <c r="H37" s="171">
        <f t="shared" si="3"/>
        <v>83798565.999459505</v>
      </c>
      <c r="I37" s="280">
        <f t="shared" si="4"/>
        <v>5.138914203251872</v>
      </c>
      <c r="J37" s="171">
        <f>+J36-J58</f>
        <v>1560415028.1429999</v>
      </c>
      <c r="K37" s="280">
        <f t="shared" si="1"/>
        <v>43.045931810841374</v>
      </c>
      <c r="L37" s="171">
        <f t="shared" si="5"/>
        <v>154050302.95700002</v>
      </c>
      <c r="M37" s="280">
        <f t="shared" si="6"/>
        <v>9.8723929325604161</v>
      </c>
      <c r="BH37" s="159"/>
      <c r="BI37" s="159"/>
      <c r="BJ37" s="143"/>
      <c r="BK37" s="143"/>
      <c r="BL37" s="143"/>
      <c r="BM37" s="140"/>
    </row>
    <row r="38" spans="1:65" ht="13.5" customHeight="1" thickTop="1">
      <c r="A38" s="80">
        <v>41</v>
      </c>
      <c r="B38" s="80">
        <v>41</v>
      </c>
      <c r="C38" s="93" t="s">
        <v>62</v>
      </c>
      <c r="D38" s="94">
        <f>+SUM(D39:D48)</f>
        <v>812197668.5</v>
      </c>
      <c r="E38" s="283">
        <f t="shared" si="0"/>
        <v>21.777655677704786</v>
      </c>
      <c r="F38" s="94">
        <f>+SUM(F39:F48)</f>
        <v>816466329.26001823</v>
      </c>
      <c r="G38" s="283">
        <f t="shared" si="2"/>
        <v>21.892112327658353</v>
      </c>
      <c r="H38" s="202">
        <f t="shared" si="3"/>
        <v>-4268660.7600182295</v>
      </c>
      <c r="I38" s="289">
        <f t="shared" si="4"/>
        <v>-0.52282140818800826</v>
      </c>
      <c r="J38" s="94">
        <f>+SUM(J39:J47)</f>
        <v>722275567.89299989</v>
      </c>
      <c r="K38" s="283">
        <f t="shared" si="1"/>
        <v>19.924843252220686</v>
      </c>
      <c r="L38" s="202">
        <f t="shared" si="5"/>
        <v>89922100.607000113</v>
      </c>
      <c r="M38" s="289">
        <f t="shared" si="6"/>
        <v>12.449832806793964</v>
      </c>
      <c r="BH38" s="159"/>
      <c r="BI38" s="159"/>
      <c r="BJ38" s="143"/>
      <c r="BK38" s="143"/>
      <c r="BL38" s="143"/>
      <c r="BM38" s="140"/>
    </row>
    <row r="39" spans="1:65" ht="13.5" customHeight="1">
      <c r="B39" s="80">
        <v>411</v>
      </c>
      <c r="C39" s="93" t="s">
        <v>63</v>
      </c>
      <c r="D39" s="152">
        <f>+'Central Budget'!D38+'Local Government'!D43</f>
        <v>467663793.42999995</v>
      </c>
      <c r="E39" s="283">
        <f t="shared" si="0"/>
        <v>12.539584218527953</v>
      </c>
      <c r="F39" s="152">
        <f>+'Central Budget'!F38+'Local Government'!F43</f>
        <v>482513870.04738241</v>
      </c>
      <c r="G39" s="283">
        <f t="shared" si="2"/>
        <v>12.937762972178104</v>
      </c>
      <c r="H39" s="204">
        <f t="shared" si="3"/>
        <v>-14850076.617382467</v>
      </c>
      <c r="I39" s="289">
        <f t="shared" si="4"/>
        <v>-3.0776476157927277</v>
      </c>
      <c r="J39" s="152">
        <f>+'Central Budget'!N38+'Local Government'!J43</f>
        <v>428791755.66999996</v>
      </c>
      <c r="K39" s="283">
        <f t="shared" si="1"/>
        <v>11.828738087448274</v>
      </c>
      <c r="L39" s="204">
        <f t="shared" si="5"/>
        <v>38872037.75999999</v>
      </c>
      <c r="M39" s="289">
        <f t="shared" si="6"/>
        <v>9.0654816110588001</v>
      </c>
      <c r="BH39" s="159"/>
      <c r="BI39" s="159"/>
      <c r="BJ39" s="143"/>
      <c r="BK39" s="143"/>
      <c r="BL39" s="143"/>
      <c r="BM39" s="140"/>
    </row>
    <row r="40" spans="1:65" ht="13.5" customHeight="1">
      <c r="B40" s="80">
        <v>412</v>
      </c>
      <c r="C40" s="93" t="s">
        <v>74</v>
      </c>
      <c r="D40" s="152">
        <f>+'Central Budget'!D39+'Local Government'!D44</f>
        <v>15329821.52</v>
      </c>
      <c r="E40" s="283">
        <f t="shared" si="0"/>
        <v>0.41104227161817936</v>
      </c>
      <c r="F40" s="152">
        <f>+'Central Budget'!F39+'Local Government'!F44</f>
        <v>17819965.351492222</v>
      </c>
      <c r="G40" s="283">
        <f t="shared" si="2"/>
        <v>0.47781111010838512</v>
      </c>
      <c r="H40" s="204">
        <f t="shared" si="3"/>
        <v>-2490143.8314922228</v>
      </c>
      <c r="I40" s="289">
        <f t="shared" si="4"/>
        <v>-13.973898278560341</v>
      </c>
      <c r="J40" s="152">
        <f>+'Central Budget'!N39+'Local Government'!J44</f>
        <v>19792182.750000004</v>
      </c>
      <c r="K40" s="283">
        <f t="shared" si="1"/>
        <v>0.54599124827586221</v>
      </c>
      <c r="L40" s="204">
        <f t="shared" si="5"/>
        <v>-4462361.2300000042</v>
      </c>
      <c r="M40" s="289">
        <f t="shared" si="6"/>
        <v>-22.54607936054957</v>
      </c>
      <c r="BH40" s="159"/>
      <c r="BI40" s="159"/>
      <c r="BJ40" s="143"/>
      <c r="BK40" s="143"/>
      <c r="BL40" s="143"/>
      <c r="BM40" s="140"/>
    </row>
    <row r="41" spans="1:65" ht="13.5" customHeight="1">
      <c r="B41" s="80">
        <v>413</v>
      </c>
      <c r="C41" s="93" t="s">
        <v>428</v>
      </c>
      <c r="D41" s="152">
        <f>+'Central Budget'!D40+'Local Government'!D45</f>
        <v>38157614.870000005</v>
      </c>
      <c r="E41" s="283">
        <f t="shared" si="0"/>
        <v>1.0231295044912188</v>
      </c>
      <c r="F41" s="152">
        <f>+'Central Budget'!F40+'Local Government'!F45</f>
        <v>40446804.575853661</v>
      </c>
      <c r="G41" s="283">
        <f t="shared" si="2"/>
        <v>1.0845101106275281</v>
      </c>
      <c r="H41" s="204">
        <f t="shared" si="3"/>
        <v>-2289189.7058536559</v>
      </c>
      <c r="I41" s="289">
        <f t="shared" si="4"/>
        <v>-5.659754163176288</v>
      </c>
      <c r="J41" s="152">
        <f>+'Central Budget'!N40+'Local Government'!J45</f>
        <v>32301149.009999998</v>
      </c>
      <c r="K41" s="283">
        <f t="shared" si="1"/>
        <v>0.89106617958620693</v>
      </c>
      <c r="L41" s="204">
        <f t="shared" si="5"/>
        <v>5856465.8600000069</v>
      </c>
      <c r="M41" s="289">
        <f t="shared" si="6"/>
        <v>18.13082828164076</v>
      </c>
      <c r="BH41" s="159"/>
      <c r="BI41" s="159"/>
      <c r="BJ41" s="143"/>
      <c r="BK41" s="143"/>
      <c r="BL41" s="143"/>
      <c r="BM41" s="140"/>
    </row>
    <row r="42" spans="1:65" ht="13.5" customHeight="1">
      <c r="B42" s="80">
        <v>414</v>
      </c>
      <c r="C42" s="93" t="s">
        <v>429</v>
      </c>
      <c r="D42" s="152">
        <f>+'Central Budget'!D41+'Local Government'!D46</f>
        <v>68267511.109999999</v>
      </c>
      <c r="E42" s="283">
        <f t="shared" si="0"/>
        <v>1.830473551682531</v>
      </c>
      <c r="F42" s="152">
        <f>+'Central Budget'!F41+'Local Government'!F46</f>
        <v>55430012.38941177</v>
      </c>
      <c r="G42" s="283">
        <f t="shared" si="2"/>
        <v>1.4862585437568514</v>
      </c>
      <c r="H42" s="204">
        <f t="shared" si="3"/>
        <v>12837498.72058823</v>
      </c>
      <c r="I42" s="289">
        <f t="shared" si="4"/>
        <v>23.159833756487586</v>
      </c>
      <c r="J42" s="152">
        <f>+'Central Budget'!N41+'Local Government'!J46</f>
        <v>68316199.812999994</v>
      </c>
      <c r="K42" s="283">
        <f t="shared" si="1"/>
        <v>1.8845848224275861</v>
      </c>
      <c r="L42" s="204">
        <f t="shared" si="5"/>
        <v>-48688.702999994159</v>
      </c>
      <c r="M42" s="289">
        <f t="shared" si="6"/>
        <v>-7.1269630238901982E-2</v>
      </c>
      <c r="BH42" s="159"/>
      <c r="BI42" s="159"/>
      <c r="BJ42" s="143"/>
      <c r="BK42" s="143"/>
      <c r="BL42" s="143"/>
      <c r="BM42" s="140"/>
    </row>
    <row r="43" spans="1:65" ht="13.5" customHeight="1">
      <c r="B43" s="80">
        <v>415</v>
      </c>
      <c r="C43" s="93" t="s">
        <v>430</v>
      </c>
      <c r="D43" s="152">
        <f>+'Central Budget'!D42+'Local Government'!D47</f>
        <v>26167946.659999996</v>
      </c>
      <c r="E43" s="283">
        <f t="shared" si="0"/>
        <v>0.70164758439469088</v>
      </c>
      <c r="F43" s="152">
        <f>+'Central Budget'!F42+'Local Government'!F47</f>
        <v>28246650.808856778</v>
      </c>
      <c r="G43" s="283">
        <f t="shared" si="2"/>
        <v>0.75738438956580711</v>
      </c>
      <c r="H43" s="204">
        <f t="shared" si="3"/>
        <v>-2078704.1488567814</v>
      </c>
      <c r="I43" s="289">
        <f t="shared" si="4"/>
        <v>-7.359117238086867</v>
      </c>
      <c r="J43" s="152">
        <f>+'Central Budget'!N42+'Local Government'!J47</f>
        <v>24877216.219999995</v>
      </c>
      <c r="K43" s="283">
        <f t="shared" si="1"/>
        <v>0.6862680336551723</v>
      </c>
      <c r="L43" s="204">
        <f t="shared" si="5"/>
        <v>1290730.4400000013</v>
      </c>
      <c r="M43" s="289">
        <f t="shared" si="6"/>
        <v>5.1884038333932239</v>
      </c>
      <c r="BH43" s="159"/>
      <c r="BI43" s="159"/>
      <c r="BJ43" s="143"/>
      <c r="BK43" s="143"/>
      <c r="BL43" s="143"/>
      <c r="BM43" s="140"/>
    </row>
    <row r="44" spans="1:65" ht="13.5" customHeight="1">
      <c r="B44" s="80">
        <v>416</v>
      </c>
      <c r="C44" s="93" t="s">
        <v>79</v>
      </c>
      <c r="D44" s="152">
        <f>+'Central Budget'!D43+'Local Government'!D48</f>
        <v>85426007.729999989</v>
      </c>
      <c r="E44" s="283">
        <f t="shared" si="0"/>
        <v>2.2905485381418416</v>
      </c>
      <c r="F44" s="152">
        <f>+'Central Budget'!F43+'Local Government'!F48</f>
        <v>81388055.47815755</v>
      </c>
      <c r="G44" s="283">
        <f t="shared" si="2"/>
        <v>2.1822779321130863</v>
      </c>
      <c r="H44" s="204">
        <f t="shared" si="3"/>
        <v>4037952.2518424392</v>
      </c>
      <c r="I44" s="289">
        <f t="shared" si="4"/>
        <v>4.9613573246336102</v>
      </c>
      <c r="J44" s="152">
        <f>+'Central Budget'!N43+'Local Government'!J48</f>
        <v>86245572.049999982</v>
      </c>
      <c r="K44" s="283">
        <f t="shared" si="1"/>
        <v>2.379188194482758</v>
      </c>
      <c r="L44" s="204">
        <f t="shared" si="5"/>
        <v>-819564.31999999285</v>
      </c>
      <c r="M44" s="289">
        <f t="shared" si="6"/>
        <v>-0.9502682868459118</v>
      </c>
      <c r="BH44" s="159"/>
      <c r="BI44" s="159"/>
      <c r="BJ44" s="143"/>
      <c r="BK44" s="143"/>
      <c r="BL44" s="143"/>
      <c r="BM44" s="140"/>
    </row>
    <row r="45" spans="1:65" ht="13.5" customHeight="1">
      <c r="B45" s="80">
        <v>417</v>
      </c>
      <c r="C45" s="93" t="s">
        <v>81</v>
      </c>
      <c r="D45" s="152">
        <f>+'Central Budget'!D44+'Local Government'!D49</f>
        <v>10102415.99</v>
      </c>
      <c r="E45" s="283">
        <f t="shared" si="0"/>
        <v>0.27087856254189568</v>
      </c>
      <c r="F45" s="152">
        <f>+'Central Budget'!F44+'Local Government'!F49</f>
        <v>9884429.1819118429</v>
      </c>
      <c r="G45" s="283">
        <f t="shared" si="2"/>
        <v>0.26503362868780916</v>
      </c>
      <c r="H45" s="204">
        <f t="shared" si="3"/>
        <v>217986.80808815733</v>
      </c>
      <c r="I45" s="289">
        <f t="shared" si="4"/>
        <v>2.2053555554534654</v>
      </c>
      <c r="J45" s="152">
        <f>+'Central Budget'!N44+'Local Government'!J49</f>
        <v>8501798.0199999996</v>
      </c>
      <c r="K45" s="283">
        <f t="shared" si="1"/>
        <v>0.23453235917241377</v>
      </c>
      <c r="L45" s="204">
        <f t="shared" si="5"/>
        <v>1600617.9700000007</v>
      </c>
      <c r="M45" s="289">
        <f t="shared" si="6"/>
        <v>18.82681717719754</v>
      </c>
      <c r="BH45" s="159"/>
      <c r="BI45" s="159"/>
      <c r="BJ45" s="143"/>
      <c r="BK45" s="143"/>
      <c r="BL45" s="143"/>
      <c r="BM45" s="140"/>
    </row>
    <row r="46" spans="1:65" ht="13.5" customHeight="1">
      <c r="B46" s="80">
        <v>418</v>
      </c>
      <c r="C46" s="93" t="s">
        <v>83</v>
      </c>
      <c r="D46" s="152">
        <f>+'Central Budget'!D45+'Local Government'!D50</f>
        <v>27846151.860000003</v>
      </c>
      <c r="E46" s="283">
        <f t="shared" si="0"/>
        <v>0.74664571283013814</v>
      </c>
      <c r="F46" s="152">
        <f>+'Central Budget'!F45+'Local Government'!F50</f>
        <v>27733663.078741219</v>
      </c>
      <c r="G46" s="283">
        <f t="shared" si="2"/>
        <v>0.7436295234948711</v>
      </c>
      <c r="H46" s="204">
        <f t="shared" si="3"/>
        <v>112488.78125878423</v>
      </c>
      <c r="I46" s="289">
        <f t="shared" si="4"/>
        <v>0.40560376369830919</v>
      </c>
      <c r="J46" s="152">
        <f>+'Central Budget'!N45+'Local Government'!J50</f>
        <v>20290677.84</v>
      </c>
      <c r="K46" s="283">
        <f t="shared" si="1"/>
        <v>0.5597428369655173</v>
      </c>
      <c r="L46" s="204">
        <f t="shared" si="5"/>
        <v>7555474.0200000033</v>
      </c>
      <c r="M46" s="289">
        <f t="shared" si="6"/>
        <v>37.236183431514206</v>
      </c>
      <c r="BH46" s="159"/>
      <c r="BI46" s="159"/>
      <c r="BJ46" s="143"/>
      <c r="BK46" s="143"/>
      <c r="BL46" s="143"/>
      <c r="BM46" s="140"/>
    </row>
    <row r="47" spans="1:65" ht="13.5" customHeight="1">
      <c r="B47" s="80">
        <v>419</v>
      </c>
      <c r="C47" s="93" t="s">
        <v>85</v>
      </c>
      <c r="D47" s="152">
        <f>+'Central Budget'!D46+'Local Government'!D51</f>
        <v>37458952.199999996</v>
      </c>
      <c r="E47" s="283">
        <f t="shared" si="0"/>
        <v>1.0043960906287706</v>
      </c>
      <c r="F47" s="152">
        <f>+'Central Budget'!F46+'Local Government'!F51</f>
        <v>36960624.368210807</v>
      </c>
      <c r="G47" s="283">
        <f t="shared" si="2"/>
        <v>0.99103430401423276</v>
      </c>
      <c r="H47" s="204">
        <f t="shared" si="3"/>
        <v>498327.83178918809</v>
      </c>
      <c r="I47" s="289">
        <f t="shared" si="4"/>
        <v>1.3482668117960515</v>
      </c>
      <c r="J47" s="152">
        <f>'Central Budget'!N46+'Local Government'!J51</f>
        <v>33159016.52</v>
      </c>
      <c r="K47" s="283">
        <f t="shared" si="1"/>
        <v>0.91473149020689648</v>
      </c>
      <c r="L47" s="204">
        <f t="shared" si="5"/>
        <v>4299935.679999996</v>
      </c>
      <c r="M47" s="289">
        <f t="shared" si="6"/>
        <v>12.967621272502058</v>
      </c>
      <c r="BH47" s="159"/>
      <c r="BI47" s="159"/>
      <c r="BJ47" s="143"/>
      <c r="BK47" s="143"/>
      <c r="BL47" s="143"/>
      <c r="BM47" s="140"/>
    </row>
    <row r="48" spans="1:65" ht="13.5" customHeight="1">
      <c r="B48" s="80">
        <v>441</v>
      </c>
      <c r="C48" s="93" t="s">
        <v>129</v>
      </c>
      <c r="D48" s="152">
        <f>'Central Budget'!D47</f>
        <v>35777453.129999995</v>
      </c>
      <c r="E48" s="283">
        <f t="shared" si="0"/>
        <v>0.95930964284756648</v>
      </c>
      <c r="F48" s="152">
        <f>+'Central Budget'!F47</f>
        <v>36042253.979999997</v>
      </c>
      <c r="G48" s="283">
        <f t="shared" si="2"/>
        <v>0.96640981311167717</v>
      </c>
      <c r="H48" s="204">
        <f>+D48-F48</f>
        <v>-264800.85000000149</v>
      </c>
      <c r="I48" s="289">
        <f t="shared" si="4"/>
        <v>-0.73469558853599892</v>
      </c>
      <c r="J48" s="152">
        <f>+'Central Budget'!N47</f>
        <v>28485480.849999994</v>
      </c>
      <c r="K48" s="283">
        <f t="shared" si="1"/>
        <v>0.78580636827586192</v>
      </c>
      <c r="L48" s="204">
        <f t="shared" si="5"/>
        <v>7291972.2800000012</v>
      </c>
      <c r="M48" s="289">
        <f t="shared" si="6"/>
        <v>25.598908856053242</v>
      </c>
      <c r="BH48" s="159"/>
      <c r="BI48" s="159"/>
      <c r="BJ48" s="143"/>
      <c r="BK48" s="143"/>
      <c r="BL48" s="143"/>
      <c r="BM48" s="140"/>
    </row>
    <row r="49" spans="1:65" ht="13.5" customHeight="1">
      <c r="A49" s="80">
        <v>42</v>
      </c>
      <c r="B49" s="80">
        <v>42</v>
      </c>
      <c r="C49" s="93" t="s">
        <v>86</v>
      </c>
      <c r="D49" s="94">
        <f>SUM(D50:D54)</f>
        <v>556082142.89999986</v>
      </c>
      <c r="E49" s="283">
        <f t="shared" si="0"/>
        <v>14.910367151092634</v>
      </c>
      <c r="F49" s="94">
        <f>SUM(F50:F54)</f>
        <v>578607302.59993637</v>
      </c>
      <c r="G49" s="283">
        <f t="shared" si="2"/>
        <v>15.514339793536303</v>
      </c>
      <c r="H49" s="202">
        <f t="shared" si="3"/>
        <v>-22525159.699936509</v>
      </c>
      <c r="I49" s="289">
        <f t="shared" si="4"/>
        <v>-3.8929960957494103</v>
      </c>
      <c r="J49" s="94">
        <f>SUM(J50:J54)</f>
        <v>487859572.84000009</v>
      </c>
      <c r="K49" s="283">
        <f t="shared" si="1"/>
        <v>13.458195112827589</v>
      </c>
      <c r="L49" s="202">
        <f t="shared" si="5"/>
        <v>68222570.059999764</v>
      </c>
      <c r="M49" s="289">
        <f t="shared" si="6"/>
        <v>13.984058909175957</v>
      </c>
      <c r="BH49" s="159"/>
      <c r="BI49" s="159"/>
      <c r="BJ49" s="143"/>
      <c r="BK49" s="143"/>
      <c r="BL49" s="143"/>
      <c r="BM49" s="140"/>
    </row>
    <row r="50" spans="1:65" ht="13.5" customHeight="1">
      <c r="B50" s="80">
        <v>421</v>
      </c>
      <c r="C50" s="97" t="s">
        <v>88</v>
      </c>
      <c r="D50" s="154">
        <f>+'Central Budget'!D49+'Local Government'!D53</f>
        <v>115152252.88999997</v>
      </c>
      <c r="E50" s="282">
        <f t="shared" si="0"/>
        <v>3.0876056546453938</v>
      </c>
      <c r="F50" s="154">
        <f>+'Central Budget'!F49+'Local Government'!F53</f>
        <v>89680073.819936469</v>
      </c>
      <c r="G50" s="282">
        <f t="shared" si="2"/>
        <v>2.4046138576199616</v>
      </c>
      <c r="H50" s="205">
        <f t="shared" si="3"/>
        <v>25472179.070063502</v>
      </c>
      <c r="I50" s="288">
        <f t="shared" si="4"/>
        <v>28.403387714875947</v>
      </c>
      <c r="J50" s="154">
        <f>+'Central Budget'!N49+'Local Government'!J53</f>
        <v>61653817.389999993</v>
      </c>
      <c r="K50" s="282">
        <f t="shared" si="1"/>
        <v>1.7007949624827583</v>
      </c>
      <c r="L50" s="205">
        <f t="shared" si="5"/>
        <v>53498435.499999978</v>
      </c>
      <c r="M50" s="288">
        <f t="shared" si="6"/>
        <v>86.772300183114396</v>
      </c>
      <c r="BH50" s="159"/>
      <c r="BI50" s="159"/>
      <c r="BJ50" s="143"/>
      <c r="BK50" s="143"/>
      <c r="BL50" s="143"/>
      <c r="BM50" s="140"/>
    </row>
    <row r="51" spans="1:65" ht="13.5" customHeight="1">
      <c r="B51" s="80">
        <v>422</v>
      </c>
      <c r="C51" s="97" t="s">
        <v>90</v>
      </c>
      <c r="D51" s="154">
        <f>+'Central Budget'!D50+'Local Government'!D54</f>
        <v>22568289.629999999</v>
      </c>
      <c r="E51" s="282">
        <f t="shared" si="0"/>
        <v>0.60512909585735353</v>
      </c>
      <c r="F51" s="154">
        <f>+'Central Budget'!F50+'Local Government'!F54</f>
        <v>25718132</v>
      </c>
      <c r="G51" s="282">
        <f t="shared" si="2"/>
        <v>0.68958659337712824</v>
      </c>
      <c r="H51" s="205">
        <f t="shared" si="3"/>
        <v>-3149842.370000001</v>
      </c>
      <c r="I51" s="288">
        <f t="shared" si="4"/>
        <v>-12.247555032379495</v>
      </c>
      <c r="J51" s="154">
        <f>+'Central Budget'!N50+'Local Government'!J54</f>
        <v>16655316.650000002</v>
      </c>
      <c r="K51" s="282">
        <f t="shared" si="1"/>
        <v>0.45945701103448278</v>
      </c>
      <c r="L51" s="205">
        <f t="shared" si="5"/>
        <v>5912972.9799999967</v>
      </c>
      <c r="M51" s="288">
        <f t="shared" si="6"/>
        <v>35.502014787572335</v>
      </c>
      <c r="BH51" s="159"/>
      <c r="BI51" s="159"/>
      <c r="BJ51" s="143"/>
      <c r="BK51" s="143"/>
      <c r="BL51" s="143"/>
      <c r="BM51" s="140"/>
    </row>
    <row r="52" spans="1:65" ht="13.5" customHeight="1">
      <c r="B52" s="80">
        <v>423</v>
      </c>
      <c r="C52" s="97" t="s">
        <v>92</v>
      </c>
      <c r="D52" s="154">
        <f>+'Central Budget'!D51</f>
        <v>390815633.62999994</v>
      </c>
      <c r="E52" s="282">
        <f t="shared" si="0"/>
        <v>10.479035624882691</v>
      </c>
      <c r="F52" s="154">
        <f>+'Central Budget'!F51</f>
        <v>438109035.36999995</v>
      </c>
      <c r="G52" s="282">
        <f t="shared" si="2"/>
        <v>11.747125227778522</v>
      </c>
      <c r="H52" s="205">
        <f t="shared" si="3"/>
        <v>-47293401.74000001</v>
      </c>
      <c r="I52" s="288">
        <f t="shared" si="4"/>
        <v>-10.794893033890276</v>
      </c>
      <c r="J52" s="154">
        <f>+'Central Budget'!N51</f>
        <v>387038896.73000014</v>
      </c>
      <c r="K52" s="282">
        <f t="shared" si="1"/>
        <v>10.676935082206901</v>
      </c>
      <c r="L52" s="205">
        <f t="shared" si="5"/>
        <v>3776736.8999997973</v>
      </c>
      <c r="M52" s="288">
        <f t="shared" si="6"/>
        <v>0.97580293141297147</v>
      </c>
      <c r="BH52" s="159"/>
      <c r="BI52" s="159"/>
      <c r="BJ52" s="143"/>
      <c r="BK52" s="143"/>
      <c r="BL52" s="143"/>
      <c r="BM52" s="140"/>
    </row>
    <row r="53" spans="1:65" ht="13.5" customHeight="1">
      <c r="B53" s="80">
        <v>424</v>
      </c>
      <c r="C53" s="97" t="s">
        <v>94</v>
      </c>
      <c r="D53" s="154">
        <f>+'Central Budget'!D52</f>
        <v>16279749.999999996</v>
      </c>
      <c r="E53" s="282">
        <f t="shared" si="0"/>
        <v>0.43651293739107111</v>
      </c>
      <c r="F53" s="154">
        <f>+'Central Budget'!F52</f>
        <v>15001000</v>
      </c>
      <c r="G53" s="282">
        <f t="shared" si="2"/>
        <v>0.40222549939670199</v>
      </c>
      <c r="H53" s="205">
        <f t="shared" si="3"/>
        <v>1278749.9999999963</v>
      </c>
      <c r="I53" s="288">
        <f t="shared" si="4"/>
        <v>8.5244317045530096</v>
      </c>
      <c r="J53" s="154">
        <f>+'Central Budget'!N52</f>
        <v>14449999.999999998</v>
      </c>
      <c r="K53" s="282">
        <f t="shared" si="1"/>
        <v>0.39862068965517233</v>
      </c>
      <c r="L53" s="205">
        <f t="shared" si="5"/>
        <v>1829749.9999999981</v>
      </c>
      <c r="M53" s="288">
        <f t="shared" si="6"/>
        <v>12.662629757785453</v>
      </c>
      <c r="BH53" s="159"/>
      <c r="BI53" s="159"/>
      <c r="BJ53" s="143"/>
      <c r="BK53" s="143"/>
      <c r="BL53" s="143"/>
      <c r="BM53" s="140"/>
    </row>
    <row r="54" spans="1:65" ht="13.5" customHeight="1">
      <c r="B54" s="80">
        <v>425</v>
      </c>
      <c r="C54" s="97" t="s">
        <v>431</v>
      </c>
      <c r="D54" s="154">
        <f>+'Central Budget'!D53</f>
        <v>11266216.75</v>
      </c>
      <c r="E54" s="282">
        <f t="shared" si="0"/>
        <v>0.30208383831612817</v>
      </c>
      <c r="F54" s="154">
        <f>+'Central Budget'!F53</f>
        <v>10099061.41</v>
      </c>
      <c r="G54" s="282">
        <f t="shared" si="2"/>
        <v>0.27078861536398979</v>
      </c>
      <c r="H54" s="205">
        <f t="shared" si="3"/>
        <v>1167155.3399999999</v>
      </c>
      <c r="I54" s="288">
        <f t="shared" si="4"/>
        <v>11.557067460192826</v>
      </c>
      <c r="J54" s="154">
        <f>+'Central Budget'!N53</f>
        <v>8061542.0699999994</v>
      </c>
      <c r="K54" s="282">
        <f t="shared" si="1"/>
        <v>0.22238736744827586</v>
      </c>
      <c r="L54" s="205">
        <f t="shared" si="5"/>
        <v>3204674.6800000006</v>
      </c>
      <c r="M54" s="288">
        <f t="shared" si="6"/>
        <v>39.752626137445702</v>
      </c>
      <c r="BH54" s="159"/>
      <c r="BI54" s="159"/>
      <c r="BJ54" s="143"/>
      <c r="BK54" s="143"/>
      <c r="BL54" s="143"/>
      <c r="BM54" s="140"/>
    </row>
    <row r="55" spans="1:65" ht="13.5" customHeight="1">
      <c r="A55" s="80">
        <v>43</v>
      </c>
      <c r="B55" s="80">
        <v>43</v>
      </c>
      <c r="C55" s="93" t="s">
        <v>432</v>
      </c>
      <c r="D55" s="94">
        <f>+SUM(D56:D57)</f>
        <v>213172214.00999999</v>
      </c>
      <c r="E55" s="283">
        <f t="shared" si="0"/>
        <v>5.7158389599141977</v>
      </c>
      <c r="F55" s="94">
        <f>+SUM(F56:F57)</f>
        <v>211925058.98035002</v>
      </c>
      <c r="G55" s="283">
        <f t="shared" si="2"/>
        <v>5.6823986856240785</v>
      </c>
      <c r="H55" s="202">
        <f t="shared" si="3"/>
        <v>1247155.0296499729</v>
      </c>
      <c r="I55" s="289">
        <f t="shared" si="4"/>
        <v>0.58848870239813778</v>
      </c>
      <c r="J55" s="94">
        <f>+SUM(J56:J57)</f>
        <v>174040857.17999998</v>
      </c>
      <c r="K55" s="283">
        <f t="shared" si="1"/>
        <v>4.8011270946206892</v>
      </c>
      <c r="L55" s="202">
        <f t="shared" si="5"/>
        <v>39131356.830000013</v>
      </c>
      <c r="M55" s="289">
        <f t="shared" si="6"/>
        <v>22.484006034013504</v>
      </c>
      <c r="BH55" s="159"/>
      <c r="BI55" s="159"/>
      <c r="BJ55" s="143"/>
      <c r="BK55" s="143"/>
      <c r="BL55" s="143"/>
      <c r="BM55" s="140"/>
    </row>
    <row r="56" spans="1:65" ht="13.5" customHeight="1">
      <c r="A56" s="80">
        <v>999</v>
      </c>
      <c r="B56" s="80">
        <v>431</v>
      </c>
      <c r="C56" s="97" t="s">
        <v>432</v>
      </c>
      <c r="D56" s="154">
        <f>+'Central Budget'!D55+'Local Government'!D56</f>
        <v>193655264.65000001</v>
      </c>
      <c r="E56" s="282">
        <f t="shared" si="0"/>
        <v>5.1925262005630781</v>
      </c>
      <c r="F56" s="154">
        <f>+'Central Budget'!F55+'Local Government'!F56</f>
        <v>195876444.00907061</v>
      </c>
      <c r="G56" s="282">
        <f t="shared" si="2"/>
        <v>5.2520832285579999</v>
      </c>
      <c r="H56" s="205">
        <f t="shared" si="3"/>
        <v>-2221179.3590705991</v>
      </c>
      <c r="I56" s="288">
        <f t="shared" si="4"/>
        <v>-1.1339696155438332</v>
      </c>
      <c r="J56" s="154">
        <f>+'Central Budget'!N55+'Local Government'!J56</f>
        <v>156599254.57999998</v>
      </c>
      <c r="K56" s="282">
        <f t="shared" si="1"/>
        <v>4.3199794366896551</v>
      </c>
      <c r="L56" s="205">
        <f t="shared" si="5"/>
        <v>37056010.070000023</v>
      </c>
      <c r="M56" s="288">
        <f t="shared" si="6"/>
        <v>23.662954315705036</v>
      </c>
      <c r="BH56" s="159"/>
      <c r="BI56" s="159"/>
      <c r="BJ56" s="143"/>
      <c r="BK56" s="143"/>
      <c r="BL56" s="143"/>
      <c r="BM56" s="140"/>
    </row>
    <row r="57" spans="1:65" ht="13.5" customHeight="1" thickBot="1">
      <c r="A57" s="80" t="s">
        <v>427</v>
      </c>
      <c r="B57" s="80">
        <v>432</v>
      </c>
      <c r="C57" s="97" t="s">
        <v>433</v>
      </c>
      <c r="D57" s="154">
        <f>+'Central Budget'!D56+'Local Government'!D57</f>
        <v>19516949.359999999</v>
      </c>
      <c r="E57" s="282">
        <f t="shared" si="0"/>
        <v>0.52331275935111943</v>
      </c>
      <c r="F57" s="154">
        <f>+'Central Budget'!F56+'Local Government'!F57</f>
        <v>16048614.971279399</v>
      </c>
      <c r="G57" s="282">
        <f t="shared" si="2"/>
        <v>0.43031545706607849</v>
      </c>
      <c r="H57" s="205">
        <f t="shared" si="3"/>
        <v>3468334.3887205999</v>
      </c>
      <c r="I57" s="288">
        <f t="shared" si="4"/>
        <v>21.611425004136066</v>
      </c>
      <c r="J57" s="154">
        <f>+'Central Budget'!N56+'Local Government'!J57</f>
        <v>17441602.600000001</v>
      </c>
      <c r="K57" s="282">
        <f t="shared" si="1"/>
        <v>0.48114765793103459</v>
      </c>
      <c r="L57" s="205">
        <f t="shared" si="5"/>
        <v>2075346.7599999979</v>
      </c>
      <c r="M57" s="288">
        <f t="shared" si="6"/>
        <v>11.898830672819003</v>
      </c>
      <c r="BH57" s="159"/>
      <c r="BI57" s="159"/>
      <c r="BJ57" s="143"/>
      <c r="BK57" s="143"/>
      <c r="BL57" s="143"/>
      <c r="BM57" s="140"/>
    </row>
    <row r="58" spans="1:65" ht="13.5" customHeight="1" thickTop="1" thickBot="1">
      <c r="B58" s="80">
        <v>44</v>
      </c>
      <c r="C58" s="176" t="s">
        <v>130</v>
      </c>
      <c r="D58" s="175">
        <f>+'Central Budget'!D57+'Local Government'!D58</f>
        <v>105855270.84</v>
      </c>
      <c r="E58" s="280">
        <f t="shared" si="0"/>
        <v>2.8383233902667921</v>
      </c>
      <c r="F58" s="175">
        <f>+'Central Budget'!F57+'Local Government'!F58</f>
        <v>149496589.53836012</v>
      </c>
      <c r="G58" s="280">
        <f t="shared" si="2"/>
        <v>4.0084887930918383</v>
      </c>
      <c r="H58" s="175">
        <f t="shared" si="3"/>
        <v>-43641318.698360115</v>
      </c>
      <c r="I58" s="280">
        <f t="shared" si="4"/>
        <v>-29.192183469283734</v>
      </c>
      <c r="J58" s="175">
        <f>+'Central Budget'!N57+'Local Government'!J58</f>
        <v>268135951.47000003</v>
      </c>
      <c r="K58" s="280">
        <f t="shared" si="1"/>
        <v>7.3968538336551735</v>
      </c>
      <c r="L58" s="175">
        <f t="shared" si="5"/>
        <v>-162280680.63000003</v>
      </c>
      <c r="M58" s="280">
        <f t="shared" si="6"/>
        <v>-60.521791181051881</v>
      </c>
      <c r="BH58" s="159"/>
      <c r="BI58" s="159"/>
      <c r="BJ58" s="143"/>
      <c r="BK58" s="143"/>
      <c r="BL58" s="143"/>
      <c r="BM58" s="140"/>
    </row>
    <row r="59" spans="1:65" ht="13.5" customHeight="1" thickTop="1">
      <c r="B59" s="80">
        <v>451</v>
      </c>
      <c r="C59" s="93" t="s">
        <v>110</v>
      </c>
      <c r="D59" s="152">
        <f>+'Central Budget'!D58+'Local Government'!D59</f>
        <v>3541751.9299999997</v>
      </c>
      <c r="E59" s="283">
        <f t="shared" si="0"/>
        <v>9.496586486124145E-2</v>
      </c>
      <c r="F59" s="152">
        <f>+'Central Budget'!F58+'Local Government'!F59</f>
        <v>3131972.8780779401</v>
      </c>
      <c r="G59" s="283">
        <f t="shared" si="2"/>
        <v>8.3978358441558931E-2</v>
      </c>
      <c r="H59" s="204">
        <f t="shared" si="3"/>
        <v>409779.05192205962</v>
      </c>
      <c r="I59" s="289">
        <f t="shared" si="4"/>
        <v>13.083735647594025</v>
      </c>
      <c r="J59" s="152">
        <f>+'Central Budget'!N58+'Local Government'!J59</f>
        <v>4699224.2699999996</v>
      </c>
      <c r="K59" s="283">
        <f t="shared" si="1"/>
        <v>0.12963377296551723</v>
      </c>
      <c r="L59" s="204">
        <f t="shared" si="5"/>
        <v>-1157472.3399999999</v>
      </c>
      <c r="M59" s="289">
        <f t="shared" si="6"/>
        <v>-24.631136406690374</v>
      </c>
      <c r="BH59" s="159"/>
      <c r="BI59" s="159"/>
      <c r="BJ59" s="143"/>
      <c r="BK59" s="143"/>
      <c r="BL59" s="143"/>
      <c r="BM59" s="140"/>
    </row>
    <row r="60" spans="1:65" ht="13.5" customHeight="1" thickBot="1">
      <c r="B60" s="80">
        <v>47</v>
      </c>
      <c r="C60" s="93" t="s">
        <v>117</v>
      </c>
      <c r="D60" s="152">
        <f>+'Central Budget'!D59+'Local Government'!D60</f>
        <v>20839243.77</v>
      </c>
      <c r="E60" s="283">
        <f t="shared" si="0"/>
        <v>0.55876776431156983</v>
      </c>
      <c r="F60" s="152">
        <f>+'Central Budget'!F59+'Local Government'!F60</f>
        <v>20536101.382157862</v>
      </c>
      <c r="G60" s="283">
        <f t="shared" si="2"/>
        <v>0.55063953297111845</v>
      </c>
      <c r="H60" s="204">
        <f t="shared" si="3"/>
        <v>303142.38784213737</v>
      </c>
      <c r="I60" s="289">
        <f t="shared" si="4"/>
        <v>1.4761438025696236</v>
      </c>
      <c r="J60" s="152">
        <f>+'Central Budget'!N59+'Local Government'!J60</f>
        <v>18527677.710000001</v>
      </c>
      <c r="K60" s="283">
        <f t="shared" si="1"/>
        <v>0.5111083506206896</v>
      </c>
      <c r="L60" s="204">
        <f t="shared" si="5"/>
        <v>2311566.0599999987</v>
      </c>
      <c r="M60" s="289">
        <f t="shared" si="6"/>
        <v>12.47628599860829</v>
      </c>
      <c r="BH60" s="159"/>
      <c r="BI60" s="159"/>
      <c r="BJ60" s="143"/>
      <c r="BK60" s="143"/>
      <c r="BL60" s="143"/>
      <c r="BM60" s="140"/>
    </row>
    <row r="61" spans="1:65" ht="13.5" customHeight="1" thickTop="1" thickBot="1">
      <c r="B61" s="80">
        <v>462</v>
      </c>
      <c r="C61" s="146" t="s">
        <v>112</v>
      </c>
      <c r="D61" s="161">
        <f>'Central Budget'!D60+'Local Government'!D61</f>
        <v>0</v>
      </c>
      <c r="E61" s="284">
        <f t="shared" si="0"/>
        <v>0</v>
      </c>
      <c r="F61" s="161">
        <f>+'Central Budget'!F60+'Local Government'!F61</f>
        <v>0</v>
      </c>
      <c r="G61" s="284">
        <f t="shared" si="2"/>
        <v>0</v>
      </c>
      <c r="H61" s="206">
        <f t="shared" si="3"/>
        <v>0</v>
      </c>
      <c r="I61" s="261" t="e">
        <f t="shared" si="4"/>
        <v>#DIV/0!</v>
      </c>
      <c r="J61" s="161">
        <f>'Central Budget'!N60+'Local Government'!J61</f>
        <v>0</v>
      </c>
      <c r="K61" s="284">
        <f t="shared" si="1"/>
        <v>0</v>
      </c>
      <c r="L61" s="206">
        <f t="shared" si="5"/>
        <v>0</v>
      </c>
      <c r="M61" s="290" t="e">
        <f t="shared" si="6"/>
        <v>#DIV/0!</v>
      </c>
      <c r="BH61" s="159"/>
      <c r="BI61" s="159"/>
      <c r="BJ61" s="143"/>
      <c r="BK61" s="143"/>
      <c r="BL61" s="143"/>
      <c r="BM61" s="140"/>
    </row>
    <row r="62" spans="1:65" ht="13.5" customHeight="1" thickTop="1" thickBot="1">
      <c r="B62" s="301" t="s">
        <v>450</v>
      </c>
      <c r="C62" s="208" t="s">
        <v>115</v>
      </c>
      <c r="D62" s="330">
        <f>+'Central Budget'!D61+'Local Government'!D62</f>
        <v>108632309.99000001</v>
      </c>
      <c r="E62" s="285">
        <f>D62/D$11*100</f>
        <v>2.9127848234347771</v>
      </c>
      <c r="F62" s="209">
        <f>+'Central Budget'!F61+'Local Government'!F62</f>
        <v>0</v>
      </c>
      <c r="G62" s="285">
        <f>F62/D$11*100</f>
        <v>0</v>
      </c>
      <c r="H62" s="210">
        <f>+D62-F62</f>
        <v>108632309.99000001</v>
      </c>
      <c r="I62" s="261" t="e">
        <f t="shared" si="4"/>
        <v>#DIV/0!</v>
      </c>
      <c r="J62" s="209">
        <f>+'Central Budget'!N61+'Local Government'!J62</f>
        <v>124526647.39999995</v>
      </c>
      <c r="K62" s="285">
        <f>J62/J$11*100</f>
        <v>3.4352178593103431</v>
      </c>
      <c r="L62" s="210">
        <f>+D62-J62</f>
        <v>-15894337.409999937</v>
      </c>
      <c r="M62" s="291">
        <f>+D62/J62*100-100</f>
        <v>-12.763804167107082</v>
      </c>
      <c r="BH62" s="159"/>
      <c r="BI62" s="159"/>
      <c r="BJ62" s="143"/>
      <c r="BK62" s="143"/>
      <c r="BL62" s="143"/>
      <c r="BM62" s="140"/>
    </row>
    <row r="63" spans="1:65" ht="13.5" customHeight="1" thickTop="1" thickBot="1">
      <c r="B63" s="80">
        <v>990</v>
      </c>
      <c r="C63" s="145" t="s">
        <v>151</v>
      </c>
      <c r="D63" s="152">
        <f>'Central Budget'!D62+'Local Government'!D63</f>
        <v>0</v>
      </c>
      <c r="E63" s="283">
        <f t="shared" si="0"/>
        <v>0</v>
      </c>
      <c r="F63" s="152">
        <f>+'Central Budget'!F62+'Local Government'!F63</f>
        <v>0</v>
      </c>
      <c r="G63" s="283">
        <f t="shared" si="2"/>
        <v>0</v>
      </c>
      <c r="H63" s="204">
        <f t="shared" si="3"/>
        <v>0</v>
      </c>
      <c r="I63" s="261" t="e">
        <f t="shared" si="4"/>
        <v>#DIV/0!</v>
      </c>
      <c r="J63" s="152">
        <f>+'Central Budget'!N62+'Local Government'!J63</f>
        <v>-37660103.760000005</v>
      </c>
      <c r="K63" s="283">
        <f t="shared" si="1"/>
        <v>-1.0388994140689656</v>
      </c>
      <c r="L63" s="204">
        <f t="shared" si="5"/>
        <v>37660103.760000005</v>
      </c>
      <c r="M63" s="289">
        <f t="shared" si="6"/>
        <v>-100</v>
      </c>
      <c r="BH63" s="159"/>
      <c r="BI63" s="159"/>
      <c r="BJ63" s="143"/>
      <c r="BK63" s="143"/>
      <c r="BL63" s="143"/>
      <c r="BM63" s="140"/>
    </row>
    <row r="64" spans="1:65" ht="13.5" customHeight="1" thickTop="1" thickBot="1">
      <c r="C64" s="176" t="s">
        <v>131</v>
      </c>
      <c r="D64" s="171">
        <f>+D16-D36</f>
        <v>-136683389.56999969</v>
      </c>
      <c r="E64" s="280">
        <f t="shared" si="0"/>
        <v>-3.664925313580901</v>
      </c>
      <c r="F64" s="171">
        <f>+F16-F36</f>
        <v>-96506578.168209553</v>
      </c>
      <c r="G64" s="280">
        <f t="shared" si="2"/>
        <v>-2.5876545962785777</v>
      </c>
      <c r="H64" s="171">
        <f>+D64-F64</f>
        <v>-40176811.401790142</v>
      </c>
      <c r="I64" s="280">
        <f t="shared" si="4"/>
        <v>41.631163558366524</v>
      </c>
      <c r="J64" s="171">
        <f>+J16-J36</f>
        <v>-302735891.70499992</v>
      </c>
      <c r="K64" s="280">
        <f>J64/J$11*100</f>
        <v>-8.3513349435862043</v>
      </c>
      <c r="L64" s="171">
        <f t="shared" si="5"/>
        <v>166052502.13500023</v>
      </c>
      <c r="M64" s="280">
        <f t="shared" si="6"/>
        <v>-54.850616225184687</v>
      </c>
      <c r="BH64" s="159"/>
      <c r="BI64" s="159"/>
      <c r="BJ64" s="143"/>
      <c r="BK64" s="143"/>
      <c r="BL64" s="143"/>
      <c r="BM64" s="140"/>
    </row>
    <row r="65" spans="2:65" ht="13.5" customHeight="1" thickTop="1" thickBot="1">
      <c r="C65" s="319" t="s">
        <v>474</v>
      </c>
      <c r="D65" s="171"/>
      <c r="E65" s="280"/>
      <c r="F65" s="171"/>
      <c r="G65" s="280"/>
      <c r="H65" s="171"/>
      <c r="I65" s="280"/>
      <c r="J65" s="171">
        <f>J64-J63</f>
        <v>-265075787.94499993</v>
      </c>
      <c r="K65" s="280">
        <f>J65/J$11*100</f>
        <v>-7.3124355295172387</v>
      </c>
      <c r="L65" s="171"/>
      <c r="M65" s="280"/>
      <c r="BH65" s="159"/>
      <c r="BI65" s="159"/>
      <c r="BJ65" s="143"/>
      <c r="BK65" s="143"/>
      <c r="BL65" s="143"/>
      <c r="BM65" s="140"/>
    </row>
    <row r="66" spans="2:65" ht="13.5" customHeight="1" thickTop="1" thickBot="1">
      <c r="C66" s="176" t="s">
        <v>132</v>
      </c>
      <c r="D66" s="171">
        <f>+D64+D44</f>
        <v>-51257381.839999706</v>
      </c>
      <c r="E66" s="280">
        <f t="shared" si="0"/>
        <v>-1.374376775439059</v>
      </c>
      <c r="F66" s="171">
        <f>+F64-F44</f>
        <v>-177894633.6463671</v>
      </c>
      <c r="G66" s="280">
        <f t="shared" si="2"/>
        <v>-4.7699325283916645</v>
      </c>
      <c r="H66" s="171">
        <f t="shared" si="3"/>
        <v>126637251.8063674</v>
      </c>
      <c r="I66" s="280">
        <f t="shared" si="4"/>
        <v>-71.186662132881906</v>
      </c>
      <c r="J66" s="171">
        <f>+J65+J44</f>
        <v>-178830215.89499995</v>
      </c>
      <c r="K66" s="280">
        <f t="shared" si="1"/>
        <v>-4.9332473350344817</v>
      </c>
      <c r="L66" s="171">
        <f t="shared" si="5"/>
        <v>127572834.05500025</v>
      </c>
      <c r="M66" s="280">
        <f t="shared" si="6"/>
        <v>-71.337404261651486</v>
      </c>
      <c r="BH66" s="159"/>
      <c r="BI66" s="159"/>
      <c r="BJ66" s="143"/>
      <c r="BK66" s="143"/>
      <c r="BL66" s="143"/>
      <c r="BM66" s="140"/>
    </row>
    <row r="67" spans="2:65" ht="13.5" customHeight="1" thickTop="1" thickBot="1">
      <c r="C67" s="176" t="s">
        <v>0</v>
      </c>
      <c r="D67" s="171">
        <f>+SUM(D68:D69)</f>
        <v>550413782.92999983</v>
      </c>
      <c r="E67" s="280">
        <f t="shared" si="0"/>
        <v>14.758380022254988</v>
      </c>
      <c r="F67" s="171">
        <f>+SUM(F68:F70)</f>
        <v>487567836.07642889</v>
      </c>
      <c r="G67" s="280">
        <f t="shared" si="2"/>
        <v>13.073276205293711</v>
      </c>
      <c r="H67" s="171">
        <f t="shared" si="3"/>
        <v>62845946.853570938</v>
      </c>
      <c r="I67" s="280">
        <f t="shared" si="4"/>
        <v>12.889682666376601</v>
      </c>
      <c r="J67" s="171">
        <f>+SUM(J68:J69)</f>
        <v>568667012.07999992</v>
      </c>
      <c r="K67" s="280">
        <f t="shared" si="1"/>
        <v>15.687365850482756</v>
      </c>
      <c r="L67" s="171">
        <f t="shared" si="5"/>
        <v>-18253229.150000095</v>
      </c>
      <c r="M67" s="280">
        <f t="shared" si="6"/>
        <v>-3.2098273264059571</v>
      </c>
      <c r="BH67" s="159"/>
      <c r="BI67" s="159"/>
      <c r="BJ67" s="143"/>
      <c r="BK67" s="143"/>
      <c r="BL67" s="143"/>
      <c r="BM67" s="140"/>
    </row>
    <row r="68" spans="2:65" ht="13.5" customHeight="1" thickTop="1">
      <c r="B68" s="80">
        <v>4611</v>
      </c>
      <c r="C68" s="97" t="s">
        <v>134</v>
      </c>
      <c r="D68" s="154">
        <f>+'Central Budget'!D67+'Local Government'!D68</f>
        <v>240524484.88999999</v>
      </c>
      <c r="E68" s="282">
        <f t="shared" si="0"/>
        <v>6.4492421206596058</v>
      </c>
      <c r="F68" s="154">
        <f>+'Central Budget'!F67+'Local Government'!F68</f>
        <v>65659530.167376995</v>
      </c>
      <c r="G68" s="282">
        <f t="shared" si="2"/>
        <v>1.7605451177738838</v>
      </c>
      <c r="H68" s="205">
        <f t="shared" si="3"/>
        <v>174864954.72262299</v>
      </c>
      <c r="I68" s="288">
        <f t="shared" si="4"/>
        <v>266.3207523368859</v>
      </c>
      <c r="J68" s="154">
        <f>+'Central Budget'!N67+'Local Government'!J68</f>
        <v>246595858.46999997</v>
      </c>
      <c r="K68" s="282">
        <f t="shared" si="1"/>
        <v>6.8026443715862053</v>
      </c>
      <c r="L68" s="205">
        <f t="shared" si="5"/>
        <v>-6071373.5799999833</v>
      </c>
      <c r="M68" s="288">
        <f t="shared" si="6"/>
        <v>-2.4620744312859699</v>
      </c>
      <c r="BH68" s="159"/>
      <c r="BI68" s="159"/>
      <c r="BJ68" s="143"/>
      <c r="BK68" s="143"/>
      <c r="BL68" s="143"/>
      <c r="BM68" s="140"/>
    </row>
    <row r="69" spans="2:65" ht="13.5" customHeight="1">
      <c r="B69" s="80">
        <v>4612</v>
      </c>
      <c r="C69" s="97" t="s">
        <v>136</v>
      </c>
      <c r="D69" s="154">
        <f>+'Central Budget'!D68+'Local Government'!D69</f>
        <v>309889298.0399999</v>
      </c>
      <c r="E69" s="282">
        <f t="shared" si="0"/>
        <v>8.3091379015953848</v>
      </c>
      <c r="F69" s="154">
        <f>+'Central Budget'!F68+'Local Government'!F69</f>
        <v>311245116.03694373</v>
      </c>
      <c r="G69" s="282">
        <f t="shared" si="2"/>
        <v>8.3454917827307611</v>
      </c>
      <c r="H69" s="205">
        <f t="shared" si="3"/>
        <v>-1355817.9969438314</v>
      </c>
      <c r="I69" s="288">
        <f t="shared" si="4"/>
        <v>-0.43561101109226286</v>
      </c>
      <c r="J69" s="154">
        <f>+'Central Budget'!N68+'Local Government'!J69</f>
        <v>322071153.61000001</v>
      </c>
      <c r="K69" s="282">
        <f t="shared" si="1"/>
        <v>8.8847214788965534</v>
      </c>
      <c r="L69" s="205">
        <f t="shared" si="5"/>
        <v>-12181855.570000112</v>
      </c>
      <c r="M69" s="288">
        <f t="shared" si="6"/>
        <v>-3.7823491590157232</v>
      </c>
      <c r="BH69" s="159"/>
      <c r="BI69" s="159"/>
      <c r="BJ69" s="143"/>
      <c r="BK69" s="143"/>
      <c r="BL69" s="143"/>
      <c r="BM69" s="140"/>
    </row>
    <row r="70" spans="2:65" ht="13.5" customHeight="1" thickBot="1">
      <c r="B70" s="80" t="s">
        <v>451</v>
      </c>
      <c r="C70" s="97" t="s">
        <v>115</v>
      </c>
      <c r="D70" s="154">
        <f>+'Central Budget'!D69+'Local Government'!D70</f>
        <v>0</v>
      </c>
      <c r="E70" s="282">
        <f t="shared" si="0"/>
        <v>0</v>
      </c>
      <c r="F70" s="154">
        <f>+'Central Budget'!F69+'Local Government'!F70</f>
        <v>110663189.87210819</v>
      </c>
      <c r="G70" s="282">
        <f t="shared" si="2"/>
        <v>2.9672393047890653</v>
      </c>
      <c r="H70" s="205">
        <f t="shared" si="3"/>
        <v>-110663189.87210819</v>
      </c>
      <c r="I70" s="288">
        <f t="shared" si="4"/>
        <v>-100</v>
      </c>
      <c r="J70" s="154">
        <f>+IF(ISNUMBER(VLOOKUP($B70,'Central Budget'!$B$16:$O$78,'Public Expenditure'!J$1,FALSE)),VLOOKUP($B70,'Central Budget'!$B$16:$O$78,'Public Expenditure'!J$1,FALSE),0)+IF(ISNUMBER(VLOOKUP('Public Expenditure'!$B70,'Local Government'!$B$16:$M$77,'Public Expenditure'!J$1,FALSE)),VLOOKUP('Public Expenditure'!$B70,'Local Government'!$B$16:$M$77,'Public Expenditure'!J$1,FALSE),0)</f>
        <v>86493465.620000005</v>
      </c>
      <c r="K70" s="282">
        <f t="shared" si="1"/>
        <v>2.3860266377931034</v>
      </c>
      <c r="L70" s="205">
        <f t="shared" si="5"/>
        <v>-86493465.620000005</v>
      </c>
      <c r="M70" s="288">
        <f t="shared" si="6"/>
        <v>-100</v>
      </c>
      <c r="BH70" s="159"/>
      <c r="BI70" s="159"/>
      <c r="BJ70" s="143"/>
      <c r="BK70" s="143"/>
      <c r="BL70" s="143"/>
      <c r="BM70" s="140"/>
    </row>
    <row r="71" spans="2:65" ht="13.5" customHeight="1" thickTop="1" thickBot="1">
      <c r="C71" s="176" t="s">
        <v>140</v>
      </c>
      <c r="D71" s="171">
        <f>+D64-D67</f>
        <v>-687097172.49999952</v>
      </c>
      <c r="E71" s="280">
        <f t="shared" si="0"/>
        <v>-18.423305335835892</v>
      </c>
      <c r="F71" s="171">
        <f>+F64-F67</f>
        <v>-584074414.24463844</v>
      </c>
      <c r="G71" s="280">
        <f t="shared" si="2"/>
        <v>-15.660930801572286</v>
      </c>
      <c r="H71" s="171">
        <f t="shared" si="3"/>
        <v>-103022758.25536108</v>
      </c>
      <c r="I71" s="280">
        <f t="shared" si="4"/>
        <v>17.638635718805887</v>
      </c>
      <c r="J71" s="171">
        <f>+J65-J67+J77</f>
        <v>-853167003.88999987</v>
      </c>
      <c r="K71" s="280">
        <f t="shared" si="1"/>
        <v>-23.535641486620687</v>
      </c>
      <c r="L71" s="171">
        <f t="shared" si="5"/>
        <v>166069831.39000034</v>
      </c>
      <c r="M71" s="280">
        <f t="shared" si="6"/>
        <v>-19.4651024515491</v>
      </c>
      <c r="BH71" s="159"/>
      <c r="BI71" s="159"/>
      <c r="BJ71" s="143"/>
      <c r="BK71" s="143"/>
      <c r="BL71" s="143"/>
      <c r="BM71" s="140"/>
    </row>
    <row r="72" spans="2:65" ht="13.5" customHeight="1" thickTop="1" thickBot="1">
      <c r="C72" s="176" t="s">
        <v>120</v>
      </c>
      <c r="D72" s="171">
        <f>+SUM(D73:D74)-D75+D76+D77</f>
        <v>687097172.5</v>
      </c>
      <c r="E72" s="280">
        <f t="shared" si="0"/>
        <v>18.423305335835902</v>
      </c>
      <c r="F72" s="171">
        <f>+SUM(F73:F77)</f>
        <v>584074414.24463832</v>
      </c>
      <c r="G72" s="280">
        <f t="shared" si="2"/>
        <v>15.660930801572285</v>
      </c>
      <c r="H72" s="171">
        <f t="shared" si="3"/>
        <v>103022758.25536168</v>
      </c>
      <c r="I72" s="280">
        <f t="shared" si="4"/>
        <v>17.638635718806</v>
      </c>
      <c r="J72" s="171">
        <f>+SUM(J73:J76)+J63</f>
        <v>853170497.07000005</v>
      </c>
      <c r="K72" s="280">
        <f t="shared" si="1"/>
        <v>23.535737850206896</v>
      </c>
      <c r="L72" s="171">
        <f t="shared" si="5"/>
        <v>-166073324.57000005</v>
      </c>
      <c r="M72" s="280">
        <f t="shared" si="6"/>
        <v>-19.46543218973666</v>
      </c>
      <c r="BH72" s="159"/>
      <c r="BI72" s="159"/>
      <c r="BJ72" s="143"/>
      <c r="BK72" s="143"/>
      <c r="BL72" s="143"/>
      <c r="BM72" s="140"/>
    </row>
    <row r="73" spans="2:65" ht="13.5" customHeight="1" thickTop="1">
      <c r="B73" s="80">
        <v>7511</v>
      </c>
      <c r="C73" s="97" t="s">
        <v>143</v>
      </c>
      <c r="D73" s="154">
        <f>+'Central Budget'!D72+'Local Government'!D73</f>
        <v>329212313.42000002</v>
      </c>
      <c r="E73" s="282">
        <f t="shared" si="0"/>
        <v>8.8272506614827737</v>
      </c>
      <c r="F73" s="154">
        <f>+'Central Budget'!F72+'Local Government'!F73</f>
        <v>112393177.411806</v>
      </c>
      <c r="G73" s="282">
        <f t="shared" si="2"/>
        <v>3.0136258858239979</v>
      </c>
      <c r="H73" s="205">
        <f t="shared" si="3"/>
        <v>216819136.00819403</v>
      </c>
      <c r="I73" s="288">
        <f t="shared" si="4"/>
        <v>192.91129675404915</v>
      </c>
      <c r="J73" s="154">
        <f>+'Central Budget'!N72+'Local Government'!J73</f>
        <v>219053094.57000002</v>
      </c>
      <c r="K73" s="282">
        <f t="shared" si="1"/>
        <v>6.0428439881379319</v>
      </c>
      <c r="L73" s="205">
        <f t="shared" si="5"/>
        <v>110159218.84999999</v>
      </c>
      <c r="M73" s="288">
        <f t="shared" si="6"/>
        <v>50.288821103505484</v>
      </c>
      <c r="BH73" s="159"/>
      <c r="BI73" s="159"/>
      <c r="BJ73" s="143"/>
      <c r="BK73" s="143"/>
      <c r="BL73" s="143"/>
      <c r="BM73" s="140"/>
    </row>
    <row r="74" spans="2:65" ht="13.5" customHeight="1">
      <c r="B74" s="80">
        <v>7512</v>
      </c>
      <c r="C74" s="97" t="s">
        <v>121</v>
      </c>
      <c r="D74" s="154">
        <f>+'Central Budget'!D73+'Local Government'!D74</f>
        <v>325413513.94999999</v>
      </c>
      <c r="E74" s="282">
        <f t="shared" si="0"/>
        <v>8.7253925177637743</v>
      </c>
      <c r="F74" s="154">
        <f>+'Central Budget'!F73+'Local Government'!F74</f>
        <v>446949485.91478682</v>
      </c>
      <c r="G74" s="282">
        <f t="shared" si="2"/>
        <v>11.984166400718241</v>
      </c>
      <c r="H74" s="205">
        <f t="shared" si="3"/>
        <v>-121535971.96478683</v>
      </c>
      <c r="I74" s="288">
        <f t="shared" si="4"/>
        <v>-27.192328393897796</v>
      </c>
      <c r="J74" s="154">
        <f>+'Central Budget'!N73+'Local Government'!J74</f>
        <v>660712170.42999995</v>
      </c>
      <c r="K74" s="282">
        <f t="shared" si="1"/>
        <v>18.226542632551723</v>
      </c>
      <c r="L74" s="205">
        <f t="shared" si="5"/>
        <v>-335298656.47999996</v>
      </c>
      <c r="M74" s="288">
        <f t="shared" si="6"/>
        <v>-50.748067235053853</v>
      </c>
      <c r="BH74" s="159"/>
      <c r="BI74" s="159"/>
      <c r="BJ74" s="143"/>
      <c r="BK74" s="143"/>
      <c r="BL74" s="143"/>
      <c r="BM74" s="140"/>
    </row>
    <row r="75" spans="2:65" ht="13.5" customHeight="1">
      <c r="C75" s="97" t="s">
        <v>471</v>
      </c>
      <c r="D75" s="154">
        <f>'Local Government'!D77</f>
        <v>1747766.81</v>
      </c>
      <c r="E75" s="282">
        <v>1.623478895327202E-2</v>
      </c>
      <c r="F75" s="154">
        <f>+'Local Government'!F77</f>
        <v>2747998.9339044262</v>
      </c>
      <c r="G75" s="282">
        <v>1.2093987560469938E-2</v>
      </c>
      <c r="H75" s="205">
        <v>155785.22999999998</v>
      </c>
      <c r="I75" s="288">
        <v>34.238512087912085</v>
      </c>
      <c r="J75" s="154">
        <f>'Local Government'!J77</f>
        <v>1390107.69</v>
      </c>
      <c r="K75" s="282">
        <v>1.1222136551724139E-2</v>
      </c>
      <c r="L75" s="205">
        <v>203982.77999999997</v>
      </c>
      <c r="M75" s="288">
        <v>50.142957595265216</v>
      </c>
      <c r="BH75" s="159"/>
      <c r="BI75" s="159"/>
      <c r="BJ75" s="143"/>
      <c r="BK75" s="143"/>
      <c r="BL75" s="143"/>
      <c r="BM75" s="140"/>
    </row>
    <row r="76" spans="2:65" ht="13.5" customHeight="1" thickBot="1">
      <c r="B76" s="80">
        <v>72</v>
      </c>
      <c r="C76" s="103" t="s">
        <v>328</v>
      </c>
      <c r="D76" s="154">
        <f>+'Central Budget'!D74+'Local Government'!D75</f>
        <v>11131842.209999999</v>
      </c>
      <c r="E76" s="286">
        <f t="shared" si="0"/>
        <v>0.29848082075345217</v>
      </c>
      <c r="F76" s="154">
        <f>+'Central Budget'!F74+'Local Government'!F75</f>
        <v>6766481.2163877673</v>
      </c>
      <c r="G76" s="286">
        <f t="shared" si="2"/>
        <v>0.18143132367308668</v>
      </c>
      <c r="H76" s="205">
        <f t="shared" si="3"/>
        <v>4365360.9936122317</v>
      </c>
      <c r="I76" s="288">
        <f t="shared" si="4"/>
        <v>64.514492156421653</v>
      </c>
      <c r="J76" s="154">
        <f>+'Central Budget'!N74+'Local Government'!J75</f>
        <v>9675228.1400000006</v>
      </c>
      <c r="K76" s="286">
        <f t="shared" si="1"/>
        <v>0.26690284524137936</v>
      </c>
      <c r="L76" s="205">
        <f t="shared" si="5"/>
        <v>1456614.0699999984</v>
      </c>
      <c r="M76" s="288">
        <f t="shared" si="6"/>
        <v>15.05508757956791</v>
      </c>
      <c r="BH76" s="159"/>
      <c r="BI76" s="159"/>
      <c r="BJ76" s="143"/>
      <c r="BK76" s="143"/>
      <c r="BL76" s="143"/>
      <c r="BM76" s="140"/>
    </row>
    <row r="77" spans="2:65" ht="13.5" customHeight="1" thickTop="1" thickBot="1">
      <c r="C77" s="146" t="s">
        <v>124</v>
      </c>
      <c r="D77" s="147">
        <f>+'Central Budget'!D75+'Local Government'!D76</f>
        <v>23087269.72999987</v>
      </c>
      <c r="E77" s="284">
        <f t="shared" si="0"/>
        <v>0.61904463681458299</v>
      </c>
      <c r="F77" s="147">
        <f>+'Central Budget'!F75+'Local Government'!F76</f>
        <v>15217270.767753405</v>
      </c>
      <c r="G77" s="284">
        <f t="shared" si="2"/>
        <v>0.40802442063958722</v>
      </c>
      <c r="H77" s="203">
        <f t="shared" si="3"/>
        <v>7869998.9622464646</v>
      </c>
      <c r="I77" s="290">
        <f t="shared" si="4"/>
        <v>51.717545691068409</v>
      </c>
      <c r="J77" s="147">
        <f>'Central Budget'!N75+'Local Government'!J76</f>
        <v>-19424203.864999957</v>
      </c>
      <c r="K77" s="284">
        <f t="shared" si="1"/>
        <v>-0.53584010662068848</v>
      </c>
      <c r="L77" s="203">
        <f t="shared" si="5"/>
        <v>42511473.594999827</v>
      </c>
      <c r="M77" s="290">
        <f t="shared" si="6"/>
        <v>-218.85825483741093</v>
      </c>
      <c r="BH77" s="159"/>
      <c r="BI77" s="159"/>
      <c r="BJ77" s="143"/>
      <c r="BK77" s="143"/>
      <c r="BL77" s="143"/>
      <c r="BM77" s="140"/>
    </row>
    <row r="78" spans="2:65" ht="13.5" thickTop="1">
      <c r="C78" s="106" t="str">
        <f>IF(MasterSheet!$A$1=1,MasterSheet!C151,MasterSheet!B151)</f>
        <v>Izvor: Ministarstvo finansija Crne Gore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 t="s">
        <v>427</v>
      </c>
    </row>
    <row r="80" spans="2:65">
      <c r="D80" s="211"/>
    </row>
    <row r="83" spans="3:13">
      <c r="D83" s="102"/>
      <c r="F83" s="102"/>
      <c r="J83" s="102"/>
    </row>
    <row r="84" spans="3:13">
      <c r="D84" s="102"/>
      <c r="E84" s="102"/>
      <c r="F84" s="102"/>
      <c r="G84" s="102"/>
      <c r="H84" s="102"/>
      <c r="I84" s="211"/>
      <c r="J84" s="102"/>
      <c r="K84" s="102"/>
      <c r="L84" s="102"/>
      <c r="M84" s="102"/>
    </row>
    <row r="85" spans="3:13">
      <c r="C85" s="300"/>
      <c r="D85" s="102"/>
      <c r="E85" s="102"/>
      <c r="F85" s="102"/>
      <c r="G85" s="102"/>
      <c r="H85" s="102"/>
      <c r="I85" s="211"/>
      <c r="J85" s="102"/>
      <c r="K85" s="102"/>
      <c r="L85" s="102"/>
      <c r="M85" s="102"/>
    </row>
    <row r="86" spans="3:13">
      <c r="D86" s="211"/>
      <c r="E86" s="211"/>
      <c r="F86" s="211"/>
      <c r="G86" s="211"/>
      <c r="H86" s="211"/>
      <c r="I86" s="211"/>
      <c r="J86" s="211"/>
      <c r="K86" s="211"/>
      <c r="L86" s="211"/>
      <c r="M86" s="211"/>
    </row>
    <row r="88" spans="3:13">
      <c r="J88" s="309"/>
    </row>
    <row r="89" spans="3:13">
      <c r="D89" s="102"/>
      <c r="E89" s="102"/>
      <c r="F89" s="102"/>
      <c r="G89" s="102"/>
      <c r="H89" s="102"/>
      <c r="I89" s="102"/>
      <c r="J89" s="102"/>
      <c r="K89" s="102"/>
      <c r="L89" s="102"/>
    </row>
    <row r="90" spans="3:13">
      <c r="D90" s="102"/>
      <c r="E90" s="102"/>
      <c r="F90" s="102"/>
      <c r="G90" s="102"/>
      <c r="H90" s="102"/>
      <c r="I90" s="102"/>
      <c r="J90" s="102"/>
      <c r="K90" s="102"/>
      <c r="L90" s="102"/>
    </row>
    <row r="91" spans="3:13">
      <c r="D91" s="297"/>
      <c r="E91" s="297"/>
      <c r="F91" s="297"/>
      <c r="G91" s="297"/>
      <c r="H91" s="297"/>
      <c r="I91" s="297"/>
      <c r="J91" s="297"/>
      <c r="K91" s="297"/>
      <c r="L91" s="297"/>
    </row>
    <row r="92" spans="3:13">
      <c r="D92" s="211"/>
    </row>
    <row r="94" spans="3:13">
      <c r="D94" s="102"/>
      <c r="E94" s="102"/>
      <c r="F94" s="102"/>
      <c r="G94" s="102"/>
      <c r="H94" s="102"/>
      <c r="I94" s="102"/>
      <c r="J94" s="102"/>
      <c r="K94" s="102"/>
      <c r="L94" s="102"/>
    </row>
    <row r="95" spans="3:13">
      <c r="D95" s="102"/>
      <c r="E95" s="102"/>
      <c r="F95" s="102"/>
      <c r="G95" s="102"/>
      <c r="H95" s="102"/>
      <c r="I95" s="102"/>
      <c r="J95" s="102"/>
      <c r="K95" s="102"/>
      <c r="L95" s="102"/>
    </row>
    <row r="96" spans="3:13">
      <c r="D96" s="102"/>
      <c r="E96" s="102"/>
      <c r="F96" s="102"/>
      <c r="G96" s="102"/>
      <c r="H96" s="102"/>
      <c r="I96" s="102"/>
      <c r="J96" s="102"/>
      <c r="K96" s="102"/>
      <c r="L96" s="102"/>
    </row>
  </sheetData>
  <sheetProtection formatCells="0" formatColumns="0" formatRows="0" sort="0" autoFilter="0"/>
  <mergeCells count="11">
    <mergeCell ref="H11:I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7" t="s">
        <v>436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66" t="s">
        <v>195</v>
      </c>
      <c r="C3" s="366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66" t="s">
        <v>243</v>
      </c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</row>
    <row r="40" spans="2:20" ht="12.75" customHeight="1">
      <c r="B40" s="369" t="s">
        <v>238</v>
      </c>
      <c r="C40" s="369"/>
      <c r="D40" s="370" t="s">
        <v>244</v>
      </c>
      <c r="E40" s="370"/>
      <c r="F40" s="369" t="s">
        <v>239</v>
      </c>
      <c r="G40" s="369"/>
      <c r="H40" s="369"/>
      <c r="I40" s="2" t="s">
        <v>240</v>
      </c>
      <c r="J40" s="369" t="s">
        <v>241</v>
      </c>
      <c r="K40" s="369"/>
      <c r="L40" s="369"/>
      <c r="M40" s="369" t="s">
        <v>242</v>
      </c>
      <c r="N40" s="369"/>
      <c r="O40" s="369"/>
      <c r="P40" s="369"/>
    </row>
    <row r="41" spans="2:20">
      <c r="B41" s="369"/>
      <c r="C41" s="369"/>
      <c r="D41" s="370"/>
      <c r="E41" s="370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67" t="s">
        <v>222</v>
      </c>
      <c r="C42" s="15" t="s">
        <v>223</v>
      </c>
      <c r="D42" s="371" t="s">
        <v>180</v>
      </c>
      <c r="E42" s="16" t="s">
        <v>181</v>
      </c>
      <c r="F42" s="371" t="s">
        <v>246</v>
      </c>
      <c r="G42" s="371"/>
      <c r="H42" s="371"/>
      <c r="I42" s="17" t="s">
        <v>247</v>
      </c>
      <c r="J42" s="372" t="s">
        <v>248</v>
      </c>
      <c r="K42" s="372"/>
      <c r="L42" s="372"/>
      <c r="M42" s="371" t="s">
        <v>249</v>
      </c>
      <c r="N42" s="371"/>
      <c r="O42" s="371"/>
      <c r="P42" s="371"/>
    </row>
    <row r="43" spans="2:20">
      <c r="B43" s="367"/>
      <c r="C43" s="18" t="s">
        <v>224</v>
      </c>
      <c r="D43" s="371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67"/>
      <c r="C44" s="15" t="s">
        <v>225</v>
      </c>
      <c r="D44" s="371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67"/>
      <c r="C45" s="15" t="s">
        <v>226</v>
      </c>
      <c r="D45" s="371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67"/>
      <c r="C46" s="15" t="s">
        <v>227</v>
      </c>
      <c r="D46" s="371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67"/>
      <c r="C47" s="15" t="s">
        <v>228</v>
      </c>
      <c r="D47" s="371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67"/>
      <c r="C48" s="15" t="s">
        <v>229</v>
      </c>
      <c r="D48" s="371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67"/>
      <c r="C49" s="19" t="s">
        <v>230</v>
      </c>
      <c r="D49" s="371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67"/>
      <c r="C50" s="15" t="s">
        <v>231</v>
      </c>
      <c r="D50" s="371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67"/>
      <c r="C51" s="15" t="s">
        <v>378</v>
      </c>
      <c r="D51" s="371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68" t="s">
        <v>232</v>
      </c>
      <c r="C52" s="20" t="s">
        <v>233</v>
      </c>
      <c r="D52" s="371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68"/>
      <c r="C53" s="20" t="s">
        <v>234</v>
      </c>
      <c r="D53" s="371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68"/>
      <c r="C54" s="20" t="s">
        <v>235</v>
      </c>
      <c r="D54" s="371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68"/>
      <c r="C55" s="20" t="s">
        <v>374</v>
      </c>
      <c r="D55" s="371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68"/>
      <c r="C56" s="20" t="s">
        <v>79</v>
      </c>
      <c r="D56" s="371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68"/>
      <c r="C57" s="20" t="s">
        <v>236</v>
      </c>
      <c r="D57" s="371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68"/>
      <c r="C58" s="20" t="s">
        <v>375</v>
      </c>
      <c r="D58" s="371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68"/>
      <c r="C59" s="20" t="s">
        <v>237</v>
      </c>
      <c r="D59" s="371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66" t="s">
        <v>251</v>
      </c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468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66" t="s">
        <v>255</v>
      </c>
      <c r="C154" s="366"/>
      <c r="D154" s="366"/>
      <c r="E154" s="366"/>
      <c r="F154" s="366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469</v>
      </c>
      <c r="C198" s="11" t="s">
        <v>467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66" t="s">
        <v>278</v>
      </c>
      <c r="C253" s="366"/>
      <c r="D253" s="366"/>
      <c r="E253" s="366"/>
      <c r="F253" s="366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468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66" t="s">
        <v>314</v>
      </c>
      <c r="C331" s="366"/>
      <c r="D331" s="366"/>
      <c r="E331" s="366"/>
      <c r="F331" s="366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462</v>
      </c>
      <c r="C345" s="11" t="s">
        <v>463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467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66" t="s">
        <v>386</v>
      </c>
      <c r="C419" s="373"/>
      <c r="D419" s="373"/>
      <c r="E419" s="373"/>
      <c r="F419" s="373"/>
      <c r="G419" s="373"/>
      <c r="H419" s="373"/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66" t="s">
        <v>329</v>
      </c>
      <c r="C427" s="366"/>
      <c r="D427" s="366"/>
      <c r="E427" s="366"/>
      <c r="F427" s="366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66" t="s">
        <v>344</v>
      </c>
      <c r="C432" s="366"/>
      <c r="D432" s="366"/>
      <c r="E432" s="366"/>
      <c r="F432" s="366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9" t="s">
        <v>292</v>
      </c>
      <c r="E4" s="179" t="s">
        <v>293</v>
      </c>
      <c r="F4" s="179" t="s">
        <v>294</v>
      </c>
      <c r="G4" s="179" t="s">
        <v>295</v>
      </c>
      <c r="H4" s="179" t="s">
        <v>296</v>
      </c>
      <c r="I4" s="179" t="s">
        <v>297</v>
      </c>
      <c r="J4" s="179" t="s">
        <v>298</v>
      </c>
      <c r="K4" s="179" t="s">
        <v>299</v>
      </c>
      <c r="L4" s="179" t="s">
        <v>300</v>
      </c>
      <c r="M4" s="179" t="s">
        <v>301</v>
      </c>
      <c r="N4" s="179" t="s">
        <v>302</v>
      </c>
      <c r="O4" s="179" t="s">
        <v>303</v>
      </c>
    </row>
    <row r="5" spans="3:16">
      <c r="C5" s="179" t="s">
        <v>437</v>
      </c>
      <c r="D5" s="180">
        <v>62425293.156965584</v>
      </c>
      <c r="E5" s="180">
        <v>79762187.59852089</v>
      </c>
      <c r="F5" s="180">
        <v>89318688.151918903</v>
      </c>
      <c r="G5" s="180">
        <v>106294081.27535464</v>
      </c>
      <c r="H5" s="180">
        <v>97189661.825924918</v>
      </c>
      <c r="I5" s="180">
        <v>105191801.34506513</v>
      </c>
      <c r="J5" s="180">
        <v>123272889.17858437</v>
      </c>
      <c r="K5" s="180">
        <v>125579133.65326507</v>
      </c>
      <c r="L5" s="180">
        <v>121047897.33843082</v>
      </c>
      <c r="M5" s="180">
        <v>114789505.85515907</v>
      </c>
      <c r="N5" s="180">
        <v>97406301.479715049</v>
      </c>
      <c r="O5" s="180">
        <v>145778958.57826602</v>
      </c>
      <c r="P5" s="180">
        <f>+SUM(D5:O5)</f>
        <v>1268056399.4371705</v>
      </c>
    </row>
    <row r="6" spans="3:16">
      <c r="C6" s="179" t="s">
        <v>438</v>
      </c>
      <c r="D6" s="180">
        <v>70632268.589999989</v>
      </c>
      <c r="E6" s="180">
        <v>81381758.450000018</v>
      </c>
      <c r="F6" s="180">
        <v>100495765.61000001</v>
      </c>
      <c r="G6" s="180">
        <v>107356417.33534782</v>
      </c>
      <c r="H6" s="180">
        <v>98816734.644163221</v>
      </c>
      <c r="I6" s="180">
        <v>107147051.5707173</v>
      </c>
      <c r="J6" s="180">
        <v>125666748.8575906</v>
      </c>
      <c r="K6" s="180">
        <v>127890096.38694921</v>
      </c>
      <c r="L6" s="180">
        <v>123465322.33433203</v>
      </c>
      <c r="M6" s="180">
        <v>117130344.73943919</v>
      </c>
      <c r="N6" s="180">
        <v>99294843.070796907</v>
      </c>
      <c r="O6" s="180">
        <v>149056317.49743444</v>
      </c>
      <c r="P6" s="180">
        <f>+SUM(D6:O6)</f>
        <v>1308333669.0867708</v>
      </c>
    </row>
    <row r="7" spans="3:16">
      <c r="C7" s="179" t="s">
        <v>439</v>
      </c>
      <c r="D7" s="180">
        <v>54757461.979999989</v>
      </c>
      <c r="E7" s="180">
        <v>75673443.909999996</v>
      </c>
      <c r="F7" s="180">
        <v>88296245.580000013</v>
      </c>
      <c r="G7" s="180">
        <v>103948239.19999999</v>
      </c>
      <c r="H7" s="180">
        <v>93997829.679999992</v>
      </c>
      <c r="I7" s="180">
        <v>99561632.659999996</v>
      </c>
      <c r="J7" s="180">
        <v>122021331.04999998</v>
      </c>
      <c r="K7" s="180">
        <v>125053427.64999999</v>
      </c>
      <c r="L7" s="180">
        <v>116342017.78000002</v>
      </c>
      <c r="M7" s="180">
        <v>117283627.60000001</v>
      </c>
      <c r="N7" s="180">
        <v>95781753.159999996</v>
      </c>
      <c r="O7" s="180">
        <v>142429369.22999999</v>
      </c>
      <c r="P7" s="180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74">
        <v>3335894492.1291356</v>
      </c>
      <c r="D3" s="374"/>
      <c r="E3" s="333">
        <v>3516156889.9792166</v>
      </c>
      <c r="F3" s="334"/>
      <c r="G3" s="334"/>
      <c r="H3" s="335"/>
    </row>
    <row r="4" spans="2:13" ht="13.5" thickTop="1">
      <c r="E4" s="83"/>
      <c r="F4" s="83"/>
      <c r="G4" s="82"/>
      <c r="H4" s="82"/>
    </row>
    <row r="5" spans="2:13" ht="13.5" thickBot="1">
      <c r="E5" s="162"/>
      <c r="F5" s="162"/>
      <c r="G5" s="162"/>
      <c r="H5" s="162"/>
    </row>
    <row r="6" spans="2:13" ht="13.5" thickTop="1">
      <c r="B6" t="s">
        <v>126</v>
      </c>
      <c r="C6" s="331">
        <v>2013</v>
      </c>
      <c r="D6" s="332"/>
      <c r="E6" s="331" t="s">
        <v>392</v>
      </c>
      <c r="F6" s="332"/>
      <c r="G6" s="331" t="s">
        <v>426</v>
      </c>
      <c r="H6" s="332"/>
      <c r="I6" s="331" t="s">
        <v>440</v>
      </c>
      <c r="J6" s="332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82" t="s">
        <v>262</v>
      </c>
      <c r="J7" s="182" t="s">
        <v>441</v>
      </c>
    </row>
    <row r="8" spans="2:13" ht="14.25" thickTop="1" thickBot="1">
      <c r="B8" s="90" t="s">
        <v>127</v>
      </c>
      <c r="C8" s="163">
        <f>C9+C17+C22+C27+C34+C39</f>
        <v>1235146379.48</v>
      </c>
      <c r="D8" s="92">
        <f>C8/C$3*100</f>
        <v>37.025942588839719</v>
      </c>
      <c r="E8" s="163">
        <f>+E9+E17+E22+E27+E34+E39+E40</f>
        <v>1276056399.4371703</v>
      </c>
      <c r="F8" s="92">
        <f>E8/E$3*100</f>
        <v>36.291224748071834</v>
      </c>
      <c r="G8" s="160">
        <f>+G9+G17+G22+G27+G34+G39+G40</f>
        <v>1316333669.0867703</v>
      </c>
      <c r="H8" s="92">
        <f>G8/E$3*100</f>
        <v>37.436716002014087</v>
      </c>
      <c r="I8" s="160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2">
        <f>SUM(C10:C16)</f>
        <v>755696459.51000011</v>
      </c>
      <c r="D9" s="95">
        <f t="shared" ref="D9:D72" si="0">C9/C$3*100</f>
        <v>22.653488031261944</v>
      </c>
      <c r="E9" s="152">
        <f>+SUM(E10:E16)</f>
        <v>797828901.35953081</v>
      </c>
      <c r="F9" s="96">
        <f t="shared" ref="F9:F73" si="1">E9/E$3*100</f>
        <v>22.690366963808792</v>
      </c>
      <c r="G9" s="152">
        <f>+SUM(G10:G16)</f>
        <v>819077478.06873</v>
      </c>
      <c r="H9" s="96">
        <f t="shared" ref="H9:H72" si="2">G9/E$3*100</f>
        <v>23.294679495190881</v>
      </c>
      <c r="I9" s="152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3">
        <v>95618433.909999996</v>
      </c>
      <c r="D10" s="98">
        <f t="shared" si="0"/>
        <v>2.8663506635358695</v>
      </c>
      <c r="E10" s="153">
        <v>96011654.614494905</v>
      </c>
      <c r="F10" s="98">
        <f t="shared" si="1"/>
        <v>2.7305850568875618</v>
      </c>
      <c r="G10" s="154">
        <v>96781150.729929999</v>
      </c>
      <c r="H10" s="98">
        <f t="shared" si="2"/>
        <v>2.7524696354064582</v>
      </c>
      <c r="I10" s="154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4">
        <v>40638726.390000008</v>
      </c>
      <c r="D11" s="98">
        <f t="shared" si="0"/>
        <v>1.2182257708055488</v>
      </c>
      <c r="E11" s="154">
        <v>44395641.531501003</v>
      </c>
      <c r="F11" s="98">
        <f t="shared" si="1"/>
        <v>1.2626183336137604</v>
      </c>
      <c r="G11" s="154">
        <v>50018934.706970006</v>
      </c>
      <c r="H11" s="98">
        <f t="shared" si="2"/>
        <v>1.4225455880401758</v>
      </c>
      <c r="I11" s="154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4">
        <v>1440565.3199999998</v>
      </c>
      <c r="D12" s="98">
        <f t="shared" si="0"/>
        <v>4.318377944503151E-2</v>
      </c>
      <c r="E12" s="154">
        <v>1544536.6728920399</v>
      </c>
      <c r="F12" s="98">
        <f t="shared" si="1"/>
        <v>4.3926841754241781E-2</v>
      </c>
      <c r="G12" s="154">
        <v>1489198.0023599996</v>
      </c>
      <c r="H12" s="98">
        <f t="shared" si="2"/>
        <v>4.2353002125818169E-2</v>
      </c>
      <c r="I12" s="154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3">
        <v>429195069.32999998</v>
      </c>
      <c r="D13" s="98">
        <f t="shared" si="0"/>
        <v>12.865966544885122</v>
      </c>
      <c r="E13" s="153">
        <v>455945630.52919102</v>
      </c>
      <c r="F13" s="98">
        <f t="shared" si="1"/>
        <v>12.967158315051353</v>
      </c>
      <c r="G13" s="154">
        <v>473642045.78458995</v>
      </c>
      <c r="H13" s="98">
        <f t="shared" si="2"/>
        <v>13.470446871538474</v>
      </c>
      <c r="I13" s="154">
        <f t="shared" si="3"/>
        <v>17696415.255398929</v>
      </c>
      <c r="J13" s="98">
        <f t="shared" si="4"/>
        <v>3.8812555862986784</v>
      </c>
      <c r="L13" s="154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4">
        <v>161445470.17000002</v>
      </c>
      <c r="D14" s="98">
        <f t="shared" si="0"/>
        <v>4.8396455748502225</v>
      </c>
      <c r="E14" s="154">
        <v>171111988.52539012</v>
      </c>
      <c r="F14" s="98">
        <f t="shared" si="1"/>
        <v>4.8664491909631922</v>
      </c>
      <c r="G14" s="154">
        <v>169158715.98390999</v>
      </c>
      <c r="H14" s="98">
        <f t="shared" si="2"/>
        <v>4.8108978432105705</v>
      </c>
      <c r="I14" s="154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4">
        <v>22269382.640000001</v>
      </c>
      <c r="D15" s="98">
        <f t="shared" si="0"/>
        <v>0.66756855447746977</v>
      </c>
      <c r="E15" s="154">
        <v>23735353.696558259</v>
      </c>
      <c r="F15" s="98">
        <f t="shared" si="1"/>
        <v>0.67503682114419394</v>
      </c>
      <c r="G15" s="154">
        <v>22781578.440719999</v>
      </c>
      <c r="H15" s="98">
        <f t="shared" si="2"/>
        <v>0.64791131776985811</v>
      </c>
      <c r="I15" s="154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4">
        <v>5088811.75</v>
      </c>
      <c r="D16" s="98">
        <f t="shared" si="0"/>
        <v>0.15254714326267749</v>
      </c>
      <c r="E16" s="154">
        <v>5084095.7895035082</v>
      </c>
      <c r="F16" s="98">
        <f t="shared" si="1"/>
        <v>0.14459240439449103</v>
      </c>
      <c r="G16" s="154">
        <v>5205854.4202499995</v>
      </c>
      <c r="H16" s="98">
        <f t="shared" si="2"/>
        <v>0.14805523709952459</v>
      </c>
      <c r="I16" s="154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4">
        <f>SUM(C18:C21)</f>
        <v>398494284.19</v>
      </c>
      <c r="D17" s="96">
        <f t="shared" si="0"/>
        <v>11.94565011364196</v>
      </c>
      <c r="E17" s="152">
        <f>+SUM(E18:E21)</f>
        <v>397823173.70918262</v>
      </c>
      <c r="F17" s="96">
        <f t="shared" si="1"/>
        <v>11.314147410286179</v>
      </c>
      <c r="G17" s="152">
        <f>+SUM(G18:G21)</f>
        <v>417559652.73636997</v>
      </c>
      <c r="H17" s="96">
        <f t="shared" si="2"/>
        <v>11.87545566940951</v>
      </c>
      <c r="I17" s="152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4">
        <v>241949355.72999999</v>
      </c>
      <c r="D18" s="98">
        <f t="shared" si="0"/>
        <v>7.2529079172277937</v>
      </c>
      <c r="E18" s="154">
        <v>234882396.70208701</v>
      </c>
      <c r="F18" s="98">
        <f t="shared" si="1"/>
        <v>6.6800886323213922</v>
      </c>
      <c r="G18" s="154">
        <v>254875867.28178996</v>
      </c>
      <c r="H18" s="98">
        <f t="shared" si="2"/>
        <v>7.2487057676000486</v>
      </c>
      <c r="I18" s="154">
        <f t="shared" si="3"/>
        <v>19993470.579702944</v>
      </c>
      <c r="J18" s="98">
        <f t="shared" si="4"/>
        <v>8.5121196225963445</v>
      </c>
      <c r="L18" s="154">
        <f>+G18-C18</f>
        <v>12926511.551789969</v>
      </c>
    </row>
    <row r="19" spans="2:12">
      <c r="B19" s="97" t="s">
        <v>23</v>
      </c>
      <c r="C19" s="154">
        <v>134703897.09</v>
      </c>
      <c r="D19" s="98">
        <f t="shared" si="0"/>
        <v>4.038014313936686</v>
      </c>
      <c r="E19" s="154">
        <v>138667298.82084399</v>
      </c>
      <c r="F19" s="98">
        <f t="shared" si="1"/>
        <v>3.9437176201106214</v>
      </c>
      <c r="G19" s="154">
        <v>139196347.37307</v>
      </c>
      <c r="H19" s="98">
        <f t="shared" si="2"/>
        <v>3.9587638358734543</v>
      </c>
      <c r="I19" s="154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4">
        <v>10770190.189999999</v>
      </c>
      <c r="D20" s="98">
        <f t="shared" si="0"/>
        <v>0.32285763879558199</v>
      </c>
      <c r="E20" s="154">
        <v>11617385.520490499</v>
      </c>
      <c r="F20" s="98">
        <f t="shared" si="1"/>
        <v>0.33040008975706336</v>
      </c>
      <c r="G20" s="154">
        <v>11434714.104369998</v>
      </c>
      <c r="H20" s="98">
        <f t="shared" si="2"/>
        <v>0.3252048888079504</v>
      </c>
      <c r="I20" s="154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4">
        <v>11070841.180000002</v>
      </c>
      <c r="D21" s="98">
        <f t="shared" si="0"/>
        <v>0.33187024368189877</v>
      </c>
      <c r="E21" s="153">
        <v>12656092.6657611</v>
      </c>
      <c r="F21" s="98">
        <f t="shared" si="1"/>
        <v>0.3599410680971038</v>
      </c>
      <c r="G21" s="154">
        <v>12052723.97714</v>
      </c>
      <c r="H21" s="98">
        <f t="shared" si="2"/>
        <v>0.34278117712805589</v>
      </c>
      <c r="I21" s="154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2">
        <f>SUM(C23:C26)</f>
        <v>27069458</v>
      </c>
      <c r="D22" s="96">
        <f t="shared" si="0"/>
        <v>0.81146025642804165</v>
      </c>
      <c r="E22" s="152">
        <f>+SUM(E23:E26)</f>
        <v>20923047.198280636</v>
      </c>
      <c r="F22" s="96">
        <f t="shared" si="1"/>
        <v>0.59505442598166625</v>
      </c>
      <c r="G22" s="152">
        <f>+SUM(G23:G26)</f>
        <v>19923047.198280636</v>
      </c>
      <c r="H22" s="96">
        <f t="shared" si="2"/>
        <v>0.56661428433582772</v>
      </c>
      <c r="I22" s="152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4">
        <v>7881462.9399999995</v>
      </c>
      <c r="D23" s="98">
        <f t="shared" si="0"/>
        <v>0.23626235657620134</v>
      </c>
      <c r="E23" s="154">
        <v>8144616.5029747505</v>
      </c>
      <c r="F23" s="98">
        <f t="shared" si="1"/>
        <v>0.23163404699563594</v>
      </c>
      <c r="G23" s="154">
        <v>8144616.5029747505</v>
      </c>
      <c r="H23" s="98">
        <f t="shared" si="2"/>
        <v>0.23163404699563594</v>
      </c>
      <c r="I23" s="154">
        <f t="shared" si="3"/>
        <v>0</v>
      </c>
      <c r="J23" s="98">
        <f t="shared" si="4"/>
        <v>0</v>
      </c>
    </row>
    <row r="24" spans="2:12">
      <c r="B24" s="97" t="s">
        <v>32</v>
      </c>
      <c r="C24" s="154">
        <v>4557791.26</v>
      </c>
      <c r="D24" s="98">
        <f t="shared" si="0"/>
        <v>0.13662875941531916</v>
      </c>
      <c r="E24" s="154">
        <v>3676083.5729169641</v>
      </c>
      <c r="F24" s="98">
        <f t="shared" si="1"/>
        <v>0.10454833751569864</v>
      </c>
      <c r="G24" s="154">
        <v>5176083.5729169641</v>
      </c>
      <c r="H24" s="98">
        <f t="shared" si="2"/>
        <v>0.14720854998445643</v>
      </c>
      <c r="I24" s="154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4">
        <v>767936.98999999987</v>
      </c>
      <c r="D25" s="98">
        <f t="shared" si="0"/>
        <v>2.3020422013103413E-2</v>
      </c>
      <c r="E25" s="154">
        <v>762511.44191594806</v>
      </c>
      <c r="F25" s="98">
        <f t="shared" si="1"/>
        <v>2.1685933414662142E-2</v>
      </c>
      <c r="G25" s="154">
        <v>762511.44191594806</v>
      </c>
      <c r="H25" s="98">
        <f t="shared" si="2"/>
        <v>2.1685933414662142E-2</v>
      </c>
      <c r="I25" s="154">
        <f t="shared" si="3"/>
        <v>0</v>
      </c>
      <c r="J25" s="98">
        <f t="shared" si="4"/>
        <v>0</v>
      </c>
    </row>
    <row r="26" spans="2:12">
      <c r="B26" s="97" t="s">
        <v>37</v>
      </c>
      <c r="C26" s="153">
        <v>13862266.809999999</v>
      </c>
      <c r="D26" s="98">
        <f t="shared" si="0"/>
        <v>0.41554871842341756</v>
      </c>
      <c r="E26" s="153">
        <v>8339835.6804729737</v>
      </c>
      <c r="F26" s="98">
        <f t="shared" si="1"/>
        <v>0.23718610805566953</v>
      </c>
      <c r="G26" s="153">
        <v>5839835.6804729737</v>
      </c>
      <c r="H26" s="98">
        <f t="shared" si="2"/>
        <v>0.16608575394107319</v>
      </c>
      <c r="I26" s="153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2">
        <f>SUM(C28:C33)</f>
        <v>13233490.18</v>
      </c>
      <c r="D27" s="96">
        <f t="shared" si="0"/>
        <v>0.39669990196703492</v>
      </c>
      <c r="E27" s="152">
        <f>+SUM(E28:E33)</f>
        <v>13024243.76827177</v>
      </c>
      <c r="F27" s="96">
        <f t="shared" si="1"/>
        <v>0.37041133759957889</v>
      </c>
      <c r="G27" s="152">
        <f>+SUM(G28:G33)</f>
        <v>12724243.76827177</v>
      </c>
      <c r="H27" s="96">
        <f t="shared" si="2"/>
        <v>0.36187929510582734</v>
      </c>
      <c r="I27" s="152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4">
        <v>647266.8600000001</v>
      </c>
      <c r="D28" s="98">
        <f t="shared" si="0"/>
        <v>1.9403097475870164E-2</v>
      </c>
      <c r="E28" s="154">
        <v>698651.48499726248</v>
      </c>
      <c r="F28" s="98">
        <f t="shared" si="1"/>
        <v>1.9869747194397578E-2</v>
      </c>
      <c r="G28" s="154">
        <v>698651.48499726248</v>
      </c>
      <c r="H28" s="98">
        <f t="shared" si="2"/>
        <v>1.9869747194397578E-2</v>
      </c>
      <c r="I28" s="154">
        <f t="shared" si="3"/>
        <v>0</v>
      </c>
      <c r="J28" s="98">
        <f t="shared" si="4"/>
        <v>0</v>
      </c>
    </row>
    <row r="29" spans="2:12">
      <c r="B29" s="97" t="s">
        <v>42</v>
      </c>
      <c r="C29" s="154">
        <v>1995183.6300000001</v>
      </c>
      <c r="D29" s="98">
        <f t="shared" si="0"/>
        <v>5.9809554370125591E-2</v>
      </c>
      <c r="E29" s="154">
        <v>1997965.7673730874</v>
      </c>
      <c r="F29" s="98">
        <f t="shared" si="1"/>
        <v>5.6822429427627073E-2</v>
      </c>
      <c r="G29" s="154">
        <v>1997965.7673730874</v>
      </c>
      <c r="H29" s="98">
        <f t="shared" si="2"/>
        <v>5.6822429427627073E-2</v>
      </c>
      <c r="I29" s="154">
        <f t="shared" si="3"/>
        <v>0</v>
      </c>
      <c r="J29" s="98">
        <f t="shared" si="4"/>
        <v>0</v>
      </c>
    </row>
    <row r="30" spans="2:12">
      <c r="B30" s="97" t="s">
        <v>45</v>
      </c>
      <c r="C30" s="154">
        <v>309851.25</v>
      </c>
      <c r="D30" s="98">
        <f t="shared" si="0"/>
        <v>9.2884007791936302E-3</v>
      </c>
      <c r="E30" s="154">
        <v>424373.88097611902</v>
      </c>
      <c r="F30" s="98">
        <f t="shared" si="1"/>
        <v>1.2069253285755047E-2</v>
      </c>
      <c r="G30" s="154">
        <v>424373.88097611902</v>
      </c>
      <c r="H30" s="98">
        <f t="shared" si="2"/>
        <v>1.2069253285755047E-2</v>
      </c>
      <c r="I30" s="154">
        <f t="shared" si="3"/>
        <v>0</v>
      </c>
      <c r="J30" s="98">
        <f t="shared" si="4"/>
        <v>0</v>
      </c>
    </row>
    <row r="31" spans="2:12">
      <c r="B31" s="97" t="s">
        <v>47</v>
      </c>
      <c r="C31" s="154">
        <v>3324177.16</v>
      </c>
      <c r="D31" s="98">
        <f t="shared" si="0"/>
        <v>9.9648749918296836E-2</v>
      </c>
      <c r="E31" s="154">
        <v>3266343.0516235088</v>
      </c>
      <c r="F31" s="98">
        <f t="shared" si="1"/>
        <v>9.2895259052073062E-2</v>
      </c>
      <c r="G31" s="154">
        <v>3666343.0516235088</v>
      </c>
      <c r="H31" s="98">
        <f t="shared" si="2"/>
        <v>0.10427131571040847</v>
      </c>
      <c r="I31" s="154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4">
        <v>3659024.1899999995</v>
      </c>
      <c r="D32" s="98">
        <f t="shared" si="0"/>
        <v>0.10968644837638813</v>
      </c>
      <c r="E32" s="154">
        <v>3355752.0175728933</v>
      </c>
      <c r="F32" s="98">
        <f t="shared" si="1"/>
        <v>9.5438062708081514E-2</v>
      </c>
      <c r="G32" s="154">
        <v>3355752.0175728933</v>
      </c>
      <c r="H32" s="98">
        <f t="shared" si="2"/>
        <v>9.5438062708081514E-2</v>
      </c>
      <c r="I32" s="154">
        <f t="shared" si="3"/>
        <v>0</v>
      </c>
      <c r="J32" s="98">
        <f t="shared" si="4"/>
        <v>0</v>
      </c>
    </row>
    <row r="33" spans="2:10">
      <c r="B33" s="97" t="s">
        <v>51</v>
      </c>
      <c r="C33" s="154">
        <v>3297987.09</v>
      </c>
      <c r="D33" s="98">
        <f t="shared" si="0"/>
        <v>9.8863651047160633E-2</v>
      </c>
      <c r="E33" s="154">
        <v>3281157.5657288986</v>
      </c>
      <c r="F33" s="98">
        <f t="shared" si="1"/>
        <v>9.331658593164463E-2</v>
      </c>
      <c r="G33" s="154">
        <v>2581157.5657288986</v>
      </c>
      <c r="H33" s="98">
        <f t="shared" si="2"/>
        <v>7.340848677955765E-2</v>
      </c>
      <c r="I33" s="154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2">
        <f>SUM(C35:C38)</f>
        <v>33088194.540000003</v>
      </c>
      <c r="D34" s="96">
        <f t="shared" si="0"/>
        <v>0.99188372468223518</v>
      </c>
      <c r="E34" s="152">
        <f>+SUM(E35:E38)</f>
        <v>31410770.914738216</v>
      </c>
      <c r="F34" s="96">
        <f t="shared" si="1"/>
        <v>0.89332677402013982</v>
      </c>
      <c r="G34" s="152">
        <f>+SUM(G35:G38)</f>
        <v>31310770.914738216</v>
      </c>
      <c r="H34" s="96">
        <f t="shared" si="2"/>
        <v>0.89048275985555603</v>
      </c>
      <c r="I34" s="152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4">
        <v>6034873.3200000003</v>
      </c>
      <c r="D35" s="98">
        <f t="shared" si="0"/>
        <v>0.18090719998006413</v>
      </c>
      <c r="E35" s="154">
        <v>5533606.7424404304</v>
      </c>
      <c r="F35" s="98">
        <f t="shared" si="1"/>
        <v>0.15737655956737298</v>
      </c>
      <c r="G35" s="154">
        <v>6533606.7424404304</v>
      </c>
      <c r="H35" s="98">
        <f t="shared" si="2"/>
        <v>0.1858167012132115</v>
      </c>
      <c r="I35" s="154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4">
        <v>12316700.43</v>
      </c>
      <c r="D36" s="98">
        <f t="shared" si="0"/>
        <v>0.36921732563966259</v>
      </c>
      <c r="E36" s="154">
        <v>11824073.889814863</v>
      </c>
      <c r="F36" s="98">
        <f t="shared" si="1"/>
        <v>0.33627833625719566</v>
      </c>
      <c r="G36" s="154">
        <v>12424073.889814863</v>
      </c>
      <c r="H36" s="98">
        <f t="shared" si="2"/>
        <v>0.35334242124469878</v>
      </c>
      <c r="I36" s="154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4">
        <v>2179410.2600000002</v>
      </c>
      <c r="D37" s="98">
        <f t="shared" si="0"/>
        <v>6.5332110027526411E-2</v>
      </c>
      <c r="E37" s="154">
        <v>2220205.3434794326</v>
      </c>
      <c r="F37" s="98">
        <f t="shared" si="1"/>
        <v>6.3142954451402653E-2</v>
      </c>
      <c r="G37" s="154">
        <v>2220205.3434794326</v>
      </c>
      <c r="H37" s="98">
        <f t="shared" si="2"/>
        <v>6.3142954451402653E-2</v>
      </c>
      <c r="I37" s="154">
        <f t="shared" si="3"/>
        <v>0</v>
      </c>
      <c r="J37" s="98">
        <f t="shared" si="4"/>
        <v>0</v>
      </c>
    </row>
    <row r="38" spans="2:10">
      <c r="B38" s="97" t="s">
        <v>53</v>
      </c>
      <c r="C38" s="154">
        <v>12557210.530000001</v>
      </c>
      <c r="D38" s="98">
        <f t="shared" si="0"/>
        <v>0.37642708903498195</v>
      </c>
      <c r="E38" s="154">
        <v>11832884.939003492</v>
      </c>
      <c r="F38" s="98">
        <f t="shared" si="1"/>
        <v>0.33652892374416871</v>
      </c>
      <c r="G38" s="154">
        <v>10132884.939003492</v>
      </c>
      <c r="H38" s="98">
        <f t="shared" si="2"/>
        <v>0.28818068294624322</v>
      </c>
      <c r="I38" s="154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52">
        <v>7564493.0600000005</v>
      </c>
      <c r="D39" s="96">
        <f t="shared" si="0"/>
        <v>0.22676056085850488</v>
      </c>
      <c r="E39" s="152">
        <v>7046262.4871663069</v>
      </c>
      <c r="F39" s="96">
        <f t="shared" si="1"/>
        <v>0.20039670320876826</v>
      </c>
      <c r="G39" s="152">
        <v>7738476.4003799995</v>
      </c>
      <c r="H39" s="96">
        <f t="shared" si="2"/>
        <v>0.22008336494978584</v>
      </c>
      <c r="I39" s="152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4">
        <v>6615451.54</v>
      </c>
      <c r="D40" s="98">
        <f t="shared" si="0"/>
        <v>0.19831117427750797</v>
      </c>
      <c r="E40" s="152">
        <v>8000000</v>
      </c>
      <c r="F40" s="96">
        <f t="shared" si="1"/>
        <v>0.22752113316670824</v>
      </c>
      <c r="G40" s="152">
        <v>8000000</v>
      </c>
      <c r="H40" s="96">
        <f t="shared" si="2"/>
        <v>0.22752113316670824</v>
      </c>
      <c r="I40" s="152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52">
        <v>366128508.17291778</v>
      </c>
      <c r="D44" s="96">
        <f t="shared" si="0"/>
        <v>10.975422305375018</v>
      </c>
      <c r="E44" s="152">
        <v>386488693.71999997</v>
      </c>
      <c r="F44" s="96">
        <f t="shared" si="1"/>
        <v>10.991793193911903</v>
      </c>
      <c r="G44" s="152">
        <v>386488693.71999997</v>
      </c>
      <c r="H44" s="96">
        <f t="shared" si="2"/>
        <v>10.991793193911903</v>
      </c>
      <c r="I44" s="152">
        <f t="shared" si="5"/>
        <v>0</v>
      </c>
      <c r="J44" s="96">
        <f t="shared" si="4"/>
        <v>0</v>
      </c>
    </row>
    <row r="45" spans="2:10">
      <c r="B45" s="93" t="s">
        <v>74</v>
      </c>
      <c r="C45" s="152">
        <v>12022159.040000001</v>
      </c>
      <c r="D45" s="96">
        <f t="shared" si="0"/>
        <v>0.36038786803256645</v>
      </c>
      <c r="E45" s="152">
        <v>11478163.960000001</v>
      </c>
      <c r="F45" s="96">
        <f t="shared" si="1"/>
        <v>0.3264406088565589</v>
      </c>
      <c r="G45" s="152">
        <v>11478163.960000001</v>
      </c>
      <c r="H45" s="96">
        <f t="shared" si="2"/>
        <v>0.3264406088565589</v>
      </c>
      <c r="I45" s="152">
        <f t="shared" si="5"/>
        <v>0</v>
      </c>
      <c r="J45" s="96">
        <f t="shared" si="4"/>
        <v>0</v>
      </c>
    </row>
    <row r="46" spans="2:10">
      <c r="B46" s="93" t="s">
        <v>428</v>
      </c>
      <c r="C46" s="152">
        <v>90442340.840000004</v>
      </c>
      <c r="D46" s="96">
        <f t="shared" si="0"/>
        <v>2.7111870910004456</v>
      </c>
      <c r="E46" s="152">
        <v>89210330.25999999</v>
      </c>
      <c r="F46" s="96">
        <f t="shared" si="1"/>
        <v>2.5371544288664349</v>
      </c>
      <c r="G46" s="152">
        <v>29295302.830000002</v>
      </c>
      <c r="H46" s="96">
        <f t="shared" si="2"/>
        <v>0.83316256204293437</v>
      </c>
      <c r="I46" s="152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52"/>
      <c r="D47" s="96">
        <f t="shared" si="0"/>
        <v>0</v>
      </c>
      <c r="E47" s="152"/>
      <c r="F47" s="96">
        <f t="shared" si="1"/>
        <v>0</v>
      </c>
      <c r="G47" s="152">
        <v>40692845.799999997</v>
      </c>
      <c r="H47" s="96">
        <f t="shared" si="2"/>
        <v>1.1573102985242654</v>
      </c>
      <c r="I47" s="152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52">
        <v>20416485.639999997</v>
      </c>
      <c r="D48" s="96">
        <f t="shared" si="0"/>
        <v>0.61202432175752564</v>
      </c>
      <c r="E48" s="152">
        <v>21655403.200000003</v>
      </c>
      <c r="F48" s="96">
        <f t="shared" si="1"/>
        <v>0.61588273440574504</v>
      </c>
      <c r="G48" s="152">
        <v>21655403.200000003</v>
      </c>
      <c r="H48" s="96">
        <f t="shared" si="2"/>
        <v>0.61588273440574504</v>
      </c>
      <c r="I48" s="152">
        <f t="shared" si="5"/>
        <v>0</v>
      </c>
      <c r="J48" s="96">
        <f t="shared" si="4"/>
        <v>0</v>
      </c>
    </row>
    <row r="49" spans="2:10">
      <c r="B49" s="93" t="s">
        <v>79</v>
      </c>
      <c r="C49" s="152">
        <v>67427730.789999992</v>
      </c>
      <c r="D49" s="96">
        <f t="shared" si="0"/>
        <v>2.0212788788462022</v>
      </c>
      <c r="E49" s="152">
        <v>73316123.120000005</v>
      </c>
      <c r="F49" s="96">
        <f t="shared" si="1"/>
        <v>2.0851209264565371</v>
      </c>
      <c r="G49" s="152">
        <v>73316123.120000005</v>
      </c>
      <c r="H49" s="96">
        <f t="shared" si="2"/>
        <v>2.0851209264565371</v>
      </c>
      <c r="I49" s="152">
        <f t="shared" si="5"/>
        <v>0</v>
      </c>
      <c r="J49" s="96">
        <f t="shared" si="4"/>
        <v>0</v>
      </c>
    </row>
    <row r="50" spans="2:10">
      <c r="B50" s="93" t="s">
        <v>81</v>
      </c>
      <c r="C50" s="152">
        <v>7928041.8100000005</v>
      </c>
      <c r="D50" s="96">
        <f t="shared" si="0"/>
        <v>0.23765864983757101</v>
      </c>
      <c r="E50" s="152">
        <v>8172802.1399999997</v>
      </c>
      <c r="F50" s="96">
        <f t="shared" si="1"/>
        <v>0.23243565050501225</v>
      </c>
      <c r="G50" s="152">
        <v>8172802.1399999997</v>
      </c>
      <c r="H50" s="96">
        <f t="shared" si="2"/>
        <v>0.23243565050501225</v>
      </c>
      <c r="I50" s="152">
        <f t="shared" si="5"/>
        <v>0</v>
      </c>
      <c r="J50" s="96">
        <f t="shared" si="4"/>
        <v>0</v>
      </c>
    </row>
    <row r="51" spans="2:10">
      <c r="B51" s="93" t="s">
        <v>83</v>
      </c>
      <c r="C51" s="152">
        <v>17426749.959999997</v>
      </c>
      <c r="D51" s="96">
        <f t="shared" si="0"/>
        <v>0.52240111313824467</v>
      </c>
      <c r="E51" s="152">
        <v>18874600</v>
      </c>
      <c r="F51" s="96">
        <f t="shared" si="1"/>
        <v>0.53679629750854385</v>
      </c>
      <c r="G51" s="152">
        <v>18874600</v>
      </c>
      <c r="H51" s="96">
        <f t="shared" si="2"/>
        <v>0.53679629750854385</v>
      </c>
      <c r="I51" s="152">
        <f t="shared" si="5"/>
        <v>0</v>
      </c>
      <c r="J51" s="96">
        <f t="shared" si="4"/>
        <v>0</v>
      </c>
    </row>
    <row r="52" spans="2:10">
      <c r="B52" s="93" t="s">
        <v>85</v>
      </c>
      <c r="C52" s="152">
        <v>6279093.0100000007</v>
      </c>
      <c r="D52" s="96">
        <f t="shared" si="0"/>
        <v>0.18822816563339112</v>
      </c>
      <c r="E52" s="152">
        <v>5827393.7300000023</v>
      </c>
      <c r="F52" s="96">
        <f t="shared" si="1"/>
        <v>0.16573190310727137</v>
      </c>
      <c r="G52" s="152">
        <v>25049575.370000001</v>
      </c>
      <c r="H52" s="96">
        <f t="shared" si="2"/>
        <v>0.71241347169090818</v>
      </c>
      <c r="I52" s="152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52">
        <v>12216538.75</v>
      </c>
      <c r="D53" s="158">
        <f t="shared" si="0"/>
        <v>0.36621478223679643</v>
      </c>
      <c r="E53" s="152"/>
      <c r="F53" s="158">
        <f t="shared" si="1"/>
        <v>0</v>
      </c>
      <c r="G53" s="152">
        <v>10502963.32</v>
      </c>
      <c r="H53" s="158">
        <f t="shared" si="2"/>
        <v>0.2987057645218465</v>
      </c>
      <c r="I53" s="152">
        <f t="shared" si="5"/>
        <v>10502963.32</v>
      </c>
      <c r="J53" s="158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4">
        <v>64036543.990000002</v>
      </c>
      <c r="D55" s="98">
        <f t="shared" si="0"/>
        <v>1.919621383142986</v>
      </c>
      <c r="E55" s="154">
        <v>58645000</v>
      </c>
      <c r="F55" s="98">
        <f t="shared" si="1"/>
        <v>1.6678721068202007</v>
      </c>
      <c r="G55" s="154">
        <v>58645000</v>
      </c>
      <c r="H55" s="98">
        <f t="shared" si="2"/>
        <v>1.6678721068202007</v>
      </c>
      <c r="I55" s="154">
        <f t="shared" si="5"/>
        <v>0</v>
      </c>
      <c r="J55" s="98">
        <f t="shared" si="4"/>
        <v>0</v>
      </c>
    </row>
    <row r="56" spans="2:10">
      <c r="B56" s="97" t="s">
        <v>90</v>
      </c>
      <c r="C56" s="154">
        <v>13086355.520000001</v>
      </c>
      <c r="D56" s="98">
        <f t="shared" si="0"/>
        <v>0.39228925108022916</v>
      </c>
      <c r="E56" s="154">
        <v>20758124</v>
      </c>
      <c r="F56" s="98">
        <f t="shared" si="1"/>
        <v>0.59036398686188019</v>
      </c>
      <c r="G56" s="154">
        <v>20758124</v>
      </c>
      <c r="H56" s="98">
        <f t="shared" si="2"/>
        <v>0.59036398686188019</v>
      </c>
      <c r="I56" s="154">
        <f t="shared" si="5"/>
        <v>0</v>
      </c>
      <c r="J56" s="98">
        <f t="shared" si="4"/>
        <v>0</v>
      </c>
    </row>
    <row r="57" spans="2:10">
      <c r="B57" s="97" t="s">
        <v>92</v>
      </c>
      <c r="C57" s="154">
        <v>383190248.31999987</v>
      </c>
      <c r="D57" s="98">
        <f t="shared" si="0"/>
        <v>11.486881531298929</v>
      </c>
      <c r="E57" s="154">
        <v>397320274.96999997</v>
      </c>
      <c r="F57" s="98">
        <f t="shared" si="1"/>
        <v>11.299844898910312</v>
      </c>
      <c r="G57" s="154">
        <v>397320274.96999997</v>
      </c>
      <c r="H57" s="98">
        <f t="shared" si="2"/>
        <v>11.299844898910312</v>
      </c>
      <c r="I57" s="154">
        <f t="shared" si="5"/>
        <v>0</v>
      </c>
      <c r="J57" s="98">
        <f t="shared" si="4"/>
        <v>0</v>
      </c>
    </row>
    <row r="58" spans="2:10">
      <c r="B58" s="97" t="s">
        <v>94</v>
      </c>
      <c r="C58" s="154">
        <v>14792096.089999998</v>
      </c>
      <c r="D58" s="98">
        <f t="shared" si="0"/>
        <v>0.44342218031478986</v>
      </c>
      <c r="E58" s="154">
        <v>14500000</v>
      </c>
      <c r="F58" s="98">
        <f t="shared" si="1"/>
        <v>0.4123820538646587</v>
      </c>
      <c r="G58" s="154">
        <v>14500000</v>
      </c>
      <c r="H58" s="98">
        <f t="shared" si="2"/>
        <v>0.4123820538646587</v>
      </c>
      <c r="I58" s="154">
        <f t="shared" si="5"/>
        <v>0</v>
      </c>
      <c r="J58" s="98">
        <f t="shared" si="4"/>
        <v>0</v>
      </c>
    </row>
    <row r="59" spans="2:10">
      <c r="B59" s="97" t="s">
        <v>431</v>
      </c>
      <c r="C59" s="154">
        <v>7862525.3600000013</v>
      </c>
      <c r="D59" s="98">
        <f t="shared" si="0"/>
        <v>0.23569466536040659</v>
      </c>
      <c r="E59" s="154">
        <v>7000000</v>
      </c>
      <c r="F59" s="98">
        <f t="shared" si="1"/>
        <v>0.19908099152086972</v>
      </c>
      <c r="G59" s="154">
        <v>7000000</v>
      </c>
      <c r="H59" s="98">
        <f t="shared" si="2"/>
        <v>0.19908099152086972</v>
      </c>
      <c r="I59" s="154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4">
        <v>94307106.209999993</v>
      </c>
      <c r="D61" s="98">
        <f t="shared" si="0"/>
        <v>2.8270410359953697</v>
      </c>
      <c r="E61" s="154">
        <v>101040047.61999999</v>
      </c>
      <c r="F61" s="98">
        <f t="shared" si="1"/>
        <v>2.8735932662150696</v>
      </c>
      <c r="G61" s="154">
        <v>101040047.61999999</v>
      </c>
      <c r="H61" s="98">
        <f t="shared" si="2"/>
        <v>2.8735932662150696</v>
      </c>
      <c r="I61" s="154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4"/>
      <c r="D62" s="98">
        <f t="shared" si="0"/>
        <v>0</v>
      </c>
      <c r="E62" s="154"/>
      <c r="F62" s="98">
        <f t="shared" si="1"/>
        <v>0</v>
      </c>
      <c r="G62" s="154"/>
      <c r="H62" s="98">
        <f t="shared" si="2"/>
        <v>0</v>
      </c>
      <c r="I62" s="154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60">
        <v>61785502.860000007</v>
      </c>
      <c r="D63" s="92">
        <f t="shared" si="0"/>
        <v>1.8521419968700925</v>
      </c>
      <c r="E63" s="160">
        <v>101820500</v>
      </c>
      <c r="F63" s="92">
        <f t="shared" si="1"/>
        <v>2.8957894424501021</v>
      </c>
      <c r="G63" s="160">
        <v>101820500</v>
      </c>
      <c r="H63" s="92">
        <f t="shared" si="2"/>
        <v>2.8957894424501021</v>
      </c>
      <c r="I63" s="160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52">
        <v>2752781.9799999995</v>
      </c>
      <c r="D64" s="96">
        <f t="shared" si="0"/>
        <v>8.2520055310353516E-2</v>
      </c>
      <c r="E64" s="152">
        <v>2140000</v>
      </c>
      <c r="F64" s="96">
        <f t="shared" si="1"/>
        <v>6.0861903122094448E-2</v>
      </c>
      <c r="G64" s="152">
        <v>2140000</v>
      </c>
      <c r="H64" s="96">
        <f t="shared" si="2"/>
        <v>6.0861903122094448E-2</v>
      </c>
      <c r="I64" s="152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52">
        <v>14126844.789999999</v>
      </c>
      <c r="D65" s="96">
        <f t="shared" si="0"/>
        <v>0.42347996386970665</v>
      </c>
      <c r="E65" s="152">
        <v>8854649.7699999996</v>
      </c>
      <c r="F65" s="96">
        <f t="shared" si="1"/>
        <v>0.25182749368309154</v>
      </c>
      <c r="G65" s="152">
        <v>8854649.7699999996</v>
      </c>
      <c r="H65" s="96">
        <f t="shared" si="2"/>
        <v>0.25182749368309154</v>
      </c>
      <c r="I65" s="152">
        <f t="shared" si="5"/>
        <v>0</v>
      </c>
      <c r="J65" s="96">
        <f t="shared" si="4"/>
        <v>0</v>
      </c>
    </row>
    <row r="66" spans="2:10" ht="14.25" thickTop="1" thickBot="1">
      <c r="B66" s="146" t="s">
        <v>112</v>
      </c>
      <c r="C66" s="161">
        <v>107239350.92999999</v>
      </c>
      <c r="D66" s="148">
        <f t="shared" si="0"/>
        <v>3.2147105126683559</v>
      </c>
      <c r="E66" s="161">
        <v>0</v>
      </c>
      <c r="F66" s="148">
        <f t="shared" si="1"/>
        <v>0</v>
      </c>
      <c r="G66" s="161">
        <v>5153201.26</v>
      </c>
      <c r="H66" s="148">
        <f t="shared" si="2"/>
        <v>0.14655777376391357</v>
      </c>
      <c r="I66" s="161">
        <f t="shared" si="5"/>
        <v>5153201.26</v>
      </c>
      <c r="J66" s="148" t="e">
        <f t="shared" si="4"/>
        <v>#DIV/0!</v>
      </c>
    </row>
    <row r="67" spans="2:10" ht="14.25" thickTop="1" thickBot="1">
      <c r="B67" s="181" t="s">
        <v>151</v>
      </c>
      <c r="C67" s="152">
        <v>0</v>
      </c>
      <c r="D67" s="96">
        <f t="shared" si="0"/>
        <v>0</v>
      </c>
      <c r="E67" s="152">
        <v>0</v>
      </c>
      <c r="F67" s="96">
        <f t="shared" si="1"/>
        <v>0</v>
      </c>
      <c r="G67" s="152">
        <v>0</v>
      </c>
      <c r="H67" s="96">
        <f t="shared" si="2"/>
        <v>0</v>
      </c>
      <c r="I67" s="152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4">
        <v>112695950.91</v>
      </c>
      <c r="D71" s="98">
        <f t="shared" si="0"/>
        <v>3.3782828316632929</v>
      </c>
      <c r="E71" s="154">
        <v>30008345.27</v>
      </c>
      <c r="F71" s="98">
        <f t="shared" si="1"/>
        <v>0.8534415900360286</v>
      </c>
      <c r="G71" s="154">
        <v>30008345.27</v>
      </c>
      <c r="H71" s="98">
        <f t="shared" si="2"/>
        <v>0.8534415900360286</v>
      </c>
      <c r="I71" s="154">
        <f t="shared" si="5"/>
        <v>0</v>
      </c>
      <c r="J71" s="98">
        <f t="shared" si="4"/>
        <v>0</v>
      </c>
    </row>
    <row r="72" spans="2:10">
      <c r="B72" s="97" t="s">
        <v>136</v>
      </c>
      <c r="C72" s="154">
        <v>68802905.489999995</v>
      </c>
      <c r="D72" s="98">
        <f t="shared" si="0"/>
        <v>2.0625024458158605</v>
      </c>
      <c r="E72" s="154">
        <v>108080400.25</v>
      </c>
      <c r="F72" s="98">
        <f t="shared" si="1"/>
        <v>3.073821892248922</v>
      </c>
      <c r="G72" s="154">
        <v>108080400.25</v>
      </c>
      <c r="H72" s="98">
        <f t="shared" si="2"/>
        <v>3.073821892248922</v>
      </c>
      <c r="I72" s="154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4">
        <v>60278571.609999992</v>
      </c>
      <c r="D73" s="98">
        <f t="shared" ref="D73:D79" si="6">C73/C$3*100</f>
        <v>1.8069687681137414</v>
      </c>
      <c r="E73" s="154">
        <v>33338159.969999999</v>
      </c>
      <c r="F73" s="98">
        <f t="shared" si="1"/>
        <v>0.94814199175842395</v>
      </c>
      <c r="G73" s="154">
        <v>33338159.969999999</v>
      </c>
      <c r="H73" s="98">
        <f t="shared" ref="H73:H79" si="7">G73/E$3*100</f>
        <v>0.94814199175842395</v>
      </c>
      <c r="I73" s="154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4">
        <v>102834751.84999999</v>
      </c>
      <c r="D76" s="98">
        <f t="shared" si="6"/>
        <v>3.0826739902186082</v>
      </c>
      <c r="E76" s="154">
        <v>0</v>
      </c>
      <c r="F76" s="98">
        <f t="shared" si="8"/>
        <v>0</v>
      </c>
      <c r="G76" s="183">
        <v>0</v>
      </c>
      <c r="H76" s="184">
        <f t="shared" si="7"/>
        <v>0</v>
      </c>
      <c r="I76" s="154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4">
        <v>230537476.81999999</v>
      </c>
      <c r="D77" s="98">
        <f t="shared" si="6"/>
        <v>6.910814396676539</v>
      </c>
      <c r="E77" s="154">
        <v>227975575.86282945</v>
      </c>
      <c r="F77" s="98">
        <f t="shared" si="8"/>
        <v>6.4836576693304764</v>
      </c>
      <c r="G77" s="183">
        <v>227975575.86282945</v>
      </c>
      <c r="H77" s="184">
        <f t="shared" si="7"/>
        <v>6.4836576693304764</v>
      </c>
      <c r="I77" s="154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4">
        <v>11948846.35</v>
      </c>
      <c r="D78" s="104">
        <f t="shared" si="6"/>
        <v>0.35819017592410862</v>
      </c>
      <c r="E78" s="154">
        <v>5000000</v>
      </c>
      <c r="F78" s="104">
        <f t="shared" si="8"/>
        <v>0.14220070822919265</v>
      </c>
      <c r="G78" s="183">
        <v>5000000</v>
      </c>
      <c r="H78" s="184">
        <f t="shared" si="7"/>
        <v>0.14220070822919265</v>
      </c>
      <c r="I78" s="154">
        <f t="shared" si="9"/>
        <v>0</v>
      </c>
      <c r="J78" s="104">
        <f t="shared" si="10"/>
        <v>0</v>
      </c>
    </row>
    <row r="79" spans="2:10" ht="14.25" thickTop="1" thickBot="1">
      <c r="B79" s="146" t="s">
        <v>124</v>
      </c>
      <c r="C79" s="147">
        <f>-C74-SUM(C76:C78)</f>
        <v>24776977.5729177</v>
      </c>
      <c r="D79" s="148">
        <f t="shared" si="6"/>
        <v>0.74273864570290371</v>
      </c>
      <c r="E79" s="147">
        <f>-E74-SUM(E76:E78)</f>
        <v>-10502963.319999933</v>
      </c>
      <c r="F79" s="148">
        <f t="shared" si="8"/>
        <v>-0.29870576452184461</v>
      </c>
      <c r="G79" s="185">
        <f>-G74-SUM(G76:G78)</f>
        <v>-27124068.379600048</v>
      </c>
      <c r="H79" s="186">
        <f t="shared" si="7"/>
        <v>-0.77141234672723535</v>
      </c>
      <c r="I79" s="147">
        <f t="shared" si="9"/>
        <v>-16621105.059600115</v>
      </c>
      <c r="J79" s="148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444</v>
      </c>
      <c r="E4">
        <v>2015</v>
      </c>
      <c r="F4">
        <v>2016</v>
      </c>
      <c r="G4">
        <v>2017</v>
      </c>
    </row>
    <row r="5" spans="3:7">
      <c r="C5" t="s">
        <v>442</v>
      </c>
      <c r="D5" s="180">
        <v>-26424601.993229389</v>
      </c>
      <c r="E5" s="180">
        <v>-24569497.372829676</v>
      </c>
      <c r="F5" s="180">
        <v>33498994.005818129</v>
      </c>
      <c r="G5" s="180">
        <v>103834080.12588143</v>
      </c>
    </row>
    <row r="6" spans="3:7">
      <c r="C6" t="s">
        <v>443</v>
      </c>
      <c r="D6" s="180">
        <v>-51424601.993229389</v>
      </c>
      <c r="E6" s="180">
        <v>-149569497.37282968</v>
      </c>
      <c r="F6" s="180">
        <v>-191501005.99418187</v>
      </c>
      <c r="G6" s="180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Central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2017-03-06T11:54:56Z</cp:lastPrinted>
  <dcterms:created xsi:type="dcterms:W3CDTF">2008-03-17T08:49:23Z</dcterms:created>
  <dcterms:modified xsi:type="dcterms:W3CDTF">2017-03-06T13:29:22Z</dcterms:modified>
</cp:coreProperties>
</file>