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ropbox\MINISTARSTVO FINANSIJA\SEP\00_GDDS\Arhiva GDDS_ montly data_f\2018\"/>
    </mc:Choice>
  </mc:AlternateContent>
  <bookViews>
    <workbookView xWindow="0" yWindow="0" windowWidth="24000" windowHeight="9000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'2018'!$A$102:$A$161</definedName>
  </definedNames>
  <calcPr calcId="162913"/>
</workbook>
</file>

<file path=xl/calcChain.xml><?xml version="1.0" encoding="utf-8"?>
<calcChain xmlns="http://schemas.openxmlformats.org/spreadsheetml/2006/main">
  <c r="O61" i="11" l="1"/>
  <c r="H61" i="11"/>
  <c r="H156" i="13"/>
  <c r="I156" i="13"/>
  <c r="J156" i="13"/>
  <c r="K156" i="13"/>
  <c r="L156" i="13"/>
  <c r="M156" i="13"/>
  <c r="N156" i="13"/>
  <c r="O156" i="13"/>
  <c r="P156" i="13"/>
  <c r="Q156" i="13"/>
  <c r="R156" i="13"/>
  <c r="G156" i="13"/>
  <c r="H155" i="13"/>
  <c r="I155" i="13"/>
  <c r="J155" i="13"/>
  <c r="K155" i="13"/>
  <c r="L155" i="13"/>
  <c r="M155" i="13"/>
  <c r="N155" i="13"/>
  <c r="O155" i="13"/>
  <c r="P155" i="13"/>
  <c r="Q155" i="13"/>
  <c r="R155" i="13"/>
  <c r="G155" i="13"/>
  <c r="EX376" i="6"/>
  <c r="S155" i="13" l="1"/>
  <c r="T155" i="13" s="1"/>
  <c r="H60" i="13"/>
  <c r="I60" i="13"/>
  <c r="J60" i="13"/>
  <c r="K60" i="13"/>
  <c r="N61" i="11" s="1"/>
  <c r="T61" i="11" s="1"/>
  <c r="L60" i="13"/>
  <c r="M60" i="13"/>
  <c r="N60" i="13"/>
  <c r="O60" i="13"/>
  <c r="P60" i="13"/>
  <c r="Q60" i="13"/>
  <c r="R60" i="13"/>
  <c r="S60" i="13"/>
  <c r="T60" i="13" s="1"/>
  <c r="G60" i="13"/>
  <c r="EX161" i="6"/>
  <c r="P61" i="11" l="1"/>
  <c r="Q61" i="11"/>
  <c r="S61" i="11"/>
  <c r="G61" i="11"/>
  <c r="R64" i="11"/>
  <c r="R65" i="11"/>
  <c r="R66" i="11"/>
  <c r="M61" i="11" l="1"/>
  <c r="L61" i="11"/>
  <c r="J61" i="11"/>
  <c r="I61" i="11"/>
  <c r="G64" i="13"/>
  <c r="A159" i="16" l="1"/>
  <c r="A158" i="16"/>
  <c r="A157" i="16"/>
  <c r="A156" i="16"/>
  <c r="A155" i="16"/>
  <c r="A154" i="16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A149" i="16"/>
  <c r="A148" i="16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A144" i="16"/>
  <c r="R143" i="16"/>
  <c r="P143" i="16"/>
  <c r="O143" i="16"/>
  <c r="N143" i="16"/>
  <c r="L143" i="16"/>
  <c r="K143" i="16"/>
  <c r="J143" i="16"/>
  <c r="H143" i="16"/>
  <c r="G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A137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A126" i="16"/>
  <c r="A125" i="16"/>
  <c r="A124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A114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A106" i="16"/>
  <c r="A105" i="16"/>
  <c r="A104" i="16"/>
  <c r="T102" i="16"/>
  <c r="T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R59" i="11"/>
  <c r="R58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1" i="11"/>
  <c r="R40" i="11"/>
  <c r="R39" i="11"/>
  <c r="R38" i="11"/>
  <c r="R37" i="11"/>
  <c r="R36" i="11"/>
  <c r="R35" i="11"/>
  <c r="R34" i="11"/>
  <c r="R33" i="11"/>
  <c r="R32" i="11"/>
  <c r="R28" i="11"/>
  <c r="R27" i="11"/>
  <c r="R26" i="11"/>
  <c r="R25" i="11"/>
  <c r="R24" i="11"/>
  <c r="R23" i="11"/>
  <c r="R22" i="11"/>
  <c r="R21" i="11"/>
  <c r="R20" i="11"/>
  <c r="R19" i="16"/>
  <c r="Q19" i="16"/>
  <c r="P19" i="16"/>
  <c r="O19" i="16"/>
  <c r="N19" i="16"/>
  <c r="M19" i="16"/>
  <c r="L19" i="16"/>
  <c r="K19" i="16"/>
  <c r="J19" i="16"/>
  <c r="R19" i="11" s="1"/>
  <c r="I19" i="16"/>
  <c r="H19" i="16"/>
  <c r="G19" i="16"/>
  <c r="R18" i="11"/>
  <c r="R17" i="11"/>
  <c r="R16" i="11"/>
  <c r="R15" i="11"/>
  <c r="R14" i="11"/>
  <c r="R13" i="11"/>
  <c r="R12" i="11"/>
  <c r="R5" i="16"/>
  <c r="Q5" i="16"/>
  <c r="P5" i="16"/>
  <c r="O5" i="16"/>
  <c r="N5" i="16"/>
  <c r="M5" i="16"/>
  <c r="L5" i="16"/>
  <c r="K5" i="16"/>
  <c r="J5" i="16"/>
  <c r="I5" i="16"/>
  <c r="H5" i="16"/>
  <c r="G5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4" i="11"/>
  <c r="K65" i="11"/>
  <c r="K66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M57" i="16"/>
  <c r="G150" i="16"/>
  <c r="N136" i="16"/>
  <c r="H57" i="16"/>
  <c r="L57" i="16"/>
  <c r="P57" i="16"/>
  <c r="N42" i="16"/>
  <c r="J57" i="16"/>
  <c r="R57" i="11" s="1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Q42" i="16"/>
  <c r="H105" i="16"/>
  <c r="L105" i="16"/>
  <c r="P105" i="16"/>
  <c r="J105" i="16"/>
  <c r="K125" i="16"/>
  <c r="O125" i="16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Q31" i="16"/>
  <c r="S37" i="16"/>
  <c r="T37" i="16" s="1"/>
  <c r="J113" i="16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R31" i="11" s="1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1" s="1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R125" i="16"/>
  <c r="P156" i="16"/>
  <c r="L156" i="16"/>
  <c r="H156" i="16"/>
  <c r="O156" i="16"/>
  <c r="K156" i="16"/>
  <c r="G156" i="16"/>
  <c r="R156" i="16"/>
  <c r="N156" i="16"/>
  <c r="J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H125" i="16"/>
  <c r="L125" i="16"/>
  <c r="P12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Q153" i="16"/>
  <c r="I142" i="16"/>
  <c r="M142" i="16"/>
  <c r="I143" i="16"/>
  <c r="M143" i="16"/>
  <c r="O123" i="16" l="1"/>
  <c r="O124" i="16" s="1"/>
  <c r="G29" i="16"/>
  <c r="L104" i="16"/>
  <c r="J10" i="16"/>
  <c r="R10" i="11" s="1"/>
  <c r="R11" i="11"/>
  <c r="K29" i="16"/>
  <c r="K30" i="16" s="1"/>
  <c r="Q123" i="16"/>
  <c r="Q124" i="16" s="1"/>
  <c r="S113" i="16"/>
  <c r="T113" i="16" s="1"/>
  <c r="L123" i="16"/>
  <c r="L124" i="16" s="1"/>
  <c r="I10" i="16"/>
  <c r="N29" i="16"/>
  <c r="N30" i="16" s="1"/>
  <c r="M29" i="16"/>
  <c r="M30" i="16" s="1"/>
  <c r="J104" i="16"/>
  <c r="J148" i="16" s="1"/>
  <c r="J149" i="16" s="1"/>
  <c r="K123" i="16"/>
  <c r="K124" i="16" s="1"/>
  <c r="H104" i="16"/>
  <c r="N123" i="16"/>
  <c r="N124" i="16" s="1"/>
  <c r="H123" i="16"/>
  <c r="H124" i="16" s="1"/>
  <c r="K57" i="11"/>
  <c r="K31" i="11"/>
  <c r="G123" i="16"/>
  <c r="G124" i="16" s="1"/>
  <c r="R104" i="16"/>
  <c r="I29" i="16"/>
  <c r="H10" i="16"/>
  <c r="K42" i="11"/>
  <c r="I123" i="16"/>
  <c r="I124" i="16" s="1"/>
  <c r="G10" i="16"/>
  <c r="K11" i="11"/>
  <c r="Q104" i="16"/>
  <c r="M104" i="16"/>
  <c r="S57" i="16"/>
  <c r="T57" i="16" s="1"/>
  <c r="S42" i="16"/>
  <c r="T42" i="16" s="1"/>
  <c r="S136" i="16"/>
  <c r="T136" i="16" s="1"/>
  <c r="P104" i="16"/>
  <c r="P123" i="16"/>
  <c r="P124" i="16" s="1"/>
  <c r="K104" i="16"/>
  <c r="N148" i="16"/>
  <c r="N149" i="16" s="1"/>
  <c r="R123" i="16"/>
  <c r="R124" i="16" s="1"/>
  <c r="S105" i="16"/>
  <c r="T105" i="16" s="1"/>
  <c r="Q29" i="16"/>
  <c r="Q30" i="16" s="1"/>
  <c r="S31" i="16"/>
  <c r="T31" i="16" s="1"/>
  <c r="I104" i="16"/>
  <c r="J124" i="16"/>
  <c r="S11" i="16"/>
  <c r="T11" i="16" s="1"/>
  <c r="S152" i="16"/>
  <c r="T152" i="16" s="1"/>
  <c r="S143" i="16"/>
  <c r="T143" i="16" s="1"/>
  <c r="P29" i="16"/>
  <c r="L29" i="16"/>
  <c r="J29" i="16"/>
  <c r="S153" i="16"/>
  <c r="T153" i="16" s="1"/>
  <c r="O104" i="16"/>
  <c r="H29" i="16"/>
  <c r="R29" i="16"/>
  <c r="R30" i="16" s="1"/>
  <c r="K55" i="16"/>
  <c r="O55" i="16"/>
  <c r="N150" i="16"/>
  <c r="H150" i="16"/>
  <c r="M123" i="16"/>
  <c r="S142" i="16"/>
  <c r="T142" i="16" s="1"/>
  <c r="Q150" i="16"/>
  <c r="R150" i="16"/>
  <c r="L150" i="16"/>
  <c r="S157" i="16"/>
  <c r="T157" i="16" s="1"/>
  <c r="S156" i="16"/>
  <c r="T156" i="16" s="1"/>
  <c r="S125" i="16"/>
  <c r="T125" i="16" s="1"/>
  <c r="G104" i="16"/>
  <c r="K150" i="16"/>
  <c r="P150" i="16"/>
  <c r="S151" i="16"/>
  <c r="T151" i="16" s="1"/>
  <c r="J150" i="16"/>
  <c r="O150" i="16"/>
  <c r="S158" i="16"/>
  <c r="T158" i="16" s="1"/>
  <c r="G30" i="16"/>
  <c r="L148" i="16" l="1"/>
  <c r="O148" i="16"/>
  <c r="O149" i="16" s="1"/>
  <c r="J30" i="16"/>
  <c r="R30" i="11" s="1"/>
  <c r="R29" i="11"/>
  <c r="Q148" i="16"/>
  <c r="Q149" i="16" s="1"/>
  <c r="K148" i="16"/>
  <c r="K149" i="16" s="1"/>
  <c r="S10" i="16"/>
  <c r="T10" i="16" s="1"/>
  <c r="H148" i="16"/>
  <c r="H149" i="16" s="1"/>
  <c r="M55" i="16"/>
  <c r="M56" i="16" s="1"/>
  <c r="K10" i="11"/>
  <c r="I30" i="16"/>
  <c r="N55" i="16"/>
  <c r="N56" i="16" s="1"/>
  <c r="N154" i="16"/>
  <c r="N159" i="16" s="1"/>
  <c r="N155" i="16" s="1"/>
  <c r="I55" i="16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R149" i="16" s="1"/>
  <c r="K29" i="11"/>
  <c r="O154" i="16"/>
  <c r="O159" i="16" s="1"/>
  <c r="O155" i="16" s="1"/>
  <c r="G55" i="16"/>
  <c r="G60" i="16" s="1"/>
  <c r="K154" i="16"/>
  <c r="K159" i="16" s="1"/>
  <c r="K155" i="16" s="1"/>
  <c r="S123" i="16"/>
  <c r="T123" i="16" s="1"/>
  <c r="Q55" i="16"/>
  <c r="P148" i="16"/>
  <c r="P149" i="16" s="1"/>
  <c r="S29" i="16"/>
  <c r="T29" i="16" s="1"/>
  <c r="R55" i="16"/>
  <c r="H30" i="16"/>
  <c r="H55" i="16"/>
  <c r="O56" i="16"/>
  <c r="O60" i="16"/>
  <c r="O65" i="16" s="1"/>
  <c r="O61" i="16" s="1"/>
  <c r="J55" i="16"/>
  <c r="R55" i="11" s="1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S150" i="16"/>
  <c r="T150" i="16" s="1"/>
  <c r="I149" i="16" l="1"/>
  <c r="N60" i="16"/>
  <c r="N65" i="16" s="1"/>
  <c r="N61" i="16" s="1"/>
  <c r="H154" i="16"/>
  <c r="H159" i="16" s="1"/>
  <c r="H155" i="16" s="1"/>
  <c r="M60" i="16"/>
  <c r="M65" i="16" s="1"/>
  <c r="M61" i="16" s="1"/>
  <c r="I56" i="16"/>
  <c r="R154" i="16"/>
  <c r="R159" i="16" s="1"/>
  <c r="R155" i="16" s="1"/>
  <c r="I60" i="16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H56" i="16"/>
  <c r="J60" i="16"/>
  <c r="R62" i="11" s="1"/>
  <c r="J56" i="16"/>
  <c r="R56" i="11" s="1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J65" i="16" l="1"/>
  <c r="R67" i="11" s="1"/>
  <c r="I65" i="16"/>
  <c r="K62" i="1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J61" i="16" l="1"/>
  <c r="R63" i="11" s="1"/>
  <c r="I61" i="16"/>
  <c r="S65" i="16"/>
  <c r="T65" i="16" s="1"/>
  <c r="K67" i="11"/>
  <c r="H61" i="16"/>
  <c r="S159" i="16"/>
  <c r="T159" i="16" s="1"/>
  <c r="G155" i="16"/>
  <c r="S155" i="16" s="1"/>
  <c r="T155" i="16" s="1"/>
  <c r="K63" i="11" l="1"/>
  <c r="S61" i="16"/>
  <c r="T61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FF400" i="6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4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FF328" i="6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FF357" i="6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H53" i="11" s="1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M60" i="11" l="1"/>
  <c r="L60" i="11"/>
  <c r="O60" i="11" l="1"/>
  <c r="EE394" i="6" l="1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N66" i="11" s="1"/>
  <c r="J65" i="13"/>
  <c r="I65" i="13"/>
  <c r="H65" i="13"/>
  <c r="G65" i="13"/>
  <c r="R64" i="13"/>
  <c r="Q64" i="13"/>
  <c r="P64" i="13"/>
  <c r="O64" i="13"/>
  <c r="N64" i="13"/>
  <c r="M64" i="13"/>
  <c r="L64" i="13"/>
  <c r="K64" i="13"/>
  <c r="N65" i="11" s="1"/>
  <c r="J64" i="13"/>
  <c r="I64" i="13"/>
  <c r="H64" i="13"/>
  <c r="R63" i="13"/>
  <c r="Q63" i="13"/>
  <c r="P63" i="13"/>
  <c r="O63" i="13"/>
  <c r="N63" i="13"/>
  <c r="M63" i="13"/>
  <c r="L63" i="13"/>
  <c r="K63" i="13"/>
  <c r="N64" i="11" s="1"/>
  <c r="J63" i="13"/>
  <c r="I63" i="13"/>
  <c r="H63" i="13"/>
  <c r="G63" i="13"/>
  <c r="R59" i="13"/>
  <c r="Q59" i="13"/>
  <c r="P59" i="13"/>
  <c r="O59" i="13"/>
  <c r="N59" i="13"/>
  <c r="M59" i="13"/>
  <c r="L59" i="13"/>
  <c r="K59" i="13"/>
  <c r="N59" i="11" s="1"/>
  <c r="J59" i="13"/>
  <c r="I59" i="13"/>
  <c r="H59" i="13"/>
  <c r="G59" i="13"/>
  <c r="R58" i="13"/>
  <c r="Q58" i="13"/>
  <c r="P58" i="13"/>
  <c r="O58" i="13"/>
  <c r="N58" i="13"/>
  <c r="M58" i="13"/>
  <c r="L58" i="13"/>
  <c r="K58" i="13"/>
  <c r="N58" i="11" s="1"/>
  <c r="J58" i="13"/>
  <c r="I58" i="13"/>
  <c r="H58" i="13"/>
  <c r="G58" i="13"/>
  <c r="R54" i="13"/>
  <c r="Q54" i="13"/>
  <c r="P54" i="13"/>
  <c r="O54" i="13"/>
  <c r="N54" i="13"/>
  <c r="M54" i="13"/>
  <c r="L54" i="13"/>
  <c r="K54" i="13"/>
  <c r="N54" i="11" s="1"/>
  <c r="J54" i="13"/>
  <c r="I54" i="13"/>
  <c r="H54" i="13"/>
  <c r="G54" i="13"/>
  <c r="R53" i="13"/>
  <c r="Q53" i="13"/>
  <c r="P53" i="13"/>
  <c r="O53" i="13"/>
  <c r="N53" i="13"/>
  <c r="M53" i="13"/>
  <c r="L53" i="13"/>
  <c r="K53" i="13"/>
  <c r="N53" i="11" s="1"/>
  <c r="J53" i="13"/>
  <c r="I53" i="13"/>
  <c r="H53" i="13"/>
  <c r="G53" i="13"/>
  <c r="R52" i="13"/>
  <c r="Q52" i="13"/>
  <c r="P52" i="13"/>
  <c r="O52" i="13"/>
  <c r="N52" i="13"/>
  <c r="M52" i="13"/>
  <c r="L52" i="13"/>
  <c r="K52" i="13"/>
  <c r="N52" i="11" s="1"/>
  <c r="J52" i="13"/>
  <c r="I52" i="13"/>
  <c r="H52" i="13"/>
  <c r="G52" i="13"/>
  <c r="R51" i="13"/>
  <c r="Q51" i="13"/>
  <c r="P51" i="13"/>
  <c r="O51" i="13"/>
  <c r="N51" i="13"/>
  <c r="M51" i="13"/>
  <c r="L51" i="13"/>
  <c r="K51" i="13"/>
  <c r="N51" i="11" s="1"/>
  <c r="J51" i="13"/>
  <c r="I51" i="13"/>
  <c r="H51" i="13"/>
  <c r="G51" i="13"/>
  <c r="R50" i="13"/>
  <c r="Q50" i="13"/>
  <c r="P50" i="13"/>
  <c r="O50" i="13"/>
  <c r="N50" i="13"/>
  <c r="M50" i="13"/>
  <c r="L50" i="13"/>
  <c r="K50" i="13"/>
  <c r="N50" i="11" s="1"/>
  <c r="J50" i="13"/>
  <c r="I50" i="13"/>
  <c r="H50" i="13"/>
  <c r="G50" i="13"/>
  <c r="R49" i="13"/>
  <c r="Q49" i="13"/>
  <c r="P49" i="13"/>
  <c r="O49" i="13"/>
  <c r="N49" i="13"/>
  <c r="M49" i="13"/>
  <c r="L49" i="13"/>
  <c r="K49" i="13"/>
  <c r="N49" i="11" s="1"/>
  <c r="J49" i="13"/>
  <c r="I49" i="13"/>
  <c r="H49" i="13"/>
  <c r="G49" i="13"/>
  <c r="R48" i="13"/>
  <c r="Q48" i="13"/>
  <c r="P48" i="13"/>
  <c r="O48" i="13"/>
  <c r="N48" i="13"/>
  <c r="M48" i="13"/>
  <c r="L48" i="13"/>
  <c r="K48" i="13"/>
  <c r="N48" i="11" s="1"/>
  <c r="J48" i="13"/>
  <c r="I48" i="13"/>
  <c r="H48" i="13"/>
  <c r="G48" i="13"/>
  <c r="R47" i="13"/>
  <c r="Q47" i="13"/>
  <c r="P47" i="13"/>
  <c r="O47" i="13"/>
  <c r="N47" i="13"/>
  <c r="M47" i="13"/>
  <c r="L47" i="13"/>
  <c r="K47" i="13"/>
  <c r="N47" i="11" s="1"/>
  <c r="J47" i="13"/>
  <c r="I47" i="13"/>
  <c r="H47" i="13"/>
  <c r="G47" i="13"/>
  <c r="R46" i="13"/>
  <c r="Q46" i="13"/>
  <c r="P46" i="13"/>
  <c r="O46" i="13"/>
  <c r="N46" i="13"/>
  <c r="M46" i="13"/>
  <c r="L46" i="13"/>
  <c r="K46" i="13"/>
  <c r="N46" i="11" s="1"/>
  <c r="J46" i="13"/>
  <c r="I46" i="13"/>
  <c r="H46" i="13"/>
  <c r="G46" i="13"/>
  <c r="R45" i="13"/>
  <c r="Q45" i="13"/>
  <c r="P45" i="13"/>
  <c r="O45" i="13"/>
  <c r="N45" i="13"/>
  <c r="M45" i="13"/>
  <c r="L45" i="13"/>
  <c r="K45" i="13"/>
  <c r="N45" i="11" s="1"/>
  <c r="J45" i="13"/>
  <c r="I45" i="13"/>
  <c r="H45" i="13"/>
  <c r="G45" i="13"/>
  <c r="R44" i="13"/>
  <c r="Q44" i="13"/>
  <c r="P44" i="13"/>
  <c r="O44" i="13"/>
  <c r="N44" i="13"/>
  <c r="M44" i="13"/>
  <c r="L44" i="13"/>
  <c r="K44" i="13"/>
  <c r="N44" i="11" s="1"/>
  <c r="J44" i="13"/>
  <c r="I44" i="13"/>
  <c r="H44" i="13"/>
  <c r="G44" i="13"/>
  <c r="R43" i="13"/>
  <c r="Q43" i="13"/>
  <c r="P43" i="13"/>
  <c r="O43" i="13"/>
  <c r="N43" i="13"/>
  <c r="M43" i="13"/>
  <c r="L43" i="13"/>
  <c r="K43" i="13"/>
  <c r="N43" i="11" s="1"/>
  <c r="J43" i="13"/>
  <c r="I43" i="13"/>
  <c r="H43" i="13"/>
  <c r="G43" i="13"/>
  <c r="R41" i="13"/>
  <c r="Q41" i="13"/>
  <c r="P41" i="13"/>
  <c r="O41" i="13"/>
  <c r="N41" i="13"/>
  <c r="M41" i="13"/>
  <c r="L41" i="13"/>
  <c r="K41" i="13"/>
  <c r="N41" i="11" s="1"/>
  <c r="J41" i="13"/>
  <c r="I41" i="13"/>
  <c r="H41" i="13"/>
  <c r="G41" i="13"/>
  <c r="R40" i="13"/>
  <c r="Q40" i="13"/>
  <c r="P40" i="13"/>
  <c r="O40" i="13"/>
  <c r="N40" i="13"/>
  <c r="M40" i="13"/>
  <c r="L40" i="13"/>
  <c r="K40" i="13"/>
  <c r="N40" i="11" s="1"/>
  <c r="J40" i="13"/>
  <c r="I40" i="13"/>
  <c r="H40" i="13"/>
  <c r="G40" i="13"/>
  <c r="R39" i="13"/>
  <c r="Q39" i="13"/>
  <c r="P39" i="13"/>
  <c r="O39" i="13"/>
  <c r="N39" i="13"/>
  <c r="M39" i="13"/>
  <c r="L39" i="13"/>
  <c r="K39" i="13"/>
  <c r="N39" i="11" s="1"/>
  <c r="J39" i="13"/>
  <c r="I39" i="13"/>
  <c r="H39" i="13"/>
  <c r="G39" i="13"/>
  <c r="R38" i="13"/>
  <c r="Q38" i="13"/>
  <c r="P38" i="13"/>
  <c r="O38" i="13"/>
  <c r="N38" i="13"/>
  <c r="M38" i="13"/>
  <c r="L38" i="13"/>
  <c r="K38" i="13"/>
  <c r="N38" i="11" s="1"/>
  <c r="J38" i="13"/>
  <c r="I38" i="13"/>
  <c r="H38" i="13"/>
  <c r="G38" i="13"/>
  <c r="R37" i="13"/>
  <c r="Q37" i="13"/>
  <c r="P37" i="13"/>
  <c r="O37" i="13"/>
  <c r="N37" i="13"/>
  <c r="M37" i="13"/>
  <c r="L37" i="13"/>
  <c r="K37" i="13"/>
  <c r="N37" i="11" s="1"/>
  <c r="J37" i="13"/>
  <c r="I37" i="13"/>
  <c r="H37" i="13"/>
  <c r="G37" i="13"/>
  <c r="R36" i="13"/>
  <c r="Q36" i="13"/>
  <c r="P36" i="13"/>
  <c r="O36" i="13"/>
  <c r="N36" i="13"/>
  <c r="M36" i="13"/>
  <c r="L36" i="13"/>
  <c r="K36" i="13"/>
  <c r="N36" i="11" s="1"/>
  <c r="J36" i="13"/>
  <c r="I36" i="13"/>
  <c r="H36" i="13"/>
  <c r="G36" i="13"/>
  <c r="R35" i="13"/>
  <c r="Q35" i="13"/>
  <c r="P35" i="13"/>
  <c r="O35" i="13"/>
  <c r="N35" i="13"/>
  <c r="M35" i="13"/>
  <c r="L35" i="13"/>
  <c r="K35" i="13"/>
  <c r="N35" i="11" s="1"/>
  <c r="J35" i="13"/>
  <c r="I35" i="13"/>
  <c r="H35" i="13"/>
  <c r="G35" i="13"/>
  <c r="R34" i="13"/>
  <c r="Q34" i="13"/>
  <c r="P34" i="13"/>
  <c r="O34" i="13"/>
  <c r="N34" i="13"/>
  <c r="M34" i="13"/>
  <c r="L34" i="13"/>
  <c r="K34" i="13"/>
  <c r="N34" i="11" s="1"/>
  <c r="J34" i="13"/>
  <c r="I34" i="13"/>
  <c r="H34" i="13"/>
  <c r="G34" i="13"/>
  <c r="R33" i="13"/>
  <c r="Q33" i="13"/>
  <c r="P33" i="13"/>
  <c r="O33" i="13"/>
  <c r="N33" i="13"/>
  <c r="M33" i="13"/>
  <c r="L33" i="13"/>
  <c r="K33" i="13"/>
  <c r="N33" i="11" s="1"/>
  <c r="J33" i="13"/>
  <c r="I33" i="13"/>
  <c r="H33" i="13"/>
  <c r="G33" i="13"/>
  <c r="R32" i="13"/>
  <c r="Q32" i="13"/>
  <c r="P32" i="13"/>
  <c r="O32" i="13"/>
  <c r="N32" i="13"/>
  <c r="M32" i="13"/>
  <c r="L32" i="13"/>
  <c r="K32" i="13"/>
  <c r="N32" i="11" s="1"/>
  <c r="J32" i="13"/>
  <c r="I32" i="13"/>
  <c r="H32" i="13"/>
  <c r="G32" i="13"/>
  <c r="R28" i="13"/>
  <c r="Q28" i="13"/>
  <c r="P28" i="13"/>
  <c r="O28" i="13"/>
  <c r="N28" i="13"/>
  <c r="M28" i="13"/>
  <c r="L28" i="13"/>
  <c r="K28" i="13"/>
  <c r="N28" i="11" s="1"/>
  <c r="J28" i="13"/>
  <c r="I28" i="13"/>
  <c r="H28" i="13"/>
  <c r="G28" i="13"/>
  <c r="R27" i="13"/>
  <c r="Q27" i="13"/>
  <c r="P27" i="13"/>
  <c r="O27" i="13"/>
  <c r="N27" i="13"/>
  <c r="M27" i="13"/>
  <c r="L27" i="13"/>
  <c r="K27" i="13"/>
  <c r="N27" i="11" s="1"/>
  <c r="J27" i="13"/>
  <c r="I27" i="13"/>
  <c r="H27" i="13"/>
  <c r="G27" i="13"/>
  <c r="R26" i="13"/>
  <c r="Q26" i="13"/>
  <c r="P26" i="13"/>
  <c r="O26" i="13"/>
  <c r="N26" i="13"/>
  <c r="M26" i="13"/>
  <c r="L26" i="13"/>
  <c r="K26" i="13"/>
  <c r="N26" i="11" s="1"/>
  <c r="J26" i="13"/>
  <c r="I26" i="13"/>
  <c r="H26" i="13"/>
  <c r="G26" i="13"/>
  <c r="R25" i="13"/>
  <c r="Q25" i="13"/>
  <c r="P25" i="13"/>
  <c r="O25" i="13"/>
  <c r="N25" i="13"/>
  <c r="M25" i="13"/>
  <c r="K25" i="13"/>
  <c r="N25" i="11" s="1"/>
  <c r="J25" i="13"/>
  <c r="I25" i="13"/>
  <c r="H25" i="13"/>
  <c r="G25" i="13"/>
  <c r="R24" i="13"/>
  <c r="Q24" i="13"/>
  <c r="P24" i="13"/>
  <c r="O24" i="13"/>
  <c r="N24" i="13"/>
  <c r="M24" i="13"/>
  <c r="L24" i="13"/>
  <c r="K24" i="13"/>
  <c r="N24" i="11" s="1"/>
  <c r="J24" i="13"/>
  <c r="I24" i="13"/>
  <c r="H24" i="13"/>
  <c r="G24" i="13"/>
  <c r="R23" i="13"/>
  <c r="Q23" i="13"/>
  <c r="P23" i="13"/>
  <c r="O23" i="13"/>
  <c r="N23" i="13"/>
  <c r="M23" i="13"/>
  <c r="L23" i="13"/>
  <c r="K23" i="13"/>
  <c r="N23" i="11" s="1"/>
  <c r="J23" i="13"/>
  <c r="I23" i="13"/>
  <c r="H23" i="13"/>
  <c r="G23" i="13"/>
  <c r="R22" i="13"/>
  <c r="Q22" i="13"/>
  <c r="P22" i="13"/>
  <c r="O22" i="13"/>
  <c r="N22" i="13"/>
  <c r="M22" i="13"/>
  <c r="L22" i="13"/>
  <c r="K22" i="13"/>
  <c r="N22" i="11" s="1"/>
  <c r="J22" i="13"/>
  <c r="I22" i="13"/>
  <c r="H22" i="13"/>
  <c r="G22" i="13"/>
  <c r="R21" i="13"/>
  <c r="Q21" i="13"/>
  <c r="P21" i="13"/>
  <c r="O21" i="13"/>
  <c r="N21" i="13"/>
  <c r="M21" i="13"/>
  <c r="L21" i="13"/>
  <c r="K21" i="13"/>
  <c r="N21" i="11" s="1"/>
  <c r="J21" i="13"/>
  <c r="I21" i="13"/>
  <c r="H21" i="13"/>
  <c r="G21" i="13"/>
  <c r="R20" i="13"/>
  <c r="Q20" i="13"/>
  <c r="P20" i="13"/>
  <c r="O20" i="13"/>
  <c r="N20" i="13"/>
  <c r="M20" i="13"/>
  <c r="L20" i="13"/>
  <c r="K20" i="13"/>
  <c r="N20" i="11" s="1"/>
  <c r="J20" i="13"/>
  <c r="I20" i="13"/>
  <c r="H20" i="13"/>
  <c r="G20" i="13"/>
  <c r="R19" i="13"/>
  <c r="Q19" i="13"/>
  <c r="P19" i="13"/>
  <c r="O19" i="13"/>
  <c r="N19" i="13"/>
  <c r="M19" i="13"/>
  <c r="L19" i="13"/>
  <c r="K19" i="13"/>
  <c r="N19" i="11" s="1"/>
  <c r="J19" i="13"/>
  <c r="I19" i="13"/>
  <c r="H19" i="13"/>
  <c r="G19" i="13"/>
  <c r="R18" i="13"/>
  <c r="Q18" i="13"/>
  <c r="P18" i="13"/>
  <c r="O18" i="13"/>
  <c r="N18" i="13"/>
  <c r="M18" i="13"/>
  <c r="L18" i="13"/>
  <c r="K18" i="13"/>
  <c r="N18" i="11" s="1"/>
  <c r="J18" i="13"/>
  <c r="I18" i="13"/>
  <c r="H18" i="13"/>
  <c r="G18" i="13"/>
  <c r="R17" i="13"/>
  <c r="Q17" i="13"/>
  <c r="P17" i="13"/>
  <c r="O17" i="13"/>
  <c r="N17" i="13"/>
  <c r="M17" i="13"/>
  <c r="L17" i="13"/>
  <c r="K17" i="13"/>
  <c r="N17" i="11" s="1"/>
  <c r="J17" i="13"/>
  <c r="I17" i="13"/>
  <c r="H17" i="13"/>
  <c r="G17" i="13"/>
  <c r="R16" i="13"/>
  <c r="Q16" i="13"/>
  <c r="P16" i="13"/>
  <c r="O16" i="13"/>
  <c r="N16" i="13"/>
  <c r="M16" i="13"/>
  <c r="L16" i="13"/>
  <c r="K16" i="13"/>
  <c r="N16" i="11" s="1"/>
  <c r="J16" i="13"/>
  <c r="I16" i="13"/>
  <c r="H16" i="13"/>
  <c r="G16" i="13"/>
  <c r="R15" i="13"/>
  <c r="Q15" i="13"/>
  <c r="P15" i="13"/>
  <c r="O15" i="13"/>
  <c r="N15" i="13"/>
  <c r="M15" i="13"/>
  <c r="L15" i="13"/>
  <c r="K15" i="13"/>
  <c r="N15" i="11" s="1"/>
  <c r="J15" i="13"/>
  <c r="I15" i="13"/>
  <c r="H15" i="13"/>
  <c r="G15" i="13"/>
  <c r="R14" i="13"/>
  <c r="Q14" i="13"/>
  <c r="P14" i="13"/>
  <c r="O14" i="13"/>
  <c r="N14" i="13"/>
  <c r="M14" i="13"/>
  <c r="L14" i="13"/>
  <c r="K14" i="13"/>
  <c r="N14" i="11" s="1"/>
  <c r="J14" i="13"/>
  <c r="I14" i="13"/>
  <c r="H14" i="13"/>
  <c r="G14" i="13"/>
  <c r="R13" i="13"/>
  <c r="Q13" i="13"/>
  <c r="P13" i="13"/>
  <c r="O13" i="13"/>
  <c r="N13" i="13"/>
  <c r="M13" i="13"/>
  <c r="L13" i="13"/>
  <c r="K13" i="13"/>
  <c r="N13" i="11" s="1"/>
  <c r="J13" i="13"/>
  <c r="I13" i="13"/>
  <c r="H13" i="13"/>
  <c r="G13" i="13"/>
  <c r="R12" i="13"/>
  <c r="Q12" i="13"/>
  <c r="P12" i="13"/>
  <c r="O12" i="13"/>
  <c r="N12" i="13"/>
  <c r="M12" i="13"/>
  <c r="L12" i="13"/>
  <c r="K12" i="13"/>
  <c r="N12" i="11" s="1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12" i="11" l="1"/>
  <c r="G26" i="1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4" i="11"/>
  <c r="G16" i="11"/>
  <c r="G18" i="11"/>
  <c r="G20" i="11"/>
  <c r="G23" i="11"/>
  <c r="G66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4" i="11"/>
  <c r="G65" i="11"/>
  <c r="H12" i="11"/>
  <c r="H41" i="11"/>
  <c r="K57" i="13"/>
  <c r="N57" i="11" s="1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N42" i="11" s="1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S15" i="13"/>
  <c r="T15" i="13" s="1"/>
  <c r="S19" i="13"/>
  <c r="T19" i="13" s="1"/>
  <c r="S23" i="13"/>
  <c r="T23" i="13" s="1"/>
  <c r="S27" i="13"/>
  <c r="T27" i="13" s="1"/>
  <c r="G31" i="13"/>
  <c r="K31" i="13"/>
  <c r="N31" i="11" s="1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O10" i="13" s="1"/>
  <c r="I11" i="13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H43" i="11"/>
  <c r="S32" i="13"/>
  <c r="T32" i="13" s="1"/>
  <c r="S44" i="13"/>
  <c r="T44" i="13" s="1"/>
  <c r="S65" i="13"/>
  <c r="T65" i="13" s="1"/>
  <c r="H32" i="11"/>
  <c r="H34" i="11"/>
  <c r="H36" i="11"/>
  <c r="H38" i="11"/>
  <c r="H40" i="11"/>
  <c r="G11" i="13"/>
  <c r="H13" i="11"/>
  <c r="H14" i="11"/>
  <c r="H15" i="11"/>
  <c r="H16" i="11"/>
  <c r="H17" i="11"/>
  <c r="Q106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6" i="13"/>
  <c r="T136" i="13" s="1"/>
  <c r="S138" i="13"/>
  <c r="T138" i="13" s="1"/>
  <c r="H44" i="11"/>
  <c r="H45" i="11"/>
  <c r="H47" i="11"/>
  <c r="H51" i="11"/>
  <c r="R35" i="12"/>
  <c r="R19" i="12"/>
  <c r="K10" i="13" l="1"/>
  <c r="N10" i="11" s="1"/>
  <c r="N11" i="11"/>
  <c r="J10" i="13"/>
  <c r="I10" i="13"/>
  <c r="G11" i="11"/>
  <c r="G57" i="11"/>
  <c r="G42" i="11"/>
  <c r="G31" i="11"/>
  <c r="H10" i="13"/>
  <c r="L29" i="13"/>
  <c r="L30" i="13" s="1"/>
  <c r="P29" i="13"/>
  <c r="P30" i="13" s="1"/>
  <c r="G29" i="13"/>
  <c r="O29" i="13"/>
  <c r="O30" i="13" s="1"/>
  <c r="N29" i="13"/>
  <c r="N55" i="13" s="1"/>
  <c r="S147" i="13"/>
  <c r="T147" i="13" s="1"/>
  <c r="H52" i="11"/>
  <c r="S141" i="13"/>
  <c r="T141" i="13" s="1"/>
  <c r="H46" i="11"/>
  <c r="S130" i="13"/>
  <c r="T130" i="13" s="1"/>
  <c r="H35" i="11"/>
  <c r="J29" i="13"/>
  <c r="I29" i="13"/>
  <c r="S145" i="13"/>
  <c r="T145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N29" i="11" s="1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N61" i="13" l="1"/>
  <c r="N66" i="13" s="1"/>
  <c r="N62" i="13" s="1"/>
  <c r="J30" i="13"/>
  <c r="G10" i="11"/>
  <c r="I30" i="13"/>
  <c r="G30" i="13"/>
  <c r="G29" i="11"/>
  <c r="G124" i="13"/>
  <c r="P55" i="13"/>
  <c r="N30" i="13"/>
  <c r="L55" i="13"/>
  <c r="H31" i="11"/>
  <c r="H19" i="11"/>
  <c r="H11" i="11"/>
  <c r="O55" i="13"/>
  <c r="O61" i="13" s="1"/>
  <c r="J55" i="13"/>
  <c r="J61" i="13" s="1"/>
  <c r="I55" i="13"/>
  <c r="I61" i="13" s="1"/>
  <c r="S137" i="13"/>
  <c r="T137" i="13" s="1"/>
  <c r="H42" i="11"/>
  <c r="R55" i="13"/>
  <c r="N56" i="13"/>
  <c r="H55" i="13"/>
  <c r="S29" i="13"/>
  <c r="T29" i="13" s="1"/>
  <c r="K30" i="13"/>
  <c r="N30" i="11" s="1"/>
  <c r="K55" i="13"/>
  <c r="Q30" i="13"/>
  <c r="Q55" i="13"/>
  <c r="Q61" i="13" s="1"/>
  <c r="M105" i="13"/>
  <c r="M30" i="13"/>
  <c r="M55" i="13"/>
  <c r="M61" i="13" s="1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G61" i="13" s="1"/>
  <c r="S114" i="13"/>
  <c r="T114" i="13" s="1"/>
  <c r="Q19" i="12"/>
  <c r="H61" i="13" l="1"/>
  <c r="H66" i="13" s="1"/>
  <c r="H62" i="13" s="1"/>
  <c r="R61" i="13"/>
  <c r="R66" i="13" s="1"/>
  <c r="R62" i="13" s="1"/>
  <c r="L61" i="13"/>
  <c r="L66" i="13" s="1"/>
  <c r="L62" i="13" s="1"/>
  <c r="N55" i="11"/>
  <c r="K61" i="13"/>
  <c r="P56" i="13"/>
  <c r="P61" i="13"/>
  <c r="G30" i="11"/>
  <c r="I56" i="13"/>
  <c r="H10" i="11"/>
  <c r="G55" i="11"/>
  <c r="P66" i="13"/>
  <c r="P62" i="13" s="1"/>
  <c r="L56" i="13"/>
  <c r="O66" i="13"/>
  <c r="O62" i="13" s="1"/>
  <c r="O56" i="13"/>
  <c r="J56" i="13"/>
  <c r="R56" i="13"/>
  <c r="H56" i="13"/>
  <c r="S30" i="13"/>
  <c r="T30" i="13" s="1"/>
  <c r="Q56" i="13"/>
  <c r="Q66" i="13"/>
  <c r="Q62" i="13" s="1"/>
  <c r="K56" i="13"/>
  <c r="N56" i="11" s="1"/>
  <c r="M66" i="13"/>
  <c r="M62" i="13" s="1"/>
  <c r="M56" i="13"/>
  <c r="G125" i="13"/>
  <c r="G149" i="13"/>
  <c r="S105" i="13"/>
  <c r="T105" i="13" s="1"/>
  <c r="S55" i="13"/>
  <c r="T55" i="13" s="1"/>
  <c r="G56" i="13"/>
  <c r="P63" i="12"/>
  <c r="P19" i="12"/>
  <c r="P35" i="12"/>
  <c r="K66" i="13" l="1"/>
  <c r="N62" i="11"/>
  <c r="J66" i="13"/>
  <c r="I66" i="13"/>
  <c r="G62" i="11"/>
  <c r="G56" i="11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 s="1"/>
  <c r="H103" i="13" s="1"/>
  <c r="G229" i="2"/>
  <c r="G8" i="13" s="1"/>
  <c r="G103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A149" i="9"/>
  <c r="A148" i="9"/>
  <c r="B148" i="9" s="1"/>
  <c r="A137" i="9"/>
  <c r="A126" i="9"/>
  <c r="A125" i="9"/>
  <c r="A124" i="9"/>
  <c r="A114" i="9"/>
  <c r="A105" i="9"/>
  <c r="A104" i="9"/>
  <c r="T102" i="9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1" i="9"/>
  <c r="B60" i="9"/>
  <c r="B59" i="9"/>
  <c r="B58" i="9"/>
  <c r="B56" i="9"/>
  <c r="B53" i="9"/>
  <c r="B52" i="9"/>
  <c r="B49" i="9"/>
  <c r="B48" i="9"/>
  <c r="B45" i="9"/>
  <c r="B44" i="9"/>
  <c r="B41" i="9"/>
  <c r="B39" i="9"/>
  <c r="B36" i="9"/>
  <c r="B34" i="9"/>
  <c r="B32" i="9"/>
  <c r="B30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17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2" i="8"/>
  <c r="B61" i="8"/>
  <c r="B60" i="8"/>
  <c r="B58" i="8"/>
  <c r="B56" i="8"/>
  <c r="B55" i="8"/>
  <c r="B54" i="8"/>
  <c r="B53" i="8"/>
  <c r="B52" i="8"/>
  <c r="B49" i="8"/>
  <c r="B48" i="8"/>
  <c r="B45" i="8"/>
  <c r="B44" i="8"/>
  <c r="B41" i="8"/>
  <c r="B40" i="8"/>
  <c r="B39" i="8"/>
  <c r="B36" i="8"/>
  <c r="B35" i="8"/>
  <c r="B34" i="8"/>
  <c r="B32" i="8"/>
  <c r="B30" i="8"/>
  <c r="B29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B17" i="8"/>
  <c r="B16" i="8"/>
  <c r="B13" i="8"/>
  <c r="B12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A124" i="4"/>
  <c r="B124" i="4"/>
  <c r="A114" i="4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4" i="4"/>
  <c r="B43" i="4"/>
  <c r="B40" i="4"/>
  <c r="B39" i="4"/>
  <c r="B38" i="4"/>
  <c r="B35" i="4"/>
  <c r="B34" i="4"/>
  <c r="B33" i="4"/>
  <c r="B31" i="4"/>
  <c r="B29" i="4"/>
  <c r="B28" i="4"/>
  <c r="B26" i="4"/>
  <c r="B24" i="4"/>
  <c r="B21" i="4"/>
  <c r="B17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2" i="4"/>
  <c r="A106" i="10"/>
  <c r="G100" i="10"/>
  <c r="A107" i="10"/>
  <c r="B107" i="10" s="1"/>
  <c r="A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A120" i="10"/>
  <c r="A121" i="10"/>
  <c r="A122" i="10"/>
  <c r="B122" i="10" s="1"/>
  <c r="A126" i="10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A147" i="10"/>
  <c r="B147" i="10" s="1"/>
  <c r="A136" i="10"/>
  <c r="A125" i="10"/>
  <c r="B125" i="10" s="1"/>
  <c r="A124" i="10"/>
  <c r="A123" i="10"/>
  <c r="B123" i="10" s="1"/>
  <c r="A113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7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8" i="10"/>
  <c r="B47" i="10"/>
  <c r="B46" i="10"/>
  <c r="B44" i="10"/>
  <c r="B43" i="10"/>
  <c r="B40" i="10"/>
  <c r="B39" i="10"/>
  <c r="B38" i="10"/>
  <c r="B37" i="10"/>
  <c r="B35" i="10"/>
  <c r="B34" i="10"/>
  <c r="B33" i="10"/>
  <c r="B31" i="10"/>
  <c r="B29" i="10"/>
  <c r="B28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7" i="10"/>
  <c r="B13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R6" i="3"/>
  <c r="N6" i="3"/>
  <c r="O6" i="3" s="1"/>
  <c r="E4" i="3"/>
  <c r="E2" i="3"/>
  <c r="B63" i="11"/>
  <c r="B62" i="11"/>
  <c r="B53" i="11"/>
  <c r="B59" i="11"/>
  <c r="B57" i="11"/>
  <c r="B55" i="11"/>
  <c r="B54" i="11"/>
  <c r="B52" i="11"/>
  <c r="B51" i="11"/>
  <c r="B49" i="11"/>
  <c r="B48" i="11"/>
  <c r="B47" i="11"/>
  <c r="B45" i="11"/>
  <c r="B44" i="11"/>
  <c r="B43" i="11"/>
  <c r="B40" i="11"/>
  <c r="B39" i="11"/>
  <c r="B38" i="11"/>
  <c r="B35" i="11"/>
  <c r="B34" i="11"/>
  <c r="B33" i="11"/>
  <c r="B32" i="11"/>
  <c r="B31" i="11"/>
  <c r="B29" i="11"/>
  <c r="B28" i="11"/>
  <c r="B27" i="11"/>
  <c r="B26" i="11"/>
  <c r="B24" i="11"/>
  <c r="B21" i="11"/>
  <c r="B20" i="11"/>
  <c r="B17" i="11"/>
  <c r="B16" i="11"/>
  <c r="B15" i="11"/>
  <c r="B13" i="11"/>
  <c r="B12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30" i="8"/>
  <c r="B132" i="8"/>
  <c r="B136" i="8"/>
  <c r="B139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11" i="9"/>
  <c r="B116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B155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107" i="8"/>
  <c r="B33" i="9"/>
  <c r="B26" i="8"/>
  <c r="B42" i="9"/>
  <c r="B158" i="9"/>
  <c r="B115" i="8"/>
  <c r="B43" i="9"/>
  <c r="B145" i="9"/>
  <c r="B104" i="12"/>
  <c r="B123" i="12"/>
  <c r="B120" i="12"/>
  <c r="B124" i="12"/>
  <c r="B154" i="12"/>
  <c r="B106" i="12"/>
  <c r="B110" i="12"/>
  <c r="B121" i="12"/>
  <c r="B125" i="12"/>
  <c r="B150" i="12"/>
  <c r="B155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K62" i="13" l="1"/>
  <c r="N63" i="11" s="1"/>
  <c r="N67" i="11"/>
  <c r="B151" i="4"/>
  <c r="B151" i="12"/>
  <c r="B113" i="12"/>
  <c r="B136" i="12"/>
  <c r="B105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8" i="10"/>
  <c r="B19" i="4"/>
  <c r="B32" i="4"/>
  <c r="B114" i="4"/>
  <c r="B120" i="4"/>
  <c r="B24" i="8"/>
  <c r="B137" i="8"/>
  <c r="B20" i="9"/>
  <c r="B119" i="12"/>
  <c r="B157" i="9"/>
  <c r="B109" i="9"/>
  <c r="B136" i="4"/>
  <c r="B109" i="4"/>
  <c r="E4" i="1"/>
  <c r="B11" i="11"/>
  <c r="B15" i="3"/>
  <c r="B20" i="3"/>
  <c r="B15" i="10"/>
  <c r="B109" i="10"/>
  <c r="B23" i="4"/>
  <c r="B15" i="8"/>
  <c r="B20" i="8"/>
  <c r="O8" i="9"/>
  <c r="O102" i="9" s="1"/>
  <c r="B144" i="12"/>
  <c r="B159" i="12"/>
  <c r="B137" i="9"/>
  <c r="B158" i="8"/>
  <c r="B59" i="8"/>
  <c r="B136" i="9"/>
  <c r="B26" i="9"/>
  <c r="B120" i="9"/>
  <c r="B160" i="8"/>
  <c r="L8" i="8"/>
  <c r="L103" i="8" s="1"/>
  <c r="B15" i="4"/>
  <c r="B105" i="9"/>
  <c r="B156" i="10"/>
  <c r="B117" i="10"/>
  <c r="B117" i="12"/>
  <c r="B109" i="12"/>
  <c r="G247" i="2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3" i="10"/>
  <c r="B126" i="10"/>
  <c r="B119" i="10"/>
  <c r="B41" i="4"/>
  <c r="B64" i="4"/>
  <c r="B11" i="8"/>
  <c r="B142" i="9"/>
  <c r="B140" i="10"/>
  <c r="B139" i="10"/>
  <c r="B141" i="9"/>
  <c r="B157" i="8"/>
  <c r="B117" i="9"/>
  <c r="B143" i="12"/>
  <c r="N8" i="9"/>
  <c r="N102" i="9" s="1"/>
  <c r="B28" i="9"/>
  <c r="B50" i="8"/>
  <c r="B149" i="4"/>
  <c r="B30" i="4"/>
  <c r="B46" i="9"/>
  <c r="B125" i="9"/>
  <c r="B56" i="4"/>
  <c r="B131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2" i="10" s="1"/>
  <c r="E3" i="4"/>
  <c r="B45" i="4"/>
  <c r="B37" i="8"/>
  <c r="B29" i="9"/>
  <c r="B35" i="9"/>
  <c r="B40" i="9"/>
  <c r="B54" i="9"/>
  <c r="I8" i="9"/>
  <c r="I102" i="9" s="1"/>
  <c r="B150" i="9"/>
  <c r="B149" i="12"/>
  <c r="B116" i="12"/>
  <c r="G244" i="2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2" i="10"/>
  <c r="B37" i="11"/>
  <c r="N7" i="3"/>
  <c r="B28" i="3"/>
  <c r="B37" i="3"/>
  <c r="B46" i="3"/>
  <c r="B50" i="3"/>
  <c r="B64" i="3"/>
  <c r="B14" i="10"/>
  <c r="B30" i="10"/>
  <c r="B56" i="10"/>
  <c r="B124" i="10"/>
  <c r="B148" i="10"/>
  <c r="B27" i="4"/>
  <c r="B37" i="4"/>
  <c r="B122" i="4"/>
  <c r="B14" i="8"/>
  <c r="B23" i="8"/>
  <c r="B28" i="8"/>
  <c r="B14" i="9"/>
  <c r="B112" i="12"/>
  <c r="B108" i="12"/>
  <c r="B149" i="9"/>
  <c r="B47" i="9"/>
  <c r="B19" i="9"/>
  <c r="B126" i="8"/>
  <c r="B31" i="8"/>
  <c r="B62" i="4"/>
  <c r="B18" i="4"/>
  <c r="B55" i="9"/>
  <c r="B122" i="9"/>
  <c r="B150" i="8"/>
  <c r="B38" i="8"/>
  <c r="B121" i="10"/>
  <c r="R8" i="10"/>
  <c r="R102" i="10" s="1"/>
  <c r="B30" i="11"/>
  <c r="B64" i="11"/>
  <c r="B23" i="3"/>
  <c r="B38" i="3"/>
  <c r="B47" i="3"/>
  <c r="B27" i="10"/>
  <c r="B36" i="10"/>
  <c r="B45" i="10"/>
  <c r="B49" i="10"/>
  <c r="B108" i="10"/>
  <c r="B14" i="4"/>
  <c r="B125" i="4"/>
  <c r="B140" i="4"/>
  <c r="B19" i="8"/>
  <c r="B47" i="8"/>
  <c r="B63" i="8"/>
  <c r="K8" i="8"/>
  <c r="K103" i="8" s="1"/>
  <c r="B38" i="9"/>
  <c r="B62" i="9"/>
  <c r="J62" i="13"/>
  <c r="G67" i="11"/>
  <c r="T60" i="11"/>
  <c r="S60" i="11"/>
  <c r="Q60" i="11"/>
  <c r="P60" i="11"/>
  <c r="I62" i="13"/>
  <c r="O6" i="11"/>
  <c r="O20" i="11" s="1"/>
  <c r="B157" i="4"/>
  <c r="B25" i="11"/>
  <c r="B41" i="11"/>
  <c r="B58" i="11"/>
  <c r="B67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5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6" i="11"/>
  <c r="O32" i="11"/>
  <c r="O48" i="11"/>
  <c r="O21" i="11"/>
  <c r="O41" i="11"/>
  <c r="O19" i="11"/>
  <c r="O47" i="11"/>
  <c r="O22" i="11"/>
  <c r="O42" i="11"/>
  <c r="O10" i="11"/>
  <c r="O15" i="11"/>
  <c r="O43" i="11"/>
  <c r="O51" i="11"/>
  <c r="O42" i="12"/>
  <c r="H149" i="10"/>
  <c r="M105" i="10"/>
  <c r="S142" i="12"/>
  <c r="T142" i="12" s="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4" i="11"/>
  <c r="R8" i="12"/>
  <c r="R102" i="12" s="1"/>
  <c r="H8" i="12"/>
  <c r="H102" i="12" s="1"/>
  <c r="B54" i="12"/>
  <c r="J8" i="12"/>
  <c r="J102" i="12" s="1"/>
  <c r="M8" i="12"/>
  <c r="M102" i="12" s="1"/>
  <c r="P8" i="12"/>
  <c r="P102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2" i="12" s="1"/>
  <c r="O8" i="12"/>
  <c r="O102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2" i="12" s="1"/>
  <c r="L8" i="12"/>
  <c r="L102" i="12" s="1"/>
  <c r="N8" i="12"/>
  <c r="N102" i="12" s="1"/>
  <c r="Q8" i="12"/>
  <c r="Q102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2" i="12" s="1"/>
  <c r="S7" i="12"/>
  <c r="S101" i="12" s="1"/>
  <c r="B101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51" i="2"/>
  <c r="G271" i="2"/>
  <c r="H11" i="1" s="1"/>
  <c r="S66" i="13"/>
  <c r="T66" i="13" s="1"/>
  <c r="G62" i="13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O35" i="11" l="1"/>
  <c r="O58" i="11"/>
  <c r="Q58" i="11" s="1"/>
  <c r="O38" i="11"/>
  <c r="Q38" i="11" s="1"/>
  <c r="O18" i="11"/>
  <c r="Q18" i="11" s="1"/>
  <c r="O39" i="11"/>
  <c r="O11" i="11"/>
  <c r="O37" i="11"/>
  <c r="Q37" i="11" s="1"/>
  <c r="O17" i="11"/>
  <c r="P17" i="11" s="1"/>
  <c r="O44" i="11"/>
  <c r="O28" i="11"/>
  <c r="P28" i="11" s="1"/>
  <c r="O12" i="11"/>
  <c r="Q12" i="11" s="1"/>
  <c r="O27" i="11"/>
  <c r="Q27" i="11" s="1"/>
  <c r="O50" i="11"/>
  <c r="O34" i="11"/>
  <c r="Q34" i="11" s="1"/>
  <c r="O14" i="11"/>
  <c r="Q14" i="11" s="1"/>
  <c r="O31" i="11"/>
  <c r="Q31" i="11" s="1"/>
  <c r="O49" i="11"/>
  <c r="Q49" i="11" s="1"/>
  <c r="O33" i="11"/>
  <c r="P33" i="11" s="1"/>
  <c r="O13" i="11"/>
  <c r="Q13" i="11" s="1"/>
  <c r="O40" i="11"/>
  <c r="P40" i="11" s="1"/>
  <c r="O24" i="11"/>
  <c r="Q24" i="11" s="1"/>
  <c r="O46" i="11"/>
  <c r="P46" i="11" s="1"/>
  <c r="O26" i="11"/>
  <c r="P26" i="11" s="1"/>
  <c r="O59" i="11"/>
  <c r="P59" i="11" s="1"/>
  <c r="O23" i="11"/>
  <c r="O45" i="11"/>
  <c r="P45" i="11" s="1"/>
  <c r="O25" i="11"/>
  <c r="P25" i="11" s="1"/>
  <c r="O52" i="11"/>
  <c r="Q52" i="11" s="1"/>
  <c r="O36" i="11"/>
  <c r="P36" i="11" s="1"/>
  <c r="T9" i="13"/>
  <c r="T104" i="13" s="1"/>
  <c r="T9" i="9"/>
  <c r="T103" i="9" s="1"/>
  <c r="E13" i="1"/>
  <c r="X9" i="8"/>
  <c r="X104" i="8" s="1"/>
  <c r="T9" i="10"/>
  <c r="T103" i="10" s="1"/>
  <c r="T9" i="12"/>
  <c r="T103" i="12" s="1"/>
  <c r="T9" i="4"/>
  <c r="T103" i="4" s="1"/>
  <c r="S103" i="13"/>
  <c r="W103" i="8"/>
  <c r="S102" i="12"/>
  <c r="S102" i="9"/>
  <c r="S102" i="4"/>
  <c r="S102" i="10"/>
  <c r="G63" i="11"/>
  <c r="O64" i="11"/>
  <c r="P64" i="11" s="1"/>
  <c r="O66" i="11"/>
  <c r="Q66" i="11" s="1"/>
  <c r="O65" i="11"/>
  <c r="Q65" i="11" s="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4" i="13"/>
  <c r="R126" i="4"/>
  <c r="R124" i="4" s="1"/>
  <c r="R125" i="4" s="1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H66" i="11"/>
  <c r="I66" i="11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H48" i="11"/>
  <c r="J48" i="11" s="1"/>
  <c r="I151" i="13"/>
  <c r="H64" i="11"/>
  <c r="J64" i="11" s="1"/>
  <c r="S158" i="13"/>
  <c r="T158" i="13" s="1"/>
  <c r="L124" i="13"/>
  <c r="P151" i="13"/>
  <c r="N151" i="13"/>
  <c r="Q125" i="13"/>
  <c r="Q149" i="13"/>
  <c r="K151" i="13"/>
  <c r="H49" i="11"/>
  <c r="I49" i="11" s="1"/>
  <c r="S144" i="13"/>
  <c r="T144" i="13" s="1"/>
  <c r="O124" i="13"/>
  <c r="S152" i="13"/>
  <c r="T152" i="13" s="1"/>
  <c r="H151" i="13"/>
  <c r="S159" i="13"/>
  <c r="T159" i="13" s="1"/>
  <c r="H65" i="11"/>
  <c r="I65" i="11" s="1"/>
  <c r="J151" i="13"/>
  <c r="S153" i="13"/>
  <c r="T153" i="13" s="1"/>
  <c r="J124" i="13"/>
  <c r="N124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6" i="11"/>
  <c r="S26" i="11"/>
  <c r="H124" i="4"/>
  <c r="H125" i="4" s="1"/>
  <c r="T66" i="11"/>
  <c r="K124" i="9"/>
  <c r="K125" i="9" s="1"/>
  <c r="N123" i="12"/>
  <c r="N124" i="12" s="1"/>
  <c r="L126" i="4"/>
  <c r="L124" i="4" s="1"/>
  <c r="L125" i="4" s="1"/>
  <c r="S105" i="8"/>
  <c r="P50" i="11"/>
  <c r="L105" i="8"/>
  <c r="T27" i="11"/>
  <c r="T49" i="11"/>
  <c r="S33" i="11"/>
  <c r="T23" i="11"/>
  <c r="T58" i="11"/>
  <c r="T45" i="11"/>
  <c r="T19" i="11"/>
  <c r="S16" i="11"/>
  <c r="T41" i="11"/>
  <c r="T25" i="11"/>
  <c r="T65" i="11"/>
  <c r="S47" i="11"/>
  <c r="S64" i="11"/>
  <c r="Q16" i="11"/>
  <c r="S19" i="11"/>
  <c r="T16" i="11"/>
  <c r="S41" i="11"/>
  <c r="Q41" i="11"/>
  <c r="S62" i="13"/>
  <c r="T62" i="13" s="1"/>
  <c r="M42" i="11"/>
  <c r="T57" i="11"/>
  <c r="M57" i="11"/>
  <c r="S31" i="11"/>
  <c r="M31" i="11"/>
  <c r="L23" i="11"/>
  <c r="J104" i="4"/>
  <c r="T43" i="11"/>
  <c r="H124" i="9"/>
  <c r="H125" i="9" s="1"/>
  <c r="T59" i="11"/>
  <c r="J23" i="11"/>
  <c r="R104" i="4"/>
  <c r="S125" i="8"/>
  <c r="S126" i="8" s="1"/>
  <c r="P39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S129" i="4"/>
  <c r="T129" i="4" s="1"/>
  <c r="M104" i="4"/>
  <c r="S35" i="11"/>
  <c r="P125" i="8"/>
  <c r="P126" i="8" s="1"/>
  <c r="M28" i="11"/>
  <c r="M12" i="11"/>
  <c r="T64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105" i="8"/>
  <c r="P24" i="11"/>
  <c r="S43" i="11"/>
  <c r="P49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5" i="11"/>
  <c r="Q124" i="4"/>
  <c r="Q125" i="4" s="1"/>
  <c r="Q43" i="11"/>
  <c r="M64" i="11"/>
  <c r="O124" i="4"/>
  <c r="O125" i="4" s="1"/>
  <c r="G29" i="12"/>
  <c r="P58" i="11"/>
  <c r="S17" i="11"/>
  <c r="T17" i="11"/>
  <c r="Q47" i="11"/>
  <c r="S24" i="11"/>
  <c r="S48" i="11"/>
  <c r="P4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R104" i="12"/>
  <c r="P15" i="11"/>
  <c r="L27" i="11"/>
  <c r="L18" i="11"/>
  <c r="Q29" i="10"/>
  <c r="Q55" i="10" s="1"/>
  <c r="Q56" i="10" s="1"/>
  <c r="I18" i="11"/>
  <c r="S37" i="11"/>
  <c r="W127" i="8"/>
  <c r="X127" i="8" s="1"/>
  <c r="Q35" i="11"/>
  <c r="K124" i="4"/>
  <c r="K125" i="4" s="1"/>
  <c r="P53" i="11"/>
  <c r="S53" i="11"/>
  <c r="J18" i="11"/>
  <c r="T37" i="11"/>
  <c r="G124" i="4"/>
  <c r="G125" i="4" s="1"/>
  <c r="T51" i="11"/>
  <c r="Q51" i="11"/>
  <c r="L123" i="12"/>
  <c r="L124" i="12" s="1"/>
  <c r="N104" i="4"/>
  <c r="S65" i="11"/>
  <c r="J16" i="11"/>
  <c r="M34" i="11"/>
  <c r="M20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3" i="11"/>
  <c r="J36" i="11"/>
  <c r="M47" i="11"/>
  <c r="J14" i="11"/>
  <c r="T14" i="11"/>
  <c r="S42" i="10"/>
  <c r="T42" i="10" s="1"/>
  <c r="M36" i="11"/>
  <c r="G124" i="9"/>
  <c r="G125" i="9" s="1"/>
  <c r="I41" i="11"/>
  <c r="Q21" i="11"/>
  <c r="T13" i="11"/>
  <c r="I38" i="11"/>
  <c r="I12" i="11"/>
  <c r="T40" i="11"/>
  <c r="S14" i="11"/>
  <c r="S32" i="11"/>
  <c r="S12" i="11"/>
  <c r="T12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6" i="11"/>
  <c r="S25" i="11"/>
  <c r="T44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L65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6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S113" i="10"/>
  <c r="T113" i="10" s="1"/>
  <c r="J17" i="11"/>
  <c r="K123" i="10"/>
  <c r="T11" i="11"/>
  <c r="J26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P37" i="11" l="1"/>
  <c r="Q25" i="11"/>
  <c r="P38" i="11"/>
  <c r="Q45" i="11"/>
  <c r="P34" i="11"/>
  <c r="Q46" i="11"/>
  <c r="Q33" i="11"/>
  <c r="P13" i="11"/>
  <c r="P12" i="11"/>
  <c r="P14" i="11"/>
  <c r="Q28" i="11"/>
  <c r="Q59" i="11"/>
  <c r="P18" i="11"/>
  <c r="O29" i="11"/>
  <c r="P29" i="11" s="1"/>
  <c r="Q17" i="11"/>
  <c r="P27" i="11"/>
  <c r="P52" i="11"/>
  <c r="Q40" i="11"/>
  <c r="Q64" i="11"/>
  <c r="P66" i="11"/>
  <c r="I21" i="1"/>
  <c r="I13" i="1"/>
  <c r="E17" i="1"/>
  <c r="E21" i="1" s="1"/>
  <c r="I17" i="1"/>
  <c r="P65" i="11"/>
  <c r="L31" i="9"/>
  <c r="S56" i="8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5" i="13"/>
  <c r="J67" i="11"/>
  <c r="J66" i="11"/>
  <c r="I64" i="11"/>
  <c r="J65" i="11"/>
  <c r="M125" i="13"/>
  <c r="J49" i="11"/>
  <c r="G157" i="13"/>
  <c r="R149" i="13"/>
  <c r="R161" i="13" s="1"/>
  <c r="R157" i="13" s="1"/>
  <c r="I48" i="11"/>
  <c r="M150" i="13"/>
  <c r="M161" i="13"/>
  <c r="M157" i="13" s="1"/>
  <c r="J59" i="11"/>
  <c r="J58" i="11"/>
  <c r="I58" i="11"/>
  <c r="O125" i="13"/>
  <c r="O149" i="13"/>
  <c r="Q161" i="13"/>
  <c r="Q157" i="13" s="1"/>
  <c r="Q150" i="13"/>
  <c r="J125" i="13"/>
  <c r="J149" i="13"/>
  <c r="I150" i="13"/>
  <c r="I161" i="13"/>
  <c r="I157" i="13" s="1"/>
  <c r="S151" i="13"/>
  <c r="T151" i="13" s="1"/>
  <c r="L125" i="13"/>
  <c r="L149" i="13"/>
  <c r="P125" i="13"/>
  <c r="P149" i="13"/>
  <c r="H125" i="13"/>
  <c r="H149" i="13"/>
  <c r="S124" i="13"/>
  <c r="T124" i="13" s="1"/>
  <c r="N125" i="13"/>
  <c r="N149" i="13"/>
  <c r="K150" i="13"/>
  <c r="K161" i="13"/>
  <c r="K157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B7" i="11" s="1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123" i="10"/>
  <c r="T123" i="10" s="1"/>
  <c r="I147" i="10"/>
  <c r="I153" i="10" s="1"/>
  <c r="I158" i="10" s="1"/>
  <c r="I154" i="10" s="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O30" i="11" l="1"/>
  <c r="P30" i="11" s="1"/>
  <c r="S57" i="8"/>
  <c r="S31" i="9"/>
  <c r="T31" i="9" s="1"/>
  <c r="O55" i="11"/>
  <c r="H55" i="11"/>
  <c r="CU194" i="6"/>
  <c r="I57" i="11"/>
  <c r="K150" i="8"/>
  <c r="G155" i="8"/>
  <c r="W155" i="8" s="1"/>
  <c r="X155" i="8" s="1"/>
  <c r="Q57" i="11"/>
  <c r="R150" i="13"/>
  <c r="N60" i="12"/>
  <c r="N65" i="12" s="1"/>
  <c r="N61" i="12" s="1"/>
  <c r="N60" i="10"/>
  <c r="N65" i="10" s="1"/>
  <c r="N61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H30" i="11"/>
  <c r="P161" i="13"/>
  <c r="P157" i="13" s="1"/>
  <c r="P150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Q30" i="11" l="1"/>
  <c r="Q55" i="11"/>
  <c r="P55" i="11"/>
  <c r="O56" i="11"/>
  <c r="P56" i="11" s="1"/>
  <c r="H56" i="11"/>
  <c r="G160" i="8"/>
  <c r="W160" i="8" s="1"/>
  <c r="X160" i="8" s="1"/>
  <c r="O62" i="11"/>
  <c r="Q62" i="11" s="1"/>
  <c r="H62" i="11"/>
  <c r="I55" i="11"/>
  <c r="S150" i="13"/>
  <c r="T150" i="13" s="1"/>
  <c r="H161" i="13"/>
  <c r="O67" i="11" s="1"/>
  <c r="S156" i="13"/>
  <c r="T156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S62" i="11"/>
  <c r="L62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7" i="13"/>
  <c r="O63" i="11" s="1"/>
  <c r="H67" i="11"/>
  <c r="I67" i="11" s="1"/>
  <c r="S161" i="13"/>
  <c r="T161" i="13" s="1"/>
  <c r="G61" i="9"/>
  <c r="S61" i="9" s="1"/>
  <c r="T61" i="9" s="1"/>
  <c r="S65" i="9"/>
  <c r="T65" i="9" s="1"/>
  <c r="M62" i="11"/>
  <c r="T62" i="11"/>
  <c r="L67" i="11"/>
  <c r="S67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7" i="11"/>
  <c r="P62" i="11"/>
  <c r="H155" i="12"/>
  <c r="S159" i="12"/>
  <c r="T159" i="12" s="1"/>
  <c r="I56" i="11"/>
  <c r="J56" i="11"/>
  <c r="J62" i="11"/>
  <c r="I62" i="11"/>
  <c r="P63" i="11" l="1"/>
  <c r="S157" i="13"/>
  <c r="T157" i="13" s="1"/>
  <c r="H63" i="11"/>
  <c r="T67" i="11"/>
  <c r="M67" i="11"/>
  <c r="M63" i="11"/>
  <c r="G62" i="8"/>
  <c r="W62" i="8" s="1"/>
  <c r="X62" i="8" s="1"/>
  <c r="W66" i="8"/>
  <c r="X66" i="8" s="1"/>
  <c r="Q63" i="11"/>
  <c r="P67" i="11"/>
  <c r="S155" i="12"/>
  <c r="T155" i="12" s="1"/>
  <c r="S63" i="11" l="1"/>
  <c r="T63" i="11"/>
  <c r="L63" i="11"/>
  <c r="J63" i="11"/>
  <c r="I63" i="11"/>
  <c r="B101" i="16" l="1"/>
  <c r="B7" i="16"/>
  <c r="S7" i="16"/>
  <c r="S101" i="16" s="1"/>
  <c r="R8" i="16"/>
  <c r="R102" i="16" s="1"/>
  <c r="Q8" i="16"/>
  <c r="Q102" i="16" s="1"/>
  <c r="P8" i="16"/>
  <c r="P102" i="16" s="1"/>
  <c r="N8" i="16"/>
  <c r="N102" i="16" s="1"/>
  <c r="M8" i="16"/>
  <c r="M102" i="16" s="1"/>
  <c r="L8" i="16"/>
  <c r="L102" i="16" s="1"/>
  <c r="J8" i="16"/>
  <c r="J102" i="16" s="1"/>
  <c r="I8" i="16"/>
  <c r="I102" i="16" s="1"/>
  <c r="H8" i="16"/>
  <c r="H102" i="16" s="1"/>
  <c r="B54" i="16"/>
  <c r="E3" i="16"/>
  <c r="E2" i="16"/>
  <c r="S102" i="16"/>
  <c r="E4" i="16" l="1"/>
  <c r="B105" i="16"/>
  <c r="B11" i="16"/>
  <c r="B109" i="16"/>
  <c r="B15" i="16"/>
  <c r="B113" i="16"/>
  <c r="B19" i="16"/>
  <c r="B117" i="16"/>
  <c r="B23" i="16"/>
  <c r="B119" i="16"/>
  <c r="B25" i="16"/>
  <c r="B64" i="16"/>
  <c r="B158" i="16"/>
  <c r="B63" i="16"/>
  <c r="B157" i="16"/>
  <c r="B32" i="16"/>
  <c r="B126" i="16"/>
  <c r="B42" i="16"/>
  <c r="B136" i="16"/>
  <c r="B135" i="16"/>
  <c r="B41" i="16"/>
  <c r="B144" i="16"/>
  <c r="B50" i="16"/>
  <c r="B58" i="16"/>
  <c r="B151" i="16"/>
  <c r="B65" i="16"/>
  <c r="B159" i="16"/>
  <c r="G8" i="16"/>
  <c r="G102" i="16" s="1"/>
  <c r="K8" i="16"/>
  <c r="K102" i="16" s="1"/>
  <c r="O8" i="16"/>
  <c r="O102" i="16" s="1"/>
  <c r="B12" i="16"/>
  <c r="B106" i="16"/>
  <c r="B16" i="16"/>
  <c r="B110" i="16"/>
  <c r="B20" i="16"/>
  <c r="B114" i="16"/>
  <c r="B118" i="16"/>
  <c r="B24" i="16"/>
  <c r="B123" i="16"/>
  <c r="B29" i="16"/>
  <c r="B129" i="16"/>
  <c r="B35" i="16"/>
  <c r="B137" i="16"/>
  <c r="B43" i="16"/>
  <c r="B138" i="16"/>
  <c r="B44" i="16"/>
  <c r="B141" i="16"/>
  <c r="B47" i="16"/>
  <c r="B48" i="16"/>
  <c r="B142" i="16"/>
  <c r="B59" i="16"/>
  <c r="B152" i="16"/>
  <c r="B53" i="16"/>
  <c r="B153" i="16"/>
  <c r="B60" i="16"/>
  <c r="B154" i="16"/>
  <c r="B10" i="16"/>
  <c r="B104" i="16"/>
  <c r="B107" i="16"/>
  <c r="B13" i="16"/>
  <c r="B111" i="16"/>
  <c r="B17" i="16"/>
  <c r="B115" i="16"/>
  <c r="B21" i="16"/>
  <c r="B120" i="16"/>
  <c r="B26" i="16"/>
  <c r="B28" i="16"/>
  <c r="B122" i="16"/>
  <c r="B125" i="16"/>
  <c r="B31" i="16"/>
  <c r="B127" i="16"/>
  <c r="B33" i="16"/>
  <c r="B128" i="16"/>
  <c r="B34" i="16"/>
  <c r="B132" i="16"/>
  <c r="B38" i="16"/>
  <c r="B133" i="16"/>
  <c r="B39" i="16"/>
  <c r="B40" i="16"/>
  <c r="B134" i="16"/>
  <c r="B57" i="16"/>
  <c r="B150" i="16"/>
  <c r="B146" i="16"/>
  <c r="B52" i="16"/>
  <c r="B145" i="16"/>
  <c r="B51" i="16"/>
  <c r="B55" i="16"/>
  <c r="B148" i="16"/>
  <c r="B61" i="16"/>
  <c r="B155" i="16"/>
  <c r="T9" i="16"/>
  <c r="T103" i="16" s="1"/>
  <c r="B14" i="16"/>
  <c r="B108" i="16"/>
  <c r="B18" i="16"/>
  <c r="B112" i="16"/>
  <c r="B22" i="16"/>
  <c r="B116" i="16"/>
  <c r="B121" i="16"/>
  <c r="B27" i="16"/>
  <c r="B62" i="16"/>
  <c r="B156" i="16"/>
  <c r="B124" i="16"/>
  <c r="B30" i="16"/>
  <c r="B36" i="16"/>
  <c r="B130" i="16"/>
  <c r="B131" i="16"/>
  <c r="B37" i="16"/>
  <c r="B139" i="16"/>
  <c r="B45" i="16"/>
  <c r="B140" i="16"/>
  <c r="B46" i="16"/>
  <c r="B49" i="16"/>
  <c r="B143" i="16"/>
  <c r="B56" i="16"/>
  <c r="B149" i="16"/>
  <c r="S8" i="16"/>
</calcChain>
</file>

<file path=xl/comments1.xml><?xml version="1.0" encoding="utf-8"?>
<comments xmlns="http://schemas.openxmlformats.org/spreadsheetml/2006/main">
  <authors>
    <author>Tatjana Minic</author>
  </authors>
  <commentList>
    <comment ref="EX161" authorId="0" shapeId="0">
      <text>
        <r>
          <rPr>
            <b/>
            <sz val="9"/>
            <color indexed="81"/>
            <rFont val="Tahoma"/>
            <family val="2"/>
          </rPr>
          <t xml:space="preserve">Tatjana Minic:
</t>
        </r>
        <r>
          <rPr>
            <sz val="9"/>
            <color indexed="81"/>
            <rFont val="Tahoma"/>
            <family val="2"/>
          </rPr>
          <t>uplaćeno 68,9 mil.€ za EPCG</t>
        </r>
      </text>
    </comment>
  </commentList>
</comments>
</file>

<file path=xl/sharedStrings.xml><?xml version="1.0" encoding="utf-8"?>
<sst xmlns="http://schemas.openxmlformats.org/spreadsheetml/2006/main" count="1538" uniqueCount="779">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</sst>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0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175" fontId="5" fillId="3" borderId="8" xfId="0" applyNumberFormat="1" applyFont="1" applyFill="1" applyBorder="1" applyAlignment="1">
      <alignment horizontal="center" vertical="center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januar-maj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623,1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</a:t>
          </a:r>
          <a:r>
            <a:rPr lang="sr-Latn-C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u odnosu na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75,2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13,7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maju prihodi budžeta iznosili su 138,8 mil.€ i u odnosu na plan viši su za 1,7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1,2% i u odnosu na isti mjesec 2017. godine za 13,9 mil.€ ili 11,1%.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686,9 mil.€ ili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15,5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 48,0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7,5%. U odnosu na plan izdaci su niži za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48,9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6,6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maju iznosili su 141,8 mil.€ ili 3,2% i u odnosu na maj 2017. viši su za 0,6 mil.€ ili 0,4%, dok su u odnosu na plan niži 7,8 mil.€ ili  5,2%.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januar-maj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63,9 mil.€ ili 1,4% procijenjenog BDP-a, a u maju ostvareni deficit budžeta iznosio je 3,0 mil.€ ili 0,1%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</a:p>
        <a:p>
          <a:pPr algn="just"/>
          <a:r>
            <a:rPr lang="sr-Latn-RS" sz="1100" baseline="0"/>
            <a:t>Stavka Izdaci za kupovinu hartija od vrijednosti je metodološki usklađena sa GFSM2014 i predstavlja transakciju finansiranja, i kao takva nije sastavni dio deficita budžeta. 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363538</xdr:colOff>
      <xdr:row>1</xdr:row>
      <xdr:rowOff>123825</xdr:rowOff>
    </xdr:from>
    <xdr:to>
      <xdr:col>13</xdr:col>
      <xdr:colOff>116523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26670</xdr:colOff>
      <xdr:row>1</xdr:row>
      <xdr:rowOff>47624</xdr:rowOff>
    </xdr:from>
    <xdr:to>
      <xdr:col>16</xdr:col>
      <xdr:colOff>388078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16</xdr:col>
      <xdr:colOff>621665</xdr:colOff>
      <xdr:row>2</xdr:row>
      <xdr:rowOff>161925</xdr:rowOff>
    </xdr:from>
    <xdr:to>
      <xdr:col>19</xdr:col>
      <xdr:colOff>216627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16</xdr:col>
      <xdr:colOff>616652</xdr:colOff>
      <xdr:row>4</xdr:row>
      <xdr:rowOff>72190</xdr:rowOff>
    </xdr:from>
    <xdr:to>
      <xdr:col>19</xdr:col>
      <xdr:colOff>211614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351155</xdr:colOff>
      <xdr:row>1</xdr:row>
      <xdr:rowOff>57150</xdr:rowOff>
    </xdr:from>
    <xdr:to>
      <xdr:col>21</xdr:col>
      <xdr:colOff>690020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360680</xdr:colOff>
      <xdr:row>2</xdr:row>
      <xdr:rowOff>152400</xdr:rowOff>
    </xdr:from>
    <xdr:to>
      <xdr:col>21</xdr:col>
      <xdr:colOff>699545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370205</xdr:colOff>
      <xdr:row>4</xdr:row>
      <xdr:rowOff>66675</xdr:rowOff>
    </xdr:from>
    <xdr:to>
      <xdr:col>21</xdr:col>
      <xdr:colOff>691925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357188</xdr:colOff>
      <xdr:row>3</xdr:row>
      <xdr:rowOff>95250</xdr:rowOff>
    </xdr:from>
    <xdr:to>
      <xdr:col>13</xdr:col>
      <xdr:colOff>106998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14</xdr:col>
      <xdr:colOff>549910</xdr:colOff>
      <xdr:row>2</xdr:row>
      <xdr:rowOff>161925</xdr:rowOff>
    </xdr:from>
    <xdr:to>
      <xdr:col>16</xdr:col>
      <xdr:colOff>407353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14</xdr:col>
      <xdr:colOff>549910</xdr:colOff>
      <xdr:row>4</xdr:row>
      <xdr:rowOff>104775</xdr:rowOff>
    </xdr:from>
    <xdr:to>
      <xdr:col>16</xdr:col>
      <xdr:colOff>407353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194523433.11999997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135181723.14999998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562336.28</v>
          </cell>
          <cell r="EJ24">
            <v>753295.71</v>
          </cell>
          <cell r="EK24">
            <v>635024.81000000006</v>
          </cell>
          <cell r="EL24">
            <v>751416.92</v>
          </cell>
          <cell r="EM24">
            <v>893728.47</v>
          </cell>
          <cell r="EN24">
            <v>860436.57</v>
          </cell>
          <cell r="EO24">
            <v>854527.97</v>
          </cell>
          <cell r="EP24">
            <v>755364.68</v>
          </cell>
          <cell r="EQ24">
            <v>790697.27</v>
          </cell>
          <cell r="ER24">
            <v>699678.47</v>
          </cell>
          <cell r="ES24">
            <v>721117.53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129924.87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29925.06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275120.73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10957.79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1458878.89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36337751.869999997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37251539.810000002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1439453.4</v>
          </cell>
          <cell r="EI76">
            <v>3317597.8</v>
          </cell>
          <cell r="EJ76">
            <v>7050406.4900000002</v>
          </cell>
          <cell r="EK76">
            <v>5446746.7800000003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4338671.4800000004</v>
          </cell>
          <cell r="EQ76">
            <v>4884082.33</v>
          </cell>
          <cell r="ER76">
            <v>4047161.45</v>
          </cell>
          <cell r="ES76">
            <v>17901369.530000001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1548888.06</v>
          </cell>
          <cell r="EL86">
            <v>2002570.68</v>
          </cell>
          <cell r="EM86">
            <v>1160043.8799999999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4024462.06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13588572.92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13530239.57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1491590.34</v>
          </cell>
          <cell r="EJ159">
            <v>7362820.4900000002</v>
          </cell>
          <cell r="EK159">
            <v>6918517.2599999998</v>
          </cell>
          <cell r="EL159">
            <v>2511744.17</v>
          </cell>
          <cell r="EM159">
            <v>22683622.390000001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82878761.950000003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821880.98</v>
          </cell>
          <cell r="EJ160">
            <v>1824216.99</v>
          </cell>
          <cell r="EK160">
            <v>2350979.62</v>
          </cell>
          <cell r="EL160">
            <v>1579796.93</v>
          </cell>
          <cell r="EM160">
            <v>5012270.07</v>
          </cell>
          <cell r="EN160">
            <v>1775062.82</v>
          </cell>
          <cell r="EO160">
            <v>2480710.67</v>
          </cell>
          <cell r="EP160">
            <v>1700685.94</v>
          </cell>
          <cell r="EQ160">
            <v>3540984.99</v>
          </cell>
          <cell r="ER160">
            <v>1800507.48</v>
          </cell>
          <cell r="ES160">
            <v>12838734.09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Total Revenues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Total Expenditures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Surplus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Montenegro</v>
          </cell>
        </row>
        <row r="7">
          <cell r="G7" t="str">
            <v>Ministry of Finance</v>
          </cell>
        </row>
        <row r="8">
          <cell r="G8" t="str">
            <v>Direcorate for Economic Policy and Developement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Total Revenues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Current Revenues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Taxes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Personal Income Tax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Corporate Income Tax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 xml:space="preserve">Taxes on Sales of Property 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Value Added Tax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Excises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Tax on International Trade and Transactions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Other Republic Taxes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Contributions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Contributions for Pension and Disability Insurance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Contributions for Health Insurance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Contributions for  Unemployment Insurance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Other contributions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Duties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Administrative Duties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Court Duties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Residential Duties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Registration Duties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Local Duties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Other duties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Fees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Fees for Use of Goods of Common Interest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Fees for Use of Natural Resources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Ecological Fees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Fees for Organizing Games of Chance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Fees for Usage of Construction Land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Fees for Regulation and Upkeep of Construction Land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>Fees for Construction and Upkeep of Local Roads and Other Local Facilities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Road fees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Other fees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Other revenues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Revenues from Capital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Fines and Seized Property Gains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Revenues from Government Body Activities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Self contributions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Other Revenues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Revenues from Selling Assets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Revenues from Selling Non-Financial Assets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Revenues from Selling Financial Assets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Receipts from Repayment of Loans and Funds Carried over from Previous Year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Receipts from Repayment of Loans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Funds Carried over from Previous Year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Grants and Transfers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Grants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Transfers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>Loans and borrowings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Loans and borrowings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Domestic Loans and Borrowings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Foreign Loans and Borrowings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Total Expenditures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Current Budgetary Expenditures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Current Expenditures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Gross Salaries and Contributions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 Salaries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Personal Income Tax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Contributions Charged to Employee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Contributions Charged to Employer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Surtax on PIT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Other Personal Income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Compensation for Meals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Compensation for Living Costs and Separate Living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Compensation for Transport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Annual awards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Compensation for Early Retirement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Parliament Members Compensation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Other Compensations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 xml:space="preserve">Other 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Expenditures for Supplies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Administrative Supplies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Health Protection Supplies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Special Supplies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Expenditures for Energy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Expenditures for Fuel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Other Expenditures for Supplies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Expenditures for Services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Business trips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Representation Costs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Communication Services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 Services and FX Conversion Loss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Transport Services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Legal Services (lawyers, notars and others)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Consultancy Services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Professional Training Services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Other Services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Current Maintenance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Current Maintenance of Public Infrastructure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Current Maintenance of Buildings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Current Maintenance of Equipment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Interests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Interests on Domestic Debt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Interests on Foreign Debt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Rent of Real Estate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Rent of Equipment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Rent of Property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Subsidies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Production and Services Subsidies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Export Subsidies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Import Subsidies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Other expenditures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 xml:space="preserve">Expenditures for Service Contracts 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Expenditures for Judicial Proceeding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Expenditures for Software Maintenance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Insurance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Contribution for Domestic and International Institutions Membership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Utility Charges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Penalties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Fees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Others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Social Security Transfers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Social Security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Children benefits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Veteran and disability benefits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Assistance for the Family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Maternity leave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Care and Assistance Benefits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Pre-school Meal Plans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Support to Nurse Homes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Other rights from social protection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Funds for redundant labor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Guaranteed Earnings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Redundant Labor Benefits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Additional Insurance Payment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Compensation to Unemployed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Other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Pension and Disability Insurance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Age pension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Disability pension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Family pension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Compensations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Addendums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Other rughts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Contribution to Health Protection of Pensioners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Other Health Care Transfers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Health Treatment Abroad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Other Health Care Insurance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Orthopedic Devices and Supplies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 xml:space="preserve">Compensation for Health Leave 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Compensation for Travel Costs of Insured Person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Transfers to Institutions, Individuals, NGO and Public Sector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Transfers to Institutions, Individuals, NGO and Public Sector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>Transfers for Health Protection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 for Education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Transfers for Culture and Sports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Transfers to NGOs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Transfers to Political Parties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Transfers for Non-refundable Social Help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Trasfers for Intern's Salary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Other Transfers to Individuals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Other Transfers to Institutions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>Other Transfers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Transfers to Fund for Pension and Disability Insurance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Transfers to Health Fund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Transfers to Employment Fund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Transfers to Municipalities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Transfers to State Budget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Transfers to State Owned Enterprises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Capital Expenditure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Current Capital Expenditure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Capital Expenditure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Capital Expenditure for Public Infrastructure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Capital Expenditure for Local Infrastructure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Capital Expenditure for Building Construction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Capital Expenditure for Land Construction/Improvement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Capital Expenditure for Equipment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Capital Expenditure for Investment Upkeep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Capital Expenditure for Stock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Capital Expenditure for Securities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Other Capital Expenditure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Credits and Borrowings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Credits and Borrowings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Credits and Borrowings to Non-Financial Institutions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Credits and Borrowings to Financial Institutions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Credits and Borrowings to Individuals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Credits and Borrowings to Municipalities and State Funds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Other Credits and Borrowings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Repayment of Debt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Repayment of Debt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Repayment of Domestic Debt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Repayment of Foreign Debt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Repayment of Guarantees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Repayment of Domestic Guarantees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Repayment of Foreign Guarantees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Repayments of Arrears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Reserves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Current Budget Reserve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Permanent Budget Reserve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Other Reserves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Surplus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Primary balance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 xml:space="preserve"> 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Financing needs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Financing</v>
          </cell>
        </row>
        <row r="222">
          <cell r="D222">
            <v>0</v>
          </cell>
          <cell r="E222">
            <v>0</v>
          </cell>
          <cell r="F222">
            <v>0</v>
          </cell>
          <cell r="G222"/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Increase / decrease of deposits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 increase of liabilities</v>
          </cell>
        </row>
        <row r="229">
          <cell r="G229" t="str">
            <v>January</v>
          </cell>
        </row>
        <row r="230">
          <cell r="G230" t="str">
            <v>February</v>
          </cell>
        </row>
        <row r="231">
          <cell r="G231" t="str">
            <v>March</v>
          </cell>
        </row>
        <row r="232">
          <cell r="G232" t="str">
            <v>April</v>
          </cell>
        </row>
        <row r="233">
          <cell r="G233" t="str">
            <v>May</v>
          </cell>
        </row>
        <row r="234">
          <cell r="G234" t="str">
            <v>June</v>
          </cell>
        </row>
        <row r="235">
          <cell r="G235" t="str">
            <v>July</v>
          </cell>
        </row>
        <row r="236">
          <cell r="G236" t="str">
            <v>August</v>
          </cell>
        </row>
        <row r="237">
          <cell r="G237" t="str">
            <v>September</v>
          </cell>
        </row>
        <row r="238">
          <cell r="G238" t="str">
            <v>October</v>
          </cell>
        </row>
        <row r="239">
          <cell r="G239" t="str">
            <v>November</v>
          </cell>
        </row>
        <row r="240">
          <cell r="G240" t="str">
            <v>December</v>
          </cell>
        </row>
        <row r="243">
          <cell r="G243" t="str">
            <v>Jan - 12</v>
          </cell>
        </row>
        <row r="244">
          <cell r="G244" t="str">
            <v>Jan - Dec</v>
          </cell>
        </row>
        <row r="246">
          <cell r="G246" t="str">
            <v>GDP</v>
          </cell>
        </row>
        <row r="247">
          <cell r="G247" t="str">
            <v>% GDP</v>
          </cell>
        </row>
        <row r="249">
          <cell r="G249" t="str">
            <v>Budget Execution</v>
          </cell>
        </row>
        <row r="250">
          <cell r="G250" t="str">
            <v>Planned Budget Execution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2018-05</v>
      </c>
      <c r="O6" s="169" t="str">
        <f>+CONCATENATE(N6,"p")</f>
        <v>2018-05p</v>
      </c>
      <c r="P6" s="153"/>
      <c r="Q6" s="153"/>
      <c r="R6" s="169" t="str">
        <f>+IF(Master!B3-10&gt;=0,CONCATENATE(Master!B4-1,"-",Master!B3),CONCATENATE(Master!B4-1,"-0",Master!B3))</f>
        <v>2017-05</v>
      </c>
      <c r="S6" s="153"/>
      <c r="T6" s="153"/>
    </row>
    <row r="7" spans="1:20">
      <c r="A7" s="170"/>
      <c r="B7" s="478" t="s">
        <v>708</v>
      </c>
      <c r="C7" s="479"/>
      <c r="D7" s="479"/>
      <c r="E7" s="479"/>
      <c r="F7" s="479"/>
      <c r="G7" s="487" t="s">
        <v>706</v>
      </c>
      <c r="H7" s="488"/>
      <c r="I7" s="488"/>
      <c r="J7" s="488"/>
      <c r="K7" s="488"/>
      <c r="L7" s="488"/>
      <c r="M7" s="489"/>
      <c r="N7" s="490" t="str">
        <f>+Master!G240</f>
        <v>Decembar</v>
      </c>
      <c r="O7" s="488"/>
      <c r="P7" s="488"/>
      <c r="Q7" s="488"/>
      <c r="R7" s="488"/>
      <c r="S7" s="488"/>
      <c r="T7" s="491"/>
    </row>
    <row r="8" spans="1:20">
      <c r="A8" s="170"/>
      <c r="B8" s="480"/>
      <c r="C8" s="481"/>
      <c r="D8" s="481"/>
      <c r="E8" s="481"/>
      <c r="F8" s="482"/>
      <c r="G8" s="171" t="str">
        <f>+Master!G21</f>
        <v>Ostvarenje</v>
      </c>
      <c r="H8" s="171" t="str">
        <f>+Master!G20</f>
        <v>Plan</v>
      </c>
      <c r="I8" s="476" t="str">
        <f>+Master!G258</f>
        <v>Odstupanje</v>
      </c>
      <c r="J8" s="476"/>
      <c r="K8" s="171" t="str">
        <f>+CONCATENATE(Master!G243," ",Master!B4-1)</f>
        <v>Jan - Maj 2017</v>
      </c>
      <c r="L8" s="476" t="str">
        <f>+I8</f>
        <v>Odstupanje</v>
      </c>
      <c r="M8" s="486"/>
      <c r="N8" s="172" t="str">
        <f>+G8</f>
        <v>Ostvarenje</v>
      </c>
      <c r="O8" s="171" t="str">
        <f>+H8</f>
        <v>Plan</v>
      </c>
      <c r="P8" s="476" t="str">
        <f>+I8</f>
        <v>Odstupanje</v>
      </c>
      <c r="Q8" s="476"/>
      <c r="R8" s="171" t="str">
        <f>+CONCATENATE(Master!G242," ",Master!B4-1)</f>
        <v>Maj 2017</v>
      </c>
      <c r="S8" s="476" t="str">
        <f>+P8</f>
        <v>Odstupanje</v>
      </c>
      <c r="T8" s="477"/>
    </row>
    <row r="9" spans="1:20" ht="15.7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50" t="e">
        <f>+VLOOKUP($A18,Master!$D$25:$G$223,4,FALSE)</f>
        <v>#N/A</v>
      </c>
      <c r="C18" s="451"/>
      <c r="D18" s="451"/>
      <c r="E18" s="451"/>
      <c r="F18" s="451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50" t="str">
        <f>+VLOOKUP($A19,Master!$D$25:$G$223,4,FALSE)</f>
        <v>Ostali državni porezi</v>
      </c>
      <c r="C19" s="451"/>
      <c r="D19" s="451"/>
      <c r="E19" s="451"/>
      <c r="F19" s="451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54" t="str">
        <f>+VLOOKUP($A20,Master!$D$25:$G$223,4,FALSE)</f>
        <v>Doprinosi</v>
      </c>
      <c r="C20" s="455"/>
      <c r="D20" s="455"/>
      <c r="E20" s="455"/>
      <c r="F20" s="455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50" t="str">
        <f>+VLOOKUP($A21,Master!$D$25:$G$223,4,FALSE)</f>
        <v>Doprinosi za penzijsko i invalidsko osiguranje</v>
      </c>
      <c r="C21" s="451"/>
      <c r="D21" s="451"/>
      <c r="E21" s="451"/>
      <c r="F21" s="451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50" t="str">
        <f>+VLOOKUP($A22,Master!$D$25:$G$223,4,FALSE)</f>
        <v>Doprinosi za zdravstveno osiguranje</v>
      </c>
      <c r="C22" s="451"/>
      <c r="D22" s="451"/>
      <c r="E22" s="451"/>
      <c r="F22" s="451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50" t="str">
        <f>+VLOOKUP($A23,Master!$D$25:$G$223,4,FALSE)</f>
        <v>Doprinosi za osiguranje od nezaposlenosti</v>
      </c>
      <c r="C23" s="451"/>
      <c r="D23" s="451"/>
      <c r="E23" s="451"/>
      <c r="F23" s="451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50" t="str">
        <f>+VLOOKUP($A24,Master!$D$25:$G$223,4,FALSE)</f>
        <v>Ostali doprinosi</v>
      </c>
      <c r="C24" s="451"/>
      <c r="D24" s="451"/>
      <c r="E24" s="451"/>
      <c r="F24" s="451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52" t="str">
        <f>+VLOOKUP($A25,Master!$D$25:$G$223,4,FALSE)</f>
        <v>Takse</v>
      </c>
      <c r="C25" s="453"/>
      <c r="D25" s="453"/>
      <c r="E25" s="453"/>
      <c r="F25" s="453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52" t="str">
        <f>+VLOOKUP($A26,Master!$D$25:$G$223,4,FALSE)</f>
        <v>Naknade</v>
      </c>
      <c r="C26" s="453"/>
      <c r="D26" s="453"/>
      <c r="E26" s="453"/>
      <c r="F26" s="453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52" t="str">
        <f>+VLOOKUP($A27,Master!$D$25:$G$223,4,FALSE)</f>
        <v>Ostali prihodi</v>
      </c>
      <c r="C27" s="453"/>
      <c r="D27" s="453"/>
      <c r="E27" s="453"/>
      <c r="F27" s="453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52" t="str">
        <f>+VLOOKUP($A28,Master!$D$25:$G$223,4,FALSE)</f>
        <v>Primici od otplate kredita i sredstva prenesena iz prethodne godine</v>
      </c>
      <c r="C28" s="453"/>
      <c r="D28" s="453"/>
      <c r="E28" s="453"/>
      <c r="F28" s="453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56" t="str">
        <f>+VLOOKUP($A29,Master!$D$25:$G$223,4,FALSE)</f>
        <v>Donacije i transferi</v>
      </c>
      <c r="C29" s="457"/>
      <c r="D29" s="457"/>
      <c r="E29" s="457"/>
      <c r="F29" s="457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58" t="str">
        <f>+VLOOKUP($A30,Master!$D$25:$G$223,4,FALSE)</f>
        <v>Budžetski izdaci</v>
      </c>
      <c r="C30" s="459"/>
      <c r="D30" s="459"/>
      <c r="E30" s="459"/>
      <c r="F30" s="459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60" t="str">
        <f>+VLOOKUP($A31,Master!$D$25:$G$223,4,FALSE)</f>
        <v>Tekući izdaci</v>
      </c>
      <c r="C31" s="461"/>
      <c r="D31" s="461"/>
      <c r="E31" s="461"/>
      <c r="F31" s="461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62" t="str">
        <f>+VLOOKUP($A32,Master!$D$25:$G$223,4,FALSE)</f>
        <v>Tekući budžetski izdaci</v>
      </c>
      <c r="C32" s="463"/>
      <c r="D32" s="463"/>
      <c r="E32" s="463"/>
      <c r="F32" s="463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50" t="str">
        <f>+VLOOKUP($A33,Master!$D$25:$G$223,4,FALSE)</f>
        <v>Bruto zarade i doprinosi na teret poslodavca</v>
      </c>
      <c r="C33" s="451"/>
      <c r="D33" s="451"/>
      <c r="E33" s="451"/>
      <c r="F33" s="451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50" t="str">
        <f>+VLOOKUP($A34,Master!$D$25:$G$223,4,FALSE)</f>
        <v>Ostala lična primanja</v>
      </c>
      <c r="C34" s="451"/>
      <c r="D34" s="451"/>
      <c r="E34" s="451"/>
      <c r="F34" s="451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50" t="str">
        <f>+VLOOKUP($A35,Master!$D$25:$G$223,4,FALSE)</f>
        <v>Rashodi za materijal</v>
      </c>
      <c r="C35" s="451"/>
      <c r="D35" s="451"/>
      <c r="E35" s="451"/>
      <c r="F35" s="451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50" t="str">
        <f>+VLOOKUP($A36,Master!$D$25:$G$223,4,FALSE)</f>
        <v>Rashodi za usluge</v>
      </c>
      <c r="C36" s="451"/>
      <c r="D36" s="451"/>
      <c r="E36" s="451"/>
      <c r="F36" s="451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50" t="str">
        <f>+VLOOKUP($A37,Master!$D$25:$G$223,4,FALSE)</f>
        <v>Rashodi za tekuće održavanje</v>
      </c>
      <c r="C37" s="451"/>
      <c r="D37" s="451"/>
      <c r="E37" s="451"/>
      <c r="F37" s="451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50" t="str">
        <f>+VLOOKUP($A38,Master!$D$25:$G$223,4,FALSE)</f>
        <v>Kamate</v>
      </c>
      <c r="C38" s="451"/>
      <c r="D38" s="451"/>
      <c r="E38" s="451"/>
      <c r="F38" s="451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50" t="str">
        <f>+VLOOKUP($A39,Master!$D$25:$G$223,4,FALSE)</f>
        <v>Renta</v>
      </c>
      <c r="C39" s="451"/>
      <c r="D39" s="451"/>
      <c r="E39" s="451"/>
      <c r="F39" s="451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50" t="str">
        <f>+VLOOKUP($A40,Master!$D$25:$G$223,4,FALSE)</f>
        <v>Subvencije</v>
      </c>
      <c r="C40" s="451"/>
      <c r="D40" s="451"/>
      <c r="E40" s="451"/>
      <c r="F40" s="451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50" t="str">
        <f>+VLOOKUP($A41,Master!$D$25:$G$223,4,FALSE)</f>
        <v>Ostali izdaci</v>
      </c>
      <c r="C41" s="451"/>
      <c r="D41" s="451"/>
      <c r="E41" s="451"/>
      <c r="F41" s="451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50" t="str">
        <f>+VLOOKUP($A42,Master!$D$25:$G$223,4,FALSE)</f>
        <v>Kapitalni izdaci u tekućem budžetu</v>
      </c>
      <c r="C42" s="451"/>
      <c r="D42" s="451"/>
      <c r="E42" s="451"/>
      <c r="F42" s="451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66" t="str">
        <f>+VLOOKUP($A43,Master!$D$25:$G$223,4,FALSE)</f>
        <v>Transferi za socijalnu zaštitu</v>
      </c>
      <c r="C43" s="467"/>
      <c r="D43" s="467"/>
      <c r="E43" s="467"/>
      <c r="F43" s="467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50" t="str">
        <f>+VLOOKUP($A44,Master!$D$25:$G$223,4,FALSE)</f>
        <v>Prava iz oblasti socijalne zaštite</v>
      </c>
      <c r="C44" s="451"/>
      <c r="D44" s="451"/>
      <c r="E44" s="451"/>
      <c r="F44" s="451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50" t="str">
        <f>+VLOOKUP($A45,Master!$D$25:$G$223,4,FALSE)</f>
        <v>Sredstva za tehnološke viškove</v>
      </c>
      <c r="C45" s="451"/>
      <c r="D45" s="451"/>
      <c r="E45" s="451"/>
      <c r="F45" s="451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50" t="str">
        <f>+VLOOKUP($A46,Master!$D$25:$G$223,4,FALSE)</f>
        <v>Prava iz oblasti penzijskog i invalidskog osiguranja</v>
      </c>
      <c r="C46" s="451"/>
      <c r="D46" s="451"/>
      <c r="E46" s="451"/>
      <c r="F46" s="451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50" t="str">
        <f>+VLOOKUP($A47,Master!$D$25:$G$223,4,FALSE)</f>
        <v>Ostala prava iz oblasti zdravstvene zaštite</v>
      </c>
      <c r="C47" s="451"/>
      <c r="D47" s="451"/>
      <c r="E47" s="451"/>
      <c r="F47" s="451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50" t="str">
        <f>+VLOOKUP($A48,Master!$D$25:$G$223,4,FALSE)</f>
        <v>Ostala prava iz zdravstvenog osiguranja</v>
      </c>
      <c r="C48" s="451"/>
      <c r="D48" s="451"/>
      <c r="E48" s="451"/>
      <c r="F48" s="451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64" t="str">
        <f>+VLOOKUP($A49,Master!$D$25:$G$223,4,FALSE)</f>
        <v xml:space="preserve">Transferi institucijama, pojedincima, nevladinom i javnom sektoru </v>
      </c>
      <c r="C49" s="465"/>
      <c r="D49" s="465"/>
      <c r="E49" s="465"/>
      <c r="F49" s="465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64" t="str">
        <f>+VLOOKUP($A50,Master!$D$25:$G$223,4,FALSE)</f>
        <v>Kapitalni budžet</v>
      </c>
      <c r="C50" s="465"/>
      <c r="D50" s="465"/>
      <c r="E50" s="465"/>
      <c r="F50" s="465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68" t="str">
        <f>+VLOOKUP($A51,Master!$D$25:$G$223,4,FALSE)</f>
        <v>Pozajmice i krediti</v>
      </c>
      <c r="C51" s="469"/>
      <c r="D51" s="469"/>
      <c r="E51" s="469"/>
      <c r="F51" s="469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68" t="str">
        <f>+VLOOKUP($A52,Master!$D$25:$G$223,4,FALSE)</f>
        <v>Rezerve</v>
      </c>
      <c r="C52" s="469"/>
      <c r="D52" s="469"/>
      <c r="E52" s="469"/>
      <c r="F52" s="469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70" t="str">
        <f>+VLOOKUP($A53,Master!$D$25:$G$223,4,FALSE)</f>
        <v>Otplata garancija</v>
      </c>
      <c r="C53" s="471"/>
      <c r="D53" s="471"/>
      <c r="E53" s="471"/>
      <c r="F53" s="471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70" t="str">
        <f>+VLOOKUP($A54,Master!$D$25:$G$223,4,FALSE)</f>
        <v>Otplata obaveza iz prethodnih godina</v>
      </c>
      <c r="C54" s="471"/>
      <c r="D54" s="471"/>
      <c r="E54" s="471"/>
      <c r="F54" s="471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70" t="str">
        <f>+VLOOKUP($A55,Master!$D$25:$G$225,4,FALSE)</f>
        <v>Neto povećanje obaveza</v>
      </c>
      <c r="C55" s="471"/>
      <c r="D55" s="471"/>
      <c r="E55" s="471"/>
      <c r="F55" s="471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72" t="str">
        <f>+VLOOKUP($A56,Master!$D$25:$G$223,4,FALSE)</f>
        <v>Suficit / deficit</v>
      </c>
      <c r="C56" s="473"/>
      <c r="D56" s="473"/>
      <c r="E56" s="473"/>
      <c r="F56" s="473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74" t="str">
        <f>+VLOOKUP($A57,Master!$D$25:$G$223,4,FALSE)</f>
        <v>Primarni bilans</v>
      </c>
      <c r="C57" s="475"/>
      <c r="D57" s="475"/>
      <c r="E57" s="475"/>
      <c r="F57" s="475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66" t="str">
        <f>+VLOOKUP($A58,Master!$D$25:$G$223,4,FALSE)</f>
        <v>Otplata dugova</v>
      </c>
      <c r="C58" s="467"/>
      <c r="D58" s="467"/>
      <c r="E58" s="467"/>
      <c r="F58" s="467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92" t="str">
        <f>+VLOOKUP($A59,Master!$D$25:$G$223,4,FALSE)</f>
        <v>Otplata hartija od vrijednosti i kredita rezidentima</v>
      </c>
      <c r="C59" s="493"/>
      <c r="D59" s="493"/>
      <c r="E59" s="493"/>
      <c r="F59" s="493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68" t="str">
        <f>+VLOOKUP($A60,Master!$D$25:$G$223,4,FALSE)</f>
        <v>Otplata hartija od vrijednosti i kredita nerezidentima</v>
      </c>
      <c r="C60" s="469"/>
      <c r="D60" s="469"/>
      <c r="E60" s="469"/>
      <c r="F60" s="469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Otplata obaveza iz prethodnih godina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10"/>
      <c r="S7" s="116" t="str">
        <f>+Master!G246</f>
        <v>BDP</v>
      </c>
      <c r="T7" s="117">
        <v>3393200615</v>
      </c>
    </row>
    <row r="8" spans="1:20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09" t="str">
        <f>+Master!G243</f>
        <v>Jan - Maj</v>
      </c>
      <c r="T8" s="510"/>
    </row>
    <row r="9" spans="1:20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548" t="str">
        <f>+VLOOKUP($A54,Master!$D$25:$G$223,4,FALSE)</f>
        <v>Suficit / deficit</v>
      </c>
      <c r="C54" s="549"/>
      <c r="D54" s="549"/>
      <c r="E54" s="549"/>
      <c r="F54" s="54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550" t="str">
        <f>+VLOOKUP($A55,Master!$D$25:$G$223,4,FALSE)</f>
        <v>Primarni bilans</v>
      </c>
      <c r="C55" s="551"/>
      <c r="D55" s="551"/>
      <c r="E55" s="551"/>
      <c r="F55" s="55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542" t="str">
        <f>+VLOOKUP($A56,Master!$D$25:$G$223,4,FALSE)</f>
        <v>Otplata dugova</v>
      </c>
      <c r="C56" s="543"/>
      <c r="D56" s="543"/>
      <c r="E56" s="543"/>
      <c r="F56" s="54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546" t="str">
        <f>+VLOOKUP($A57,Master!$D$25:$G$223,4,FALSE)</f>
        <v>Otplata hartija od vrijednosti i kredita rezidentima</v>
      </c>
      <c r="C57" s="547"/>
      <c r="D57" s="547"/>
      <c r="E57" s="547"/>
      <c r="F57" s="547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540" t="str">
        <f>+VLOOKUP($A58,Master!$D$25:$G$223,4,FALSE)</f>
        <v>Otplata hartija od vrijednosti i kredita nerezidentima</v>
      </c>
      <c r="C58" s="541"/>
      <c r="D58" s="541"/>
      <c r="E58" s="541"/>
      <c r="F58" s="54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552" t="str">
        <f>+VLOOKUP($A59,Master!$D$25:$G$223,4,FALSE)</f>
        <v>Otplata obaveza iz prethodnih godina</v>
      </c>
      <c r="C59" s="553"/>
      <c r="D59" s="553"/>
      <c r="E59" s="553"/>
      <c r="F59" s="55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544" t="str">
        <f>+VLOOKUP($A60,Master!$D$25:$G$223,4,FALSE)</f>
        <v>Nedostajuća sredstva</v>
      </c>
      <c r="C60" s="545"/>
      <c r="D60" s="545"/>
      <c r="E60" s="545"/>
      <c r="F60" s="54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532" t="str">
        <f>+VLOOKUP($A61,Master!$D$25:$G$223,4,FALSE)</f>
        <v>Finansiranje</v>
      </c>
      <c r="C61" s="533"/>
      <c r="D61" s="533"/>
      <c r="E61" s="533"/>
      <c r="F61" s="53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546" t="str">
        <f>+VLOOKUP($A62,Master!$D$25:$G$223,4,FALSE)</f>
        <v>Pozajmice i krediti od domaćih izvora</v>
      </c>
      <c r="C62" s="547"/>
      <c r="D62" s="547"/>
      <c r="E62" s="547"/>
      <c r="F62" s="547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540" t="str">
        <f>+VLOOKUP($A63,Master!$D$25:$G$223,4,FALSE)</f>
        <v>Pozajmice i krediti od inostranih izvora</v>
      </c>
      <c r="C63" s="541"/>
      <c r="D63" s="541"/>
      <c r="E63" s="541"/>
      <c r="F63" s="54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540" t="str">
        <f>+VLOOKUP($A64,Master!$D$25:$G$223,4,FALSE)</f>
        <v>Primici od prodaje imovine</v>
      </c>
      <c r="C64" s="541"/>
      <c r="D64" s="541"/>
      <c r="E64" s="541"/>
      <c r="F64" s="54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498" t="str">
        <f>+Master!G250</f>
        <v>Plan ostvarenja budžeta</v>
      </c>
      <c r="C101" s="479"/>
      <c r="D101" s="479"/>
      <c r="E101" s="479"/>
      <c r="F101" s="479"/>
      <c r="G101" s="487">
        <v>2014</v>
      </c>
      <c r="H101" s="488"/>
      <c r="I101" s="488"/>
      <c r="J101" s="488"/>
      <c r="K101" s="488"/>
      <c r="L101" s="488"/>
      <c r="M101" s="488"/>
      <c r="N101" s="488"/>
      <c r="O101" s="488"/>
      <c r="P101" s="488"/>
      <c r="Q101" s="488"/>
      <c r="R101" s="491"/>
      <c r="S101" s="261" t="str">
        <f>+S7</f>
        <v>BDP</v>
      </c>
      <c r="T101" s="262">
        <v>3393200615</v>
      </c>
    </row>
    <row r="102" spans="1:20" ht="15.75" customHeight="1">
      <c r="A102" s="170"/>
      <c r="B102" s="480"/>
      <c r="C102" s="481"/>
      <c r="D102" s="481"/>
      <c r="E102" s="481"/>
      <c r="F102" s="482"/>
      <c r="G102" s="171" t="str">
        <f>+G8</f>
        <v>Januar</v>
      </c>
      <c r="H102" s="171" t="str">
        <f t="shared" ref="H102:T102" si="16">+H8</f>
        <v>Februar</v>
      </c>
      <c r="I102" s="171" t="str">
        <f t="shared" si="16"/>
        <v>Mart</v>
      </c>
      <c r="J102" s="171" t="str">
        <f t="shared" si="16"/>
        <v>April</v>
      </c>
      <c r="K102" s="171" t="str">
        <f t="shared" si="16"/>
        <v>Maj</v>
      </c>
      <c r="L102" s="171" t="str">
        <f t="shared" si="16"/>
        <v>Jun</v>
      </c>
      <c r="M102" s="171" t="str">
        <f t="shared" si="16"/>
        <v>Jul</v>
      </c>
      <c r="N102" s="171" t="str">
        <f t="shared" si="16"/>
        <v>Avgust</v>
      </c>
      <c r="O102" s="171" t="str">
        <f t="shared" si="16"/>
        <v>Septembar</v>
      </c>
      <c r="P102" s="171" t="str">
        <f t="shared" si="16"/>
        <v>Oktobar</v>
      </c>
      <c r="Q102" s="171" t="str">
        <f t="shared" si="16"/>
        <v>Novembar</v>
      </c>
      <c r="R102" s="171" t="str">
        <f t="shared" si="16"/>
        <v>Decembar</v>
      </c>
      <c r="S102" s="487" t="str">
        <f>+Master!G244</f>
        <v>Jan - Dec</v>
      </c>
      <c r="T102" s="491">
        <f t="shared" si="16"/>
        <v>0</v>
      </c>
    </row>
    <row r="103" spans="1:20" ht="13.5" thickBot="1">
      <c r="A103" s="170"/>
      <c r="B103" s="483"/>
      <c r="C103" s="484"/>
      <c r="D103" s="484"/>
      <c r="E103" s="484"/>
      <c r="F103" s="485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BDP</v>
      </c>
    </row>
    <row r="104" spans="1:20" ht="13.5" thickBot="1">
      <c r="A104" s="298" t="str">
        <f>+CONCATENATE(A10,"p")</f>
        <v>7p</v>
      </c>
      <c r="B104" s="446" t="str">
        <f>+VLOOKUP(LEFT($A104,LEN(A104)-1)*1,Master!$D$25:$G$223,4,FALSE)</f>
        <v>Prihodi budžeta</v>
      </c>
      <c r="C104" s="447"/>
      <c r="D104" s="447"/>
      <c r="E104" s="447"/>
      <c r="F104" s="447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48" t="str">
        <f>+VLOOKUP(LEFT($A105,LEN(A105)-1)*1,Master!$D$25:$G$223,4,FALSE)</f>
        <v>Porezi</v>
      </c>
      <c r="C105" s="449"/>
      <c r="D105" s="449"/>
      <c r="E105" s="449"/>
      <c r="F105" s="449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50" t="str">
        <f>+VLOOKUP(LEFT($A106,LEN(A106)-1)*1,Master!$D$25:$G$223,4,FALSE)</f>
        <v>Porez na dohodak fizičkih lica</v>
      </c>
      <c r="C106" s="451"/>
      <c r="D106" s="451"/>
      <c r="E106" s="451"/>
      <c r="F106" s="451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50" t="str">
        <f>+VLOOKUP(LEFT($A107,LEN(A107)-1)*1,Master!$D$25:$G$223,4,FALSE)</f>
        <v>Porez na dobit pravnih lica</v>
      </c>
      <c r="C107" s="451"/>
      <c r="D107" s="451"/>
      <c r="E107" s="451"/>
      <c r="F107" s="451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50" t="str">
        <f>+VLOOKUP(LEFT($A108,LEN(A108)-1)*1,Master!$D$25:$G$223,4,FALSE)</f>
        <v>Porez na promet nepokretnosti</v>
      </c>
      <c r="C108" s="451"/>
      <c r="D108" s="451"/>
      <c r="E108" s="451"/>
      <c r="F108" s="451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50" t="str">
        <f>+VLOOKUP(LEFT($A109,LEN(A109)-1)*1,Master!$D$25:$G$223,4,FALSE)</f>
        <v>Porez na dodatu vrijednost</v>
      </c>
      <c r="C109" s="451"/>
      <c r="D109" s="451"/>
      <c r="E109" s="451"/>
      <c r="F109" s="451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50" t="str">
        <f>+VLOOKUP(LEFT($A110,LEN(A110)-1)*1,Master!$D$25:$G$223,4,FALSE)</f>
        <v>Akcize</v>
      </c>
      <c r="C110" s="451"/>
      <c r="D110" s="451"/>
      <c r="E110" s="451"/>
      <c r="F110" s="451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50" t="str">
        <f>+VLOOKUP(LEFT($A111,LEN(A111)-1)*1,Master!$D$25:$G$223,4,FALSE)</f>
        <v>Porez na međunarodnu trgovinu i transakcije</v>
      </c>
      <c r="C111" s="451"/>
      <c r="D111" s="451"/>
      <c r="E111" s="451"/>
      <c r="F111" s="451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50" t="e">
        <f>+VLOOKUP(LEFT($A112,LEN(A112)-1)*1,Master!$D$25:$G$223,4,FALSE)</f>
        <v>#N/A</v>
      </c>
      <c r="C112" s="451"/>
      <c r="D112" s="451"/>
      <c r="E112" s="451"/>
      <c r="F112" s="451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50" t="str">
        <f>+VLOOKUP(LEFT($A113,LEN(A113)-1)*1,Master!$D$25:$G$223,4,FALSE)</f>
        <v>Ostali državni porezi</v>
      </c>
      <c r="C113" s="451"/>
      <c r="D113" s="451"/>
      <c r="E113" s="451"/>
      <c r="F113" s="451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54" t="str">
        <f>+VLOOKUP(LEFT($A114,LEN(A114)-1)*1,Master!$D$25:$G$223,4,FALSE)</f>
        <v>Doprinosi</v>
      </c>
      <c r="C114" s="455"/>
      <c r="D114" s="455"/>
      <c r="E114" s="455"/>
      <c r="F114" s="455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50" t="str">
        <f>+VLOOKUP(LEFT($A115,LEN(A115)-1)*1,Master!$D$25:$G$223,4,FALSE)</f>
        <v>Doprinosi za penzijsko i invalidsko osiguranje</v>
      </c>
      <c r="C115" s="451"/>
      <c r="D115" s="451"/>
      <c r="E115" s="451"/>
      <c r="F115" s="451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50" t="str">
        <f>+VLOOKUP(LEFT($A116,LEN(A116)-1)*1,Master!$D$25:$G$223,4,FALSE)</f>
        <v>Doprinosi za zdravstveno osiguranje</v>
      </c>
      <c r="C116" s="451"/>
      <c r="D116" s="451"/>
      <c r="E116" s="451"/>
      <c r="F116" s="451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50" t="str">
        <f>+VLOOKUP(LEFT($A117,LEN(A117)-1)*1,Master!$D$25:$G$223,4,FALSE)</f>
        <v>Doprinosi za osiguranje od nezaposlenosti</v>
      </c>
      <c r="C117" s="451"/>
      <c r="D117" s="451"/>
      <c r="E117" s="451"/>
      <c r="F117" s="451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50" t="str">
        <f>+VLOOKUP(LEFT($A118,LEN(A118)-1)*1,Master!$D$25:$G$223,4,FALSE)</f>
        <v>Ostali doprinosi</v>
      </c>
      <c r="C118" s="451"/>
      <c r="D118" s="451"/>
      <c r="E118" s="451"/>
      <c r="F118" s="451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52" t="str">
        <f>+VLOOKUP(LEFT($A119,LEN(A119)-1)*1,Master!$D$25:$G$223,4,FALSE)</f>
        <v>Takse</v>
      </c>
      <c r="C119" s="453"/>
      <c r="D119" s="453"/>
      <c r="E119" s="453"/>
      <c r="F119" s="453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52" t="str">
        <f>+VLOOKUP(LEFT($A120,LEN(A120)-1)*1,Master!$D$25:$G$223,4,FALSE)</f>
        <v>Naknade</v>
      </c>
      <c r="C120" s="453"/>
      <c r="D120" s="453"/>
      <c r="E120" s="453"/>
      <c r="F120" s="453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52" t="str">
        <f>+VLOOKUP(LEFT($A121,LEN(A121)-1)*1,Master!$D$25:$G$223,4,FALSE)</f>
        <v>Ostali prihodi</v>
      </c>
      <c r="C121" s="453"/>
      <c r="D121" s="453"/>
      <c r="E121" s="453"/>
      <c r="F121" s="453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52" t="str">
        <f>+VLOOKUP(LEFT($A122,LEN(A122)-1)*1,Master!$D$25:$G$223,4,FALSE)</f>
        <v>Primici od otplate kredita i sredstva prenesena iz prethodne godine</v>
      </c>
      <c r="C122" s="453"/>
      <c r="D122" s="453"/>
      <c r="E122" s="453"/>
      <c r="F122" s="453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56" t="str">
        <f>+VLOOKUP(LEFT($A123,LEN(A123)-1)*1,Master!$D$25:$G$223,4,FALSE)</f>
        <v>Donacije i transferi</v>
      </c>
      <c r="C123" s="457"/>
      <c r="D123" s="457"/>
      <c r="E123" s="457"/>
      <c r="F123" s="457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58" t="str">
        <f>+VLOOKUP(LEFT($A124,LEN(A124)-1)*1,Master!$D$25:$G$223,4,FALSE)</f>
        <v>Budžetski izdaci</v>
      </c>
      <c r="C124" s="459"/>
      <c r="D124" s="459"/>
      <c r="E124" s="459"/>
      <c r="F124" s="459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60" t="str">
        <f>+VLOOKUP(LEFT($A125,LEN(A125)-1)*1,Master!$D$25:$G$223,4,FALSE)</f>
        <v>Tekući izdaci</v>
      </c>
      <c r="C125" s="461"/>
      <c r="D125" s="461"/>
      <c r="E125" s="461"/>
      <c r="F125" s="461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62" t="str">
        <f>+VLOOKUP(LEFT($A126,LEN(A126)-1)*1,Master!$D$25:$G$223,4,FALSE)</f>
        <v>Tekući budžetski izdaci</v>
      </c>
      <c r="C126" s="463"/>
      <c r="D126" s="463"/>
      <c r="E126" s="463"/>
      <c r="F126" s="463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50" t="str">
        <f>+VLOOKUP(LEFT($A127,LEN(A127)-1)*1,Master!$D$25:$G$223,4,FALSE)</f>
        <v>Bruto zarade i doprinosi na teret poslodavca</v>
      </c>
      <c r="C127" s="451"/>
      <c r="D127" s="451"/>
      <c r="E127" s="451"/>
      <c r="F127" s="451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50" t="str">
        <f>+VLOOKUP(LEFT($A128,LEN(A128)-1)*1,Master!$D$25:$G$223,4,FALSE)</f>
        <v>Ostala lična primanja</v>
      </c>
      <c r="C128" s="451"/>
      <c r="D128" s="451"/>
      <c r="E128" s="451"/>
      <c r="F128" s="451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50" t="str">
        <f>+VLOOKUP(LEFT($A129,LEN(A129)-1)*1,Master!$D$25:$G$223,4,FALSE)</f>
        <v>Rashodi za materijal</v>
      </c>
      <c r="C129" s="451"/>
      <c r="D129" s="451"/>
      <c r="E129" s="451"/>
      <c r="F129" s="451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50" t="str">
        <f>+VLOOKUP(LEFT($A130,LEN(A130)-1)*1,Master!$D$25:$G$223,4,FALSE)</f>
        <v>Rashodi za usluge</v>
      </c>
      <c r="C130" s="451"/>
      <c r="D130" s="451"/>
      <c r="E130" s="451"/>
      <c r="F130" s="451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50" t="str">
        <f>+VLOOKUP(LEFT($A131,LEN(A131)-1)*1,Master!$D$25:$G$223,4,FALSE)</f>
        <v>Rashodi za tekuće održavanje</v>
      </c>
      <c r="C131" s="451"/>
      <c r="D131" s="451"/>
      <c r="E131" s="451"/>
      <c r="F131" s="451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50" t="str">
        <f>+VLOOKUP(LEFT($A132,LEN(A132)-1)*1,Master!$D$25:$G$223,4,FALSE)</f>
        <v>Kamate</v>
      </c>
      <c r="C132" s="451"/>
      <c r="D132" s="451"/>
      <c r="E132" s="451"/>
      <c r="F132" s="451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50" t="str">
        <f>+VLOOKUP(LEFT($A133,LEN(A133)-1)*1,Master!$D$25:$G$223,4,FALSE)</f>
        <v>Renta</v>
      </c>
      <c r="C133" s="451"/>
      <c r="D133" s="451"/>
      <c r="E133" s="451"/>
      <c r="F133" s="451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50" t="str">
        <f>+VLOOKUP(LEFT($A134,LEN(A134)-1)*1,Master!$D$25:$G$223,4,FALSE)</f>
        <v>Subvencije</v>
      </c>
      <c r="C134" s="451"/>
      <c r="D134" s="451"/>
      <c r="E134" s="451"/>
      <c r="F134" s="451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50" t="str">
        <f>+VLOOKUP(LEFT($A135,LEN(A135)-1)*1,Master!$D$25:$G$223,4,FALSE)</f>
        <v>Ostali izdaci</v>
      </c>
      <c r="C135" s="451"/>
      <c r="D135" s="451"/>
      <c r="E135" s="451"/>
      <c r="F135" s="451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50" t="str">
        <f>+VLOOKUP(LEFT($A136,LEN(A136)-1)*1,Master!$D$25:$G$223,4,FALSE)</f>
        <v>Kapitalni izdaci u tekućem budžetu</v>
      </c>
      <c r="C136" s="451"/>
      <c r="D136" s="451"/>
      <c r="E136" s="451"/>
      <c r="F136" s="451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66" t="str">
        <f>+VLOOKUP(LEFT($A137,LEN(A137)-1)*1,Master!$D$25:$G$223,4,FALSE)</f>
        <v>Transferi za socijalnu zaštitu</v>
      </c>
      <c r="C137" s="467"/>
      <c r="D137" s="467"/>
      <c r="E137" s="467"/>
      <c r="F137" s="467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50" t="str">
        <f>+VLOOKUP(LEFT($A138,LEN(A138)-1)*1,Master!$D$25:$G$223,4,FALSE)</f>
        <v>Prava iz oblasti socijalne zaštite</v>
      </c>
      <c r="C138" s="451"/>
      <c r="D138" s="451"/>
      <c r="E138" s="451"/>
      <c r="F138" s="451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50" t="str">
        <f>+VLOOKUP(LEFT($A139,LEN(A139)-1)*1,Master!$D$25:$G$223,4,FALSE)</f>
        <v>Sredstva za tehnološke viškove</v>
      </c>
      <c r="C139" s="451"/>
      <c r="D139" s="451"/>
      <c r="E139" s="451"/>
      <c r="F139" s="451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50" t="str">
        <f>+VLOOKUP(LEFT($A140,LEN(A140)-1)*1,Master!$D$25:$G$223,4,FALSE)</f>
        <v>Prava iz oblasti penzijskog i invalidskog osiguranja</v>
      </c>
      <c r="C140" s="451"/>
      <c r="D140" s="451"/>
      <c r="E140" s="451"/>
      <c r="F140" s="451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50" t="str">
        <f>+VLOOKUP(LEFT($A141,LEN(A141)-1)*1,Master!$D$25:$G$223,4,FALSE)</f>
        <v>Ostala prava iz oblasti zdravstvene zaštite</v>
      </c>
      <c r="C141" s="451"/>
      <c r="D141" s="451"/>
      <c r="E141" s="451"/>
      <c r="F141" s="451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50" t="str">
        <f>+VLOOKUP(LEFT($A142,LEN(A142)-1)*1,Master!$D$25:$G$223,4,FALSE)</f>
        <v>Ostala prava iz zdravstvenog osiguranja</v>
      </c>
      <c r="C142" s="451"/>
      <c r="D142" s="451"/>
      <c r="E142" s="451"/>
      <c r="F142" s="451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64" t="str">
        <f>+VLOOKUP(LEFT($A143,LEN(A143)-1)*1,Master!$D$25:$G$223,4,FALSE)</f>
        <v xml:space="preserve">Transferi institucijama, pojedincima, nevladinom i javnom sektoru </v>
      </c>
      <c r="C143" s="465"/>
      <c r="D143" s="465"/>
      <c r="E143" s="465"/>
      <c r="F143" s="465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64" t="str">
        <f>+VLOOKUP(LEFT($A144,LEN(A144)-1)*1,Master!$D$25:$G$223,4,FALSE)</f>
        <v>Kapitalni budžet</v>
      </c>
      <c r="C144" s="465"/>
      <c r="D144" s="465"/>
      <c r="E144" s="465"/>
      <c r="F144" s="465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68" t="str">
        <f>+VLOOKUP(LEFT($A145,LEN(A145)-1)*1,Master!$D$25:$G$223,4,FALSE)</f>
        <v>Pozajmice i krediti</v>
      </c>
      <c r="C145" s="469"/>
      <c r="D145" s="469"/>
      <c r="E145" s="469"/>
      <c r="F145" s="469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68" t="str">
        <f>+VLOOKUP(LEFT($A146,LEN(A146)-1)*1,Master!$D$25:$G$223,4,FALSE)</f>
        <v>Rezerve</v>
      </c>
      <c r="C146" s="469"/>
      <c r="D146" s="469"/>
      <c r="E146" s="469"/>
      <c r="F146" s="469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70" t="str">
        <f>+VLOOKUP(LEFT($A147,LEN(A147)-1)*1,Master!$D$25:$G$223,4,FALSE)</f>
        <v>Otplata garancija</v>
      </c>
      <c r="C147" s="471"/>
      <c r="D147" s="471"/>
      <c r="E147" s="471"/>
      <c r="F147" s="471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72" t="str">
        <f>+VLOOKUP(LEFT($A148,LEN(A148)-1)*1,Master!$D$25:$G$223,4,FALSE)</f>
        <v>Suficit / deficit</v>
      </c>
      <c r="C148" s="473"/>
      <c r="D148" s="473"/>
      <c r="E148" s="473"/>
      <c r="F148" s="473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74" t="str">
        <f>+VLOOKUP(LEFT($A149,LEN(A149)-1)*1,Master!$D$25:$G$223,4,FALSE)</f>
        <v>Primarni bilans</v>
      </c>
      <c r="C149" s="475"/>
      <c r="D149" s="475"/>
      <c r="E149" s="475"/>
      <c r="F149" s="475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66" t="str">
        <f>+VLOOKUP(LEFT($A150,LEN(A150)-1)*1,Master!$D$25:$G$223,4,FALSE)</f>
        <v>Otplata dugova</v>
      </c>
      <c r="C150" s="467"/>
      <c r="D150" s="467"/>
      <c r="E150" s="467"/>
      <c r="F150" s="467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92" t="str">
        <f>+VLOOKUP(LEFT($A151,LEN(A151)-1)*1,Master!$D$25:$G$223,4,FALSE)</f>
        <v>Otplata hartija od vrijednosti i kredita rezidentima</v>
      </c>
      <c r="C151" s="493"/>
      <c r="D151" s="493"/>
      <c r="E151" s="493"/>
      <c r="F151" s="493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68" t="str">
        <f>+VLOOKUP(LEFT($A152,LEN(A152)-1)*1,Master!$D$25:$G$223,4,FALSE)</f>
        <v>Otplata hartija od vrijednosti i kredita nerezidentima</v>
      </c>
      <c r="C152" s="469"/>
      <c r="D152" s="469"/>
      <c r="E152" s="469"/>
      <c r="F152" s="469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70" t="str">
        <f>+VLOOKUP(LEFT($A153,LEN(A153)-1)*1,Master!$D$25:$G$223,4,FALSE)</f>
        <v>Otplata obaveza iz prethodnih godina</v>
      </c>
      <c r="C153" s="471"/>
      <c r="D153" s="471"/>
      <c r="E153" s="471"/>
      <c r="F153" s="471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94" t="str">
        <f>+VLOOKUP(LEFT($A154,LEN(A154)-1)*1,Master!$D$25:$G$223,4,FALSE)</f>
        <v>Nedostajuća sredstva</v>
      </c>
      <c r="C154" s="495"/>
      <c r="D154" s="495"/>
      <c r="E154" s="495"/>
      <c r="F154" s="495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58" t="str">
        <f>+VLOOKUP(LEFT($A155,LEN(A155)-1)*1,Master!$D$25:$G$223,4,FALSE)</f>
        <v>Finansiranje</v>
      </c>
      <c r="C155" s="459"/>
      <c r="D155" s="459"/>
      <c r="E155" s="459"/>
      <c r="F155" s="459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92" t="str">
        <f>+VLOOKUP(LEFT($A156,LEN(A156)-1)*1,Master!$D$25:$G$223,4,FALSE)</f>
        <v>Pozajmice i krediti od domaćih izvora</v>
      </c>
      <c r="C156" s="493"/>
      <c r="D156" s="493"/>
      <c r="E156" s="493"/>
      <c r="F156" s="493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68" t="str">
        <f>+VLOOKUP(LEFT($A157,LEN(A157)-1)*1,Master!$D$25:$G$223,4,FALSE)</f>
        <v>Pozajmice i krediti od inostranih izvora</v>
      </c>
      <c r="C157" s="469"/>
      <c r="D157" s="469"/>
      <c r="E157" s="469"/>
      <c r="F157" s="469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68" t="str">
        <f>+VLOOKUP(LEFT($A158,LEN(A158)-1)*1,Master!$D$25:$G$223,4,FALSE)</f>
        <v>Primici od prodaje imovine</v>
      </c>
      <c r="C158" s="469"/>
      <c r="D158" s="469"/>
      <c r="E158" s="469"/>
      <c r="F158" s="469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Povećanje / smanjenje depozita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F374" activePane="bottomRight" state="frozen"/>
      <selection pane="topRight" activeCell="F1" sqref="F1"/>
      <selection pane="bottomLeft" activeCell="A8" sqref="A8"/>
      <selection pane="bottomRight" activeCell="EX377" sqref="EX377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59" t="s">
        <v>570</v>
      </c>
      <c r="F6" s="557">
        <v>2006</v>
      </c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8"/>
      <c r="R6" s="557">
        <v>2007</v>
      </c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8"/>
      <c r="AD6" s="557">
        <v>2008</v>
      </c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8"/>
      <c r="AP6" s="557">
        <v>2009</v>
      </c>
      <c r="AQ6" s="556"/>
      <c r="AR6" s="556"/>
      <c r="AS6" s="556"/>
      <c r="AT6" s="556"/>
      <c r="AU6" s="556"/>
      <c r="AV6" s="556"/>
      <c r="AW6" s="556"/>
      <c r="AX6" s="556"/>
      <c r="AY6" s="556"/>
      <c r="AZ6" s="556"/>
      <c r="BA6" s="558"/>
      <c r="BB6" s="557">
        <v>2010</v>
      </c>
      <c r="BC6" s="556"/>
      <c r="BD6" s="556"/>
      <c r="BE6" s="556"/>
      <c r="BF6" s="556"/>
      <c r="BG6" s="556"/>
      <c r="BH6" s="556"/>
      <c r="BI6" s="556"/>
      <c r="BJ6" s="556"/>
      <c r="BK6" s="556"/>
      <c r="BL6" s="556"/>
      <c r="BM6" s="558"/>
      <c r="BN6" s="557">
        <v>2011</v>
      </c>
      <c r="BO6" s="556"/>
      <c r="BP6" s="556"/>
      <c r="BQ6" s="556"/>
      <c r="BR6" s="556"/>
      <c r="BS6" s="556"/>
      <c r="BT6" s="556"/>
      <c r="BU6" s="556"/>
      <c r="BV6" s="556"/>
      <c r="BW6" s="556"/>
      <c r="BX6" s="556"/>
      <c r="BY6" s="558"/>
      <c r="BZ6" s="556">
        <v>2012</v>
      </c>
      <c r="CA6" s="556"/>
      <c r="CB6" s="556"/>
      <c r="CC6" s="556"/>
      <c r="CD6" s="556"/>
      <c r="CE6" s="556"/>
      <c r="CF6" s="556"/>
      <c r="CG6" s="556"/>
      <c r="CH6" s="556"/>
      <c r="CI6" s="556"/>
      <c r="CJ6" s="556"/>
      <c r="CK6" s="556"/>
      <c r="CL6" s="557">
        <v>2013</v>
      </c>
      <c r="CM6" s="556"/>
      <c r="CN6" s="556"/>
      <c r="CO6" s="556"/>
      <c r="CP6" s="556"/>
      <c r="CQ6" s="556"/>
      <c r="CR6" s="556"/>
      <c r="CS6" s="556"/>
      <c r="CT6" s="556"/>
      <c r="CU6" s="556"/>
      <c r="CV6" s="556"/>
      <c r="CW6" s="558"/>
      <c r="CX6" s="557">
        <v>2014</v>
      </c>
      <c r="CY6" s="556"/>
      <c r="CZ6" s="556"/>
      <c r="DA6" s="556"/>
      <c r="DB6" s="556"/>
      <c r="DC6" s="556"/>
      <c r="DD6" s="556"/>
      <c r="DE6" s="556"/>
      <c r="DF6" s="556"/>
      <c r="DG6" s="556"/>
      <c r="DH6" s="556"/>
      <c r="DI6" s="558"/>
      <c r="DJ6" s="557">
        <v>2015</v>
      </c>
      <c r="DK6" s="556"/>
      <c r="DL6" s="556"/>
      <c r="DM6" s="556"/>
      <c r="DN6" s="556"/>
      <c r="DO6" s="556"/>
      <c r="DP6" s="556"/>
      <c r="DQ6" s="556"/>
      <c r="DR6" s="556"/>
      <c r="DS6" s="556"/>
      <c r="DT6" s="556"/>
      <c r="DU6" s="558"/>
    </row>
    <row r="7" spans="1:321">
      <c r="E7" s="559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4">
        <v>79855347.849999994</v>
      </c>
      <c r="EU9" s="424">
        <v>106190042</v>
      </c>
      <c r="EV9" s="424">
        <v>137417391.37</v>
      </c>
      <c r="EW9" s="377">
        <v>147833434.00999999</v>
      </c>
      <c r="EX9" s="377">
        <v>135934065.38</v>
      </c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5">
        <v>60295851.509999998</v>
      </c>
      <c r="EU10" s="425">
        <v>64797597.329999998</v>
      </c>
      <c r="EV10" s="425">
        <v>89261850.609999999</v>
      </c>
      <c r="EW10" s="379">
        <v>97799793.079999998</v>
      </c>
      <c r="EX10" s="379">
        <v>90553351.069999993</v>
      </c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4">
        <v>3496624.83</v>
      </c>
      <c r="EU11" s="424">
        <v>8897390.9499999993</v>
      </c>
      <c r="EV11" s="424">
        <v>10001520.890000001</v>
      </c>
      <c r="EW11" s="377">
        <v>9899613.5099999998</v>
      </c>
      <c r="EX11" s="377">
        <v>10330673.77</v>
      </c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4">
        <v>475602.8</v>
      </c>
      <c r="EU12" s="424">
        <v>1641570.62</v>
      </c>
      <c r="EV12" s="424">
        <v>22262597.649999999</v>
      </c>
      <c r="EW12" s="377">
        <v>18095823.48</v>
      </c>
      <c r="EX12" s="377">
        <v>3730435.57</v>
      </c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4">
        <v>93380.49</v>
      </c>
      <c r="EU13" s="424">
        <v>116565.53</v>
      </c>
      <c r="EV13" s="424">
        <v>203411.31</v>
      </c>
      <c r="EW13" s="377">
        <v>117398.62</v>
      </c>
      <c r="EX13" s="377">
        <v>143886.48000000001</v>
      </c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4">
        <v>40926868.810000002</v>
      </c>
      <c r="EU14" s="424">
        <v>38270122.18</v>
      </c>
      <c r="EV14" s="424">
        <v>40510183.409999996</v>
      </c>
      <c r="EW14" s="377">
        <v>50343037.649999999</v>
      </c>
      <c r="EX14" s="377">
        <v>53847636.579999998</v>
      </c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4">
        <v>13370061.67</v>
      </c>
      <c r="EU15" s="424">
        <v>13585674.48</v>
      </c>
      <c r="EV15" s="424">
        <v>13376493.630000001</v>
      </c>
      <c r="EW15" s="377">
        <v>16425170.310000001</v>
      </c>
      <c r="EX15" s="377">
        <v>19160303.329999998</v>
      </c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4">
        <v>1218936.71</v>
      </c>
      <c r="EU16" s="424">
        <v>1678360</v>
      </c>
      <c r="EV16" s="424">
        <v>2228428.98</v>
      </c>
      <c r="EW16" s="377">
        <v>2192466.4500000002</v>
      </c>
      <c r="EX16" s="377">
        <v>2597651.13</v>
      </c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4">
        <v>714376.2</v>
      </c>
      <c r="EU17" s="424">
        <v>607913.56999999995</v>
      </c>
      <c r="EV17" s="424">
        <v>679214.74</v>
      </c>
      <c r="EW17" s="377">
        <v>726283.06</v>
      </c>
      <c r="EX17" s="377">
        <v>742764.21</v>
      </c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5">
        <v>14572676.99</v>
      </c>
      <c r="EU18" s="425">
        <v>36938118.07</v>
      </c>
      <c r="EV18" s="425">
        <v>43053255.969999999</v>
      </c>
      <c r="EW18" s="379">
        <v>41029948</v>
      </c>
      <c r="EX18" s="379">
        <v>40388291.549999997</v>
      </c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4">
        <v>8994145.9900000002</v>
      </c>
      <c r="EU19" s="424">
        <v>22424749.280000001</v>
      </c>
      <c r="EV19" s="424">
        <v>26103027.100000001</v>
      </c>
      <c r="EW19" s="377">
        <v>24891690.100000001</v>
      </c>
      <c r="EX19" s="377">
        <v>24475000.460000001</v>
      </c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4">
        <v>4907250.76</v>
      </c>
      <c r="EU20" s="424">
        <v>12702016.77</v>
      </c>
      <c r="EV20" s="424">
        <v>14741947.74</v>
      </c>
      <c r="EW20" s="377">
        <v>14077229.140000001</v>
      </c>
      <c r="EX20" s="377">
        <v>13944751.890000001</v>
      </c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4">
        <v>365962.97</v>
      </c>
      <c r="EU21" s="424">
        <v>960588.74</v>
      </c>
      <c r="EV21" s="424">
        <v>1116426.95</v>
      </c>
      <c r="EW21" s="377">
        <v>1036934.31</v>
      </c>
      <c r="EX21" s="377">
        <v>1027117.44</v>
      </c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4">
        <v>305317.27</v>
      </c>
      <c r="EU22" s="424">
        <v>850763.28</v>
      </c>
      <c r="EV22" s="424">
        <v>1091854.18</v>
      </c>
      <c r="EW22" s="377">
        <v>1024094.45</v>
      </c>
      <c r="EX22" s="377">
        <v>941421.76</v>
      </c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1156088.19</v>
      </c>
      <c r="ET23" s="425">
        <v>785627.24</v>
      </c>
      <c r="EU23" s="425">
        <v>993423.94</v>
      </c>
      <c r="EV23" s="425">
        <v>1089343.29</v>
      </c>
      <c r="EW23" s="379">
        <v>1198538.77</v>
      </c>
      <c r="EX23" s="379">
        <v>1310260.4099999999</v>
      </c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>
        <v>406775.45</v>
      </c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4">
        <v>572123.71</v>
      </c>
      <c r="EU24" s="424">
        <v>691468.91</v>
      </c>
      <c r="EV24" s="424">
        <v>803456.79</v>
      </c>
      <c r="EW24" s="377">
        <v>905119.47</v>
      </c>
      <c r="EX24" s="377">
        <v>956602.1</v>
      </c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>
        <v>67122.44</v>
      </c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4">
        <v>93434.6</v>
      </c>
      <c r="EU25" s="424">
        <v>109385.74</v>
      </c>
      <c r="EV25" s="424">
        <v>120777.01</v>
      </c>
      <c r="EW25" s="377">
        <v>107766.04</v>
      </c>
      <c r="EX25" s="377">
        <v>105374.49</v>
      </c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>
        <v>17936.740000000002</v>
      </c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4">
        <v>21633.83</v>
      </c>
      <c r="EU26" s="424">
        <v>24453.21</v>
      </c>
      <c r="EV26" s="424">
        <v>30364.14</v>
      </c>
      <c r="EW26" s="377">
        <v>45135.75</v>
      </c>
      <c r="EX26" s="377">
        <v>73298.429999999993</v>
      </c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>
        <v>88115.07</v>
      </c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4">
        <v>98435.1</v>
      </c>
      <c r="EU27" s="424">
        <v>168116.08</v>
      </c>
      <c r="EV27" s="424">
        <v>134745.35</v>
      </c>
      <c r="EW27" s="377">
        <v>140517.51</v>
      </c>
      <c r="EX27" s="377">
        <v>174985.39</v>
      </c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5">
        <v>1774503.57</v>
      </c>
      <c r="EU28" s="425">
        <v>1885893.46</v>
      </c>
      <c r="EV28" s="425">
        <v>2001213.06</v>
      </c>
      <c r="EW28" s="379">
        <v>2389766.7799999998</v>
      </c>
      <c r="EX28" s="379">
        <v>1530724.52</v>
      </c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4">
        <v>29715.1</v>
      </c>
      <c r="EU29" s="424">
        <v>46180.29</v>
      </c>
      <c r="EV29" s="424">
        <v>18063.61</v>
      </c>
      <c r="EW29" s="377">
        <v>83410.44</v>
      </c>
      <c r="EX29" s="377">
        <v>66835.44</v>
      </c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4">
        <v>120406.14</v>
      </c>
      <c r="EU30" s="424">
        <v>138658.04999999999</v>
      </c>
      <c r="EV30" s="424">
        <v>485233.25</v>
      </c>
      <c r="EW30" s="377">
        <v>85828.09</v>
      </c>
      <c r="EX30" s="377">
        <v>283390.12</v>
      </c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4">
        <v>1567.64</v>
      </c>
      <c r="EU31" s="424">
        <v>1648.75</v>
      </c>
      <c r="EV31" s="424">
        <v>4833.8900000000003</v>
      </c>
      <c r="EW31" s="377">
        <v>82035.429999999993</v>
      </c>
      <c r="EX31" s="377">
        <v>32311.79</v>
      </c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4">
        <v>564026.22</v>
      </c>
      <c r="EU32" s="424">
        <v>552007.56999999995</v>
      </c>
      <c r="EV32" s="424">
        <v>707063.83</v>
      </c>
      <c r="EW32" s="377">
        <v>581397.98</v>
      </c>
      <c r="EX32" s="377">
        <v>573080.97</v>
      </c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4">
        <v>202641</v>
      </c>
      <c r="EU33" s="424">
        <v>112102.37</v>
      </c>
      <c r="EV33" s="424">
        <v>275039.51</v>
      </c>
      <c r="EW33" s="377">
        <v>232219.69</v>
      </c>
      <c r="EX33" s="377">
        <v>259238.01</v>
      </c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4">
        <v>856147.47</v>
      </c>
      <c r="EU34" s="424">
        <v>1035296.43</v>
      </c>
      <c r="EV34" s="424">
        <v>510978.97</v>
      </c>
      <c r="EW34" s="377">
        <v>1324875.1499999999</v>
      </c>
      <c r="EX34" s="377">
        <v>315868.19</v>
      </c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2237749.3199999998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3080830.83</v>
      </c>
      <c r="ER35" s="379">
        <v>1891187.54</v>
      </c>
      <c r="ES35" s="379">
        <v>5038974.07</v>
      </c>
      <c r="ET35" s="425">
        <v>2425520.81</v>
      </c>
      <c r="EU35" s="425">
        <v>1609741.96</v>
      </c>
      <c r="EV35" s="425">
        <v>2046839.31</v>
      </c>
      <c r="EW35" s="379">
        <v>5482431.4299999997</v>
      </c>
      <c r="EX35" s="379">
        <v>2151437.83</v>
      </c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>
        <v>73736.11</v>
      </c>
      <c r="EI36" s="377">
        <v>10955.41</v>
      </c>
      <c r="EJ36" s="377">
        <v>237856.46</v>
      </c>
      <c r="EK36" s="377">
        <v>1039868.46</v>
      </c>
      <c r="EL36" s="377">
        <v>9580.2800000000007</v>
      </c>
      <c r="EM36" s="377">
        <v>820648.35</v>
      </c>
      <c r="EN36" s="377">
        <v>3136697.45</v>
      </c>
      <c r="EO36" s="377">
        <v>27156.49</v>
      </c>
      <c r="EP36" s="377">
        <v>13813.05</v>
      </c>
      <c r="EQ36" s="377">
        <v>133915.79999999999</v>
      </c>
      <c r="ER36" s="377">
        <v>210158.28</v>
      </c>
      <c r="ES36" s="377">
        <v>662522.41</v>
      </c>
      <c r="ET36" s="426">
        <v>757682.7</v>
      </c>
      <c r="EU36" s="424">
        <v>26758.59</v>
      </c>
      <c r="EV36" s="424">
        <v>211659.24</v>
      </c>
      <c r="EW36" s="377">
        <v>1943319.77</v>
      </c>
      <c r="EX36" s="377">
        <v>60036.480000000003</v>
      </c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>
        <v>660335.9</v>
      </c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>
        <v>1261112.96</v>
      </c>
      <c r="ET37" s="424">
        <v>657232.74</v>
      </c>
      <c r="EU37" s="424">
        <v>844736.49</v>
      </c>
      <c r="EV37" s="424">
        <v>860879.6</v>
      </c>
      <c r="EW37" s="377">
        <v>1001033.47</v>
      </c>
      <c r="EX37" s="377">
        <v>876009.07</v>
      </c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>
        <v>87533.49</v>
      </c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>
        <v>245348.63</v>
      </c>
      <c r="ET38" s="424">
        <v>126122.18</v>
      </c>
      <c r="EU38" s="424">
        <v>179834.33</v>
      </c>
      <c r="EV38" s="424">
        <v>220071.26</v>
      </c>
      <c r="EW38" s="377">
        <v>266646.62</v>
      </c>
      <c r="EX38" s="377">
        <v>315030.67</v>
      </c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4"/>
      <c r="EV39" s="424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727993.26</v>
      </c>
      <c r="EI40" s="377">
        <v>1312808.81</v>
      </c>
      <c r="EJ40" s="377">
        <v>820100.55</v>
      </c>
      <c r="EK40" s="377">
        <v>1412095.76</v>
      </c>
      <c r="EL40" s="377">
        <v>928152.31</v>
      </c>
      <c r="EM40" s="377">
        <v>1269790.53</v>
      </c>
      <c r="EN40" s="377">
        <v>991530.81</v>
      </c>
      <c r="EO40" s="377">
        <v>586941.27</v>
      </c>
      <c r="EP40" s="377">
        <v>589569.39</v>
      </c>
      <c r="EQ40" s="377">
        <v>1803511.11</v>
      </c>
      <c r="ER40" s="377">
        <v>586255.42000000004</v>
      </c>
      <c r="ES40" s="377">
        <v>2869990.07</v>
      </c>
      <c r="ET40" s="424">
        <v>884483.19</v>
      </c>
      <c r="EU40" s="424">
        <v>558412.55000000005</v>
      </c>
      <c r="EV40" s="424">
        <v>754229.21</v>
      </c>
      <c r="EW40" s="377">
        <v>2271431.5699999998</v>
      </c>
      <c r="EX40" s="377">
        <v>900361.61</v>
      </c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5">
        <v>136671.79999999999</v>
      </c>
      <c r="EU41" s="425">
        <v>273046.61</v>
      </c>
      <c r="EV41" s="425">
        <v>2343256.64</v>
      </c>
      <c r="EW41" s="379">
        <v>108273.11</v>
      </c>
      <c r="EX41" s="379">
        <v>215845.16</v>
      </c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5">
        <v>172043.05</v>
      </c>
      <c r="EU44" s="425">
        <v>78777.210000000006</v>
      </c>
      <c r="EV44" s="425">
        <v>195694.06</v>
      </c>
      <c r="EW44" s="379">
        <v>433978.03</v>
      </c>
      <c r="EX44" s="379">
        <v>1090667.1299999999</v>
      </c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5">
        <v>1518621.66</v>
      </c>
      <c r="EU47" s="425">
        <v>776556.18</v>
      </c>
      <c r="EV47" s="425">
        <v>1210159.24</v>
      </c>
      <c r="EW47" s="379">
        <v>8493510.6400000006</v>
      </c>
      <c r="EX47" s="379">
        <v>1746477.29</v>
      </c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5">
        <v>24756264.800000001</v>
      </c>
      <c r="EU50" s="425">
        <v>75548588.189999998</v>
      </c>
      <c r="EV50" s="425">
        <v>25944700.27</v>
      </c>
      <c r="EW50" s="379">
        <v>125398354.06999999</v>
      </c>
      <c r="EX50" s="379">
        <v>7673073.0999999996</v>
      </c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6">
        <v>24535941.960000001</v>
      </c>
      <c r="EU52" s="426">
        <v>75357443.420000002</v>
      </c>
      <c r="EV52" s="426">
        <v>20706614.620000001</v>
      </c>
      <c r="EW52" s="377">
        <v>0</v>
      </c>
      <c r="EX52" s="377">
        <v>0</v>
      </c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6">
        <v>220322.84</v>
      </c>
      <c r="EU53" s="426">
        <v>191078.77</v>
      </c>
      <c r="EV53" s="426">
        <v>5238085.6500000004</v>
      </c>
      <c r="EW53" s="377">
        <v>125398354.06999999</v>
      </c>
      <c r="EX53" s="377">
        <v>7673073.0999999996</v>
      </c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4">
        <v>104498495.13</v>
      </c>
      <c r="EU54" s="424">
        <v>123153743.48</v>
      </c>
      <c r="EV54" s="424">
        <v>192481569.78999999</v>
      </c>
      <c r="EW54" s="377">
        <v>172255329.59999999</v>
      </c>
      <c r="EX54" s="377">
        <v>218705424.59</v>
      </c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T55" s="424">
        <v>17822596.359999999</v>
      </c>
      <c r="EU55" s="424">
        <v>53222053.950000003</v>
      </c>
      <c r="EV55" s="424">
        <v>94277740.469999999</v>
      </c>
      <c r="EW55" s="377">
        <v>59024234.859999999</v>
      </c>
      <c r="EX55" s="377">
        <v>57053271.649999999</v>
      </c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>
        <v>36341017.520000003</v>
      </c>
      <c r="EI56" s="377">
        <v>36442747.460000001</v>
      </c>
      <c r="EJ56" s="377">
        <v>36477113.590000004</v>
      </c>
      <c r="EK56" s="377">
        <v>36703828.340000004</v>
      </c>
      <c r="EL56" s="377">
        <v>34203194.770000003</v>
      </c>
      <c r="EM56" s="377">
        <v>40628800.600000001</v>
      </c>
      <c r="EN56" s="377">
        <v>36224128.640000001</v>
      </c>
      <c r="EO56" s="377">
        <v>35575955.729999997</v>
      </c>
      <c r="EP56" s="377">
        <v>36145069.369999997</v>
      </c>
      <c r="EQ56" s="377">
        <v>37968977.82</v>
      </c>
      <c r="ER56" s="377">
        <v>37257887.189999998</v>
      </c>
      <c r="ES56" s="377">
        <v>41404585.670000002</v>
      </c>
      <c r="ET56" s="424">
        <v>37313745.240000002</v>
      </c>
      <c r="EU56" s="424">
        <v>38053361.399999999</v>
      </c>
      <c r="EV56" s="424">
        <v>36623552.420000002</v>
      </c>
      <c r="EW56" s="377">
        <v>38350938.119999997</v>
      </c>
      <c r="EX56" s="377">
        <v>38447534.82</v>
      </c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4"/>
      <c r="EV57" s="424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4"/>
      <c r="EV58" s="424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4"/>
      <c r="EV59" s="424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4"/>
      <c r="EV60" s="424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T61" s="377"/>
      <c r="EU61" s="424"/>
      <c r="EV61" s="424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>
        <v>70065.570000000007</v>
      </c>
      <c r="EI62" s="377">
        <v>920424.11</v>
      </c>
      <c r="EJ62" s="377">
        <v>936990.91</v>
      </c>
      <c r="EK62" s="377">
        <v>685539.4</v>
      </c>
      <c r="EL62" s="377">
        <v>763370.53</v>
      </c>
      <c r="EM62" s="377">
        <v>888374.79</v>
      </c>
      <c r="EN62" s="377">
        <v>845413.4</v>
      </c>
      <c r="EO62" s="377">
        <v>982340.29</v>
      </c>
      <c r="EP62" s="377">
        <v>710611.47</v>
      </c>
      <c r="EQ62" s="377">
        <v>864910.68</v>
      </c>
      <c r="ER62" s="377">
        <v>1028980.9</v>
      </c>
      <c r="ES62" s="377">
        <v>1951716.68</v>
      </c>
      <c r="ET62" s="424">
        <v>363127.64</v>
      </c>
      <c r="EU62" s="424">
        <v>848575.97</v>
      </c>
      <c r="EV62" s="424">
        <v>933832.27</v>
      </c>
      <c r="EW62" s="377">
        <v>983620.43</v>
      </c>
      <c r="EX62" s="377">
        <v>835475.63</v>
      </c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4"/>
      <c r="EV63" s="424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4"/>
      <c r="EV64" s="424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4"/>
      <c r="EV65" s="424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4"/>
      <c r="EV66" s="424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4"/>
      <c r="EV67" s="424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4"/>
      <c r="EV68" s="424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T69" s="377"/>
      <c r="EU69" s="424"/>
      <c r="EV69" s="424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>
        <v>956521.67</v>
      </c>
      <c r="EI70" s="377">
        <v>2109254.7599999998</v>
      </c>
      <c r="EJ70" s="377">
        <v>2769108.2</v>
      </c>
      <c r="EK70" s="377">
        <v>1859042.69</v>
      </c>
      <c r="EL70" s="377">
        <v>2061379.38</v>
      </c>
      <c r="EM70" s="377">
        <v>2036796.31</v>
      </c>
      <c r="EN70" s="377">
        <v>1900343.87</v>
      </c>
      <c r="EO70" s="377">
        <v>2421002.2400000002</v>
      </c>
      <c r="EP70" s="377">
        <v>1844593.48</v>
      </c>
      <c r="EQ70" s="377">
        <v>3032654.88</v>
      </c>
      <c r="ER70" s="377">
        <v>2235715.75</v>
      </c>
      <c r="ES70" s="377">
        <v>5973408.79</v>
      </c>
      <c r="ET70" s="424">
        <v>1027061</v>
      </c>
      <c r="EU70" s="424">
        <v>2339456.96</v>
      </c>
      <c r="EV70" s="424">
        <v>3799655</v>
      </c>
      <c r="EW70" s="377">
        <v>2451725.77</v>
      </c>
      <c r="EX70" s="377">
        <v>2819164.34</v>
      </c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4"/>
      <c r="EV71" s="424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4"/>
      <c r="EV72" s="424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4"/>
      <c r="EV73" s="424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4"/>
      <c r="EV74" s="424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4"/>
      <c r="EV75" s="424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T76" s="377"/>
      <c r="EU76" s="424"/>
      <c r="EV76" s="424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>
        <v>1445443.93</v>
      </c>
      <c r="EI77" s="377">
        <v>3318516.23</v>
      </c>
      <c r="EJ77" s="377">
        <v>7050406.4900000002</v>
      </c>
      <c r="EK77" s="377">
        <v>5446546.7800000003</v>
      </c>
      <c r="EL77" s="377">
        <v>3548711.83</v>
      </c>
      <c r="EM77" s="377">
        <v>4342615.72</v>
      </c>
      <c r="EN77" s="377">
        <v>5219310.84</v>
      </c>
      <c r="EO77" s="377">
        <v>5169360.8</v>
      </c>
      <c r="EP77" s="377">
        <v>4341121.62</v>
      </c>
      <c r="EQ77" s="377">
        <v>4884082.33</v>
      </c>
      <c r="ER77" s="377">
        <v>4047161.45</v>
      </c>
      <c r="ES77" s="377">
        <v>17925486.800000001</v>
      </c>
      <c r="ET77" s="424">
        <v>1697528.93</v>
      </c>
      <c r="EU77" s="424">
        <v>3151750.86</v>
      </c>
      <c r="EV77" s="424">
        <v>4190810.86</v>
      </c>
      <c r="EW77" s="377">
        <v>4577692.6500000004</v>
      </c>
      <c r="EX77" s="377">
        <v>4902792.45</v>
      </c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4"/>
      <c r="EV78" s="424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4"/>
      <c r="EV79" s="424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4"/>
      <c r="EV80" s="424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4"/>
      <c r="EV81" s="424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4"/>
      <c r="EV82" s="424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4"/>
      <c r="EV83" s="424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4"/>
      <c r="EV84" s="424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4"/>
      <c r="EV85" s="424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T86" s="377"/>
      <c r="EU86" s="424"/>
      <c r="EV86" s="424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>
        <v>133702.59</v>
      </c>
      <c r="EI87" s="377">
        <v>831412.02</v>
      </c>
      <c r="EJ87" s="377">
        <v>1518146.21</v>
      </c>
      <c r="EK87" s="377">
        <v>1549212.25</v>
      </c>
      <c r="EL87" s="377">
        <v>2002570.68</v>
      </c>
      <c r="EM87" s="377">
        <v>1160348.8799999999</v>
      </c>
      <c r="EN87" s="377">
        <v>1865668.51</v>
      </c>
      <c r="EO87" s="377">
        <v>1371232.73</v>
      </c>
      <c r="EP87" s="377">
        <v>2163282.15</v>
      </c>
      <c r="EQ87" s="377">
        <v>1881648.29</v>
      </c>
      <c r="ER87" s="377">
        <v>1702269.74</v>
      </c>
      <c r="ES87" s="377">
        <v>4045495.9</v>
      </c>
      <c r="ET87" s="424">
        <v>106817.18</v>
      </c>
      <c r="EU87" s="424">
        <v>1254053.07</v>
      </c>
      <c r="EV87" s="424">
        <v>1932637.76</v>
      </c>
      <c r="EW87" s="377">
        <v>1697297.09</v>
      </c>
      <c r="EX87" s="377">
        <v>1674065.37</v>
      </c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4"/>
      <c r="EV88" s="424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4"/>
      <c r="EV89" s="424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T90" s="377"/>
      <c r="EU90" s="424"/>
      <c r="EV90" s="424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>
        <v>3229720.9</v>
      </c>
      <c r="EI91" s="377">
        <v>1105648.4099999999</v>
      </c>
      <c r="EJ91" s="377">
        <v>39350670.159999996</v>
      </c>
      <c r="EK91" s="377">
        <v>18359667.859999999</v>
      </c>
      <c r="EL91" s="377">
        <v>16347481.07</v>
      </c>
      <c r="EM91" s="377">
        <v>2519907.7599999998</v>
      </c>
      <c r="EN91" s="377">
        <v>6570219.0800000001</v>
      </c>
      <c r="EO91" s="377">
        <v>1254218.04</v>
      </c>
      <c r="EP91" s="377">
        <v>2016695.15</v>
      </c>
      <c r="EQ91" s="377">
        <v>1739140.99</v>
      </c>
      <c r="ER91" s="377">
        <v>3918626.83</v>
      </c>
      <c r="ES91" s="377">
        <v>2293382.33</v>
      </c>
      <c r="ET91" s="424">
        <v>4324077.55</v>
      </c>
      <c r="EU91" s="424">
        <v>1050801.23</v>
      </c>
      <c r="EV91" s="424">
        <v>39514676.710000001</v>
      </c>
      <c r="EW91" s="377">
        <v>1628189</v>
      </c>
      <c r="EX91" s="377">
        <v>10064809.060000001</v>
      </c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4"/>
      <c r="EV92" s="424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T93" s="377"/>
      <c r="EU93" s="424"/>
      <c r="EV93" s="424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>
        <v>576439.54</v>
      </c>
      <c r="EI94" s="377">
        <v>609518.68999999994</v>
      </c>
      <c r="EJ94" s="377">
        <v>647095.18000000005</v>
      </c>
      <c r="EK94" s="377">
        <v>737903.15</v>
      </c>
      <c r="EL94" s="377">
        <v>649640.18999999994</v>
      </c>
      <c r="EM94" s="377">
        <v>723692.29</v>
      </c>
      <c r="EN94" s="377">
        <v>744151.17</v>
      </c>
      <c r="EO94" s="377">
        <v>655865.84</v>
      </c>
      <c r="EP94" s="377">
        <v>680175.47</v>
      </c>
      <c r="EQ94" s="377">
        <v>802737.21</v>
      </c>
      <c r="ER94" s="377">
        <v>721286.02</v>
      </c>
      <c r="ES94" s="377">
        <v>1392442.62</v>
      </c>
      <c r="ET94" s="424">
        <v>175603.34</v>
      </c>
      <c r="EU94" s="424">
        <v>1124463.03</v>
      </c>
      <c r="EV94" s="424">
        <v>523950.18</v>
      </c>
      <c r="EW94" s="377">
        <v>641415.42000000004</v>
      </c>
      <c r="EX94" s="377">
        <v>939648.68</v>
      </c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4"/>
      <c r="EV95" s="424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4"/>
      <c r="EV96" s="424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T97" s="377"/>
      <c r="EU97" s="424"/>
      <c r="EV97" s="424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>
        <v>1010</v>
      </c>
      <c r="EI98" s="377">
        <v>437077.96</v>
      </c>
      <c r="EJ98" s="377">
        <v>2564740.2200000002</v>
      </c>
      <c r="EK98" s="377">
        <v>735427.01</v>
      </c>
      <c r="EL98" s="377">
        <v>700208.25</v>
      </c>
      <c r="EM98" s="377">
        <v>1456109.61</v>
      </c>
      <c r="EN98" s="377">
        <v>1493000.87</v>
      </c>
      <c r="EO98" s="377">
        <v>2964968.57</v>
      </c>
      <c r="EP98" s="377">
        <v>3824679.63</v>
      </c>
      <c r="EQ98" s="377">
        <v>2388415.48</v>
      </c>
      <c r="ER98" s="377">
        <v>3022483.62</v>
      </c>
      <c r="ES98" s="377">
        <v>8215705.0499999998</v>
      </c>
      <c r="ET98" s="424">
        <v>31033.66</v>
      </c>
      <c r="EU98" s="424">
        <v>2281116.2599999998</v>
      </c>
      <c r="EV98" s="424">
        <v>3600137.18</v>
      </c>
      <c r="EW98" s="377">
        <v>1218773.67</v>
      </c>
      <c r="EX98" s="377">
        <v>1488510.36</v>
      </c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T99" s="377"/>
      <c r="EU99" s="424"/>
      <c r="EV99" s="424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4"/>
      <c r="EV100" s="424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T101" s="377"/>
      <c r="EU101" s="424"/>
      <c r="EV101" s="424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>
        <v>640573.4</v>
      </c>
      <c r="EI102" s="377">
        <v>1813144.72</v>
      </c>
      <c r="EJ102" s="377">
        <v>3850774.87</v>
      </c>
      <c r="EK102" s="377">
        <v>2537947.84</v>
      </c>
      <c r="EL102" s="377">
        <v>2629633.84</v>
      </c>
      <c r="EM102" s="377">
        <v>2647992.59</v>
      </c>
      <c r="EN102" s="377">
        <v>2526292.0099999998</v>
      </c>
      <c r="EO102" s="377">
        <v>2670416.61</v>
      </c>
      <c r="EP102" s="377">
        <v>2766749.02</v>
      </c>
      <c r="EQ102" s="377">
        <v>3382897.72</v>
      </c>
      <c r="ER102" s="377">
        <v>4807051.49</v>
      </c>
      <c r="ES102" s="377">
        <v>7968970.9500000002</v>
      </c>
      <c r="ET102" s="424">
        <v>585935.19999999995</v>
      </c>
      <c r="EU102" s="424">
        <v>3390433.55</v>
      </c>
      <c r="EV102" s="424">
        <v>2155321.13</v>
      </c>
      <c r="EW102" s="377">
        <v>2859100.45</v>
      </c>
      <c r="EX102" s="377">
        <v>2637225.6800000002</v>
      </c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4"/>
      <c r="EV103" s="424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4"/>
      <c r="EV104" s="424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4"/>
      <c r="EV105" s="424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4"/>
      <c r="EV106" s="424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4"/>
      <c r="EV107" s="424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4"/>
      <c r="EV108" s="424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4"/>
      <c r="EV109" s="424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4"/>
      <c r="EV110" s="424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4"/>
      <c r="EV111" s="424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T112" s="424">
        <v>42244817.57</v>
      </c>
      <c r="EU112" s="424">
        <v>45525440.090000004</v>
      </c>
      <c r="EV112" s="424">
        <v>45200709.079999998</v>
      </c>
      <c r="EW112" s="377">
        <v>43012361.310000002</v>
      </c>
      <c r="EX112" s="377">
        <v>43668965.609999999</v>
      </c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>
        <v>10235148.66</v>
      </c>
      <c r="EI113" s="377">
        <v>10418756.810000001</v>
      </c>
      <c r="EJ113" s="377">
        <v>9027967.8599999994</v>
      </c>
      <c r="EK113" s="377">
        <v>9060292.8100000005</v>
      </c>
      <c r="EL113" s="377">
        <v>9323783.9399999995</v>
      </c>
      <c r="EM113" s="377">
        <v>9371948.4000000004</v>
      </c>
      <c r="EN113" s="377">
        <v>9055138.0800000001</v>
      </c>
      <c r="EO113" s="377">
        <v>5035876.3099999996</v>
      </c>
      <c r="EP113" s="377">
        <v>6564978.3200000003</v>
      </c>
      <c r="EQ113" s="377">
        <v>7602969.7000000002</v>
      </c>
      <c r="ER113" s="377">
        <v>6324073.25</v>
      </c>
      <c r="ES113" s="377">
        <v>6683946.5800000001</v>
      </c>
      <c r="ET113" s="424">
        <v>6003212.1200000001</v>
      </c>
      <c r="EU113" s="424">
        <v>7135869.1500000004</v>
      </c>
      <c r="EV113" s="424">
        <v>6207886.6699999999</v>
      </c>
      <c r="EW113" s="377">
        <v>6327448.5300000003</v>
      </c>
      <c r="EX113" s="377">
        <v>6153473.4699999997</v>
      </c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4"/>
      <c r="EV114" s="424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4"/>
      <c r="EV115" s="424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4"/>
      <c r="EV116" s="424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4"/>
      <c r="EV117" s="424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4"/>
      <c r="EV118" s="424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4"/>
      <c r="EV119" s="424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4"/>
      <c r="EV120" s="424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T121" s="377"/>
      <c r="EU121" s="424"/>
      <c r="EV121" s="424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>
        <v>173100.67</v>
      </c>
      <c r="EI122" s="377">
        <v>1036027.42</v>
      </c>
      <c r="EJ122" s="377">
        <v>1054894.68</v>
      </c>
      <c r="EK122" s="377">
        <v>1150894.96</v>
      </c>
      <c r="EL122" s="377">
        <v>1082297.17</v>
      </c>
      <c r="EM122" s="377">
        <v>1038790.65</v>
      </c>
      <c r="EN122" s="377">
        <v>1069131.58</v>
      </c>
      <c r="EO122" s="377">
        <v>1024731.32</v>
      </c>
      <c r="EP122" s="377">
        <v>1115186.56</v>
      </c>
      <c r="EQ122" s="377">
        <v>1056401.0900000001</v>
      </c>
      <c r="ER122" s="377">
        <v>1118494.9099999999</v>
      </c>
      <c r="ES122" s="377">
        <v>2048499.78</v>
      </c>
      <c r="ET122" s="424">
        <v>110952</v>
      </c>
      <c r="EU122" s="424">
        <v>1323906.01</v>
      </c>
      <c r="EV122" s="424">
        <v>1098216.9099999999</v>
      </c>
      <c r="EW122" s="377">
        <v>945506.13</v>
      </c>
      <c r="EX122" s="377">
        <v>1061504.47</v>
      </c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4"/>
      <c r="EV123" s="424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4"/>
      <c r="EV124" s="424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4"/>
      <c r="EV125" s="424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4"/>
      <c r="EV126" s="424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T127" s="377"/>
      <c r="EU127" s="424"/>
      <c r="EV127" s="424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>
        <v>32976338.859999999</v>
      </c>
      <c r="EI128" s="377">
        <v>33304068.809999999</v>
      </c>
      <c r="EJ128" s="377">
        <v>33118374.059999999</v>
      </c>
      <c r="EK128" s="377">
        <v>33225573.780000001</v>
      </c>
      <c r="EL128" s="377">
        <v>33097965.640000001</v>
      </c>
      <c r="EM128" s="377">
        <v>32864422.489999998</v>
      </c>
      <c r="EN128" s="377">
        <v>32909306.579999998</v>
      </c>
      <c r="EO128" s="377">
        <v>34045532.219999999</v>
      </c>
      <c r="EP128" s="377">
        <v>33914885.549999997</v>
      </c>
      <c r="EQ128" s="377">
        <v>33960607.270000003</v>
      </c>
      <c r="ER128" s="377">
        <v>33919324.859999999</v>
      </c>
      <c r="ES128" s="377">
        <v>33927498.649999999</v>
      </c>
      <c r="ET128" s="424">
        <v>34029606.390000001</v>
      </c>
      <c r="EU128" s="424">
        <v>34751702.420000002</v>
      </c>
      <c r="EV128" s="424">
        <v>34761880.880000003</v>
      </c>
      <c r="EW128" s="377">
        <v>34790406.869999997</v>
      </c>
      <c r="EX128" s="377">
        <v>34624926.579999998</v>
      </c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4"/>
      <c r="EV129" s="424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4"/>
      <c r="EV130" s="424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4"/>
      <c r="EV131" s="424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4"/>
      <c r="EV132" s="424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4"/>
      <c r="EV133" s="424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4"/>
      <c r="EV134" s="424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T135" s="377"/>
      <c r="EU135" s="424"/>
      <c r="EV135" s="424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>
        <v>202511.01</v>
      </c>
      <c r="EI136" s="377">
        <v>1122393.47</v>
      </c>
      <c r="EJ136" s="377">
        <v>2105961.34</v>
      </c>
      <c r="EK136" s="377">
        <v>1278855.19</v>
      </c>
      <c r="EL136" s="377">
        <v>1134813.47</v>
      </c>
      <c r="EM136" s="377">
        <v>1335830.71</v>
      </c>
      <c r="EN136" s="377">
        <v>1666149.56</v>
      </c>
      <c r="EO136" s="377">
        <v>1463570.61</v>
      </c>
      <c r="EP136" s="377">
        <v>1518302.55</v>
      </c>
      <c r="EQ136" s="377">
        <v>1424217.95</v>
      </c>
      <c r="ER136" s="377">
        <v>1512893.76</v>
      </c>
      <c r="ES136" s="377">
        <v>1723879.49</v>
      </c>
      <c r="ET136" s="424">
        <v>1365364.87</v>
      </c>
      <c r="EU136" s="424">
        <v>1602918.54</v>
      </c>
      <c r="EV136" s="424">
        <v>2368731.41</v>
      </c>
      <c r="EW136" s="377">
        <v>425632.96</v>
      </c>
      <c r="EX136" s="377">
        <v>1118465.46</v>
      </c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T137" s="377"/>
      <c r="EU137" s="424"/>
      <c r="EV137" s="424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>
        <v>266542</v>
      </c>
      <c r="EI138" s="377">
        <v>813711.97</v>
      </c>
      <c r="EJ138" s="377">
        <v>753027.44</v>
      </c>
      <c r="EK138" s="377">
        <v>524268.09</v>
      </c>
      <c r="EL138" s="377">
        <v>1044437.47</v>
      </c>
      <c r="EM138" s="377">
        <v>791930.72</v>
      </c>
      <c r="EN138" s="377">
        <v>567515.49</v>
      </c>
      <c r="EO138" s="377">
        <v>700345.86</v>
      </c>
      <c r="EP138" s="377">
        <v>933405.66</v>
      </c>
      <c r="EQ138" s="377">
        <v>704680.49</v>
      </c>
      <c r="ER138" s="377">
        <v>758794.16</v>
      </c>
      <c r="ES138" s="377">
        <v>765627.44</v>
      </c>
      <c r="ET138" s="424">
        <v>735682.19</v>
      </c>
      <c r="EU138" s="424">
        <v>711043.97</v>
      </c>
      <c r="EV138" s="424">
        <v>763993.21</v>
      </c>
      <c r="EW138" s="377">
        <v>523366.82</v>
      </c>
      <c r="EX138" s="377">
        <v>710595.63</v>
      </c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4"/>
      <c r="EV139" s="424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4"/>
      <c r="EV140" s="424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T141" s="377"/>
      <c r="EU141" s="424"/>
      <c r="EV141" s="424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>
        <v>5367351.82</v>
      </c>
      <c r="EI142" s="377">
        <v>7878426.2999999998</v>
      </c>
      <c r="EJ142" s="377">
        <v>12624632.02</v>
      </c>
      <c r="EK142" s="377">
        <v>15717196.880000001</v>
      </c>
      <c r="EL142" s="377">
        <v>10712461.529999999</v>
      </c>
      <c r="EM142" s="377">
        <v>13589172.92</v>
      </c>
      <c r="EN142" s="377">
        <v>17165199.760000002</v>
      </c>
      <c r="EO142" s="377">
        <v>15793377.119999999</v>
      </c>
      <c r="EP142" s="377">
        <v>13743974.02</v>
      </c>
      <c r="EQ142" s="377">
        <v>13251144.24</v>
      </c>
      <c r="ER142" s="377">
        <v>11142113.050000001</v>
      </c>
      <c r="ES142" s="377">
        <v>29896675.100000001</v>
      </c>
      <c r="ET142" s="424">
        <v>11036841.98</v>
      </c>
      <c r="EU142" s="424">
        <v>13096709.15</v>
      </c>
      <c r="EV142" s="424">
        <v>16347312.470000001</v>
      </c>
      <c r="EW142" s="377">
        <v>15688793.050000001</v>
      </c>
      <c r="EX142" s="377">
        <v>13306183.48</v>
      </c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>
        <v>7878426.2999999998</v>
      </c>
      <c r="EJ143" s="377">
        <v>12624632.02</v>
      </c>
      <c r="EK143" s="377">
        <v>15248396.880000001</v>
      </c>
      <c r="EL143" s="377">
        <v>10712461.529999999</v>
      </c>
      <c r="EM143" s="377">
        <v>13530839.57</v>
      </c>
      <c r="EN143" s="377">
        <v>16956874.25</v>
      </c>
      <c r="EO143" s="377">
        <v>15251339.6</v>
      </c>
      <c r="EP143" s="377"/>
      <c r="EQ143" s="377">
        <v>13129810.890000001</v>
      </c>
      <c r="ER143" s="377">
        <v>11137560.17</v>
      </c>
      <c r="ES143" s="377"/>
      <c r="ET143" s="424">
        <v>10553508.65</v>
      </c>
      <c r="EU143" s="424">
        <v>12813375.82</v>
      </c>
      <c r="EV143" s="424">
        <v>16064062.789999999</v>
      </c>
      <c r="EW143" s="377">
        <v>15105967.18</v>
      </c>
      <c r="EX143" s="377">
        <v>13005350.15</v>
      </c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4"/>
      <c r="EU144" s="424"/>
      <c r="EV144" s="424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4"/>
      <c r="EV145" s="424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4"/>
      <c r="EV146" s="424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4"/>
      <c r="EV147" s="424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4"/>
      <c r="EV148" s="424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4"/>
      <c r="EV149" s="424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4"/>
      <c r="EV150" s="424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4"/>
      <c r="EV151" s="424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T152" s="377"/>
      <c r="EU152" s="424"/>
      <c r="EV152" s="424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>
        <v>468800</v>
      </c>
      <c r="EL153" s="377">
        <v>0</v>
      </c>
      <c r="EM153" s="377">
        <v>58333.35</v>
      </c>
      <c r="EN153" s="377">
        <v>208325.51</v>
      </c>
      <c r="EO153" s="377">
        <v>542037.52</v>
      </c>
      <c r="EP153" s="377"/>
      <c r="EQ153" s="377">
        <v>121333.35</v>
      </c>
      <c r="ER153" s="377">
        <v>4552.88</v>
      </c>
      <c r="ES153" s="377"/>
      <c r="ET153" s="424">
        <v>483333.33</v>
      </c>
      <c r="EU153" s="424">
        <v>283333.33</v>
      </c>
      <c r="EV153" s="424">
        <v>283333.33</v>
      </c>
      <c r="EW153" s="377">
        <v>583333.32999999996</v>
      </c>
      <c r="EX153" s="377">
        <v>300833.33</v>
      </c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4"/>
      <c r="EV154" s="424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4"/>
      <c r="EV155" s="424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4"/>
      <c r="EV156" s="424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4"/>
      <c r="EV157" s="424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4"/>
      <c r="EV158" s="424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T159" s="377"/>
      <c r="EU159" s="424"/>
      <c r="EV159" s="424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109644.44</v>
      </c>
      <c r="EI160" s="377">
        <v>1522597.04</v>
      </c>
      <c r="EJ160" s="377">
        <v>8434786.5999999996</v>
      </c>
      <c r="EK160" s="377">
        <v>6918517.2599999998</v>
      </c>
      <c r="EL160" s="377">
        <v>2561374.17</v>
      </c>
      <c r="EM160" s="377">
        <v>25163803.16</v>
      </c>
      <c r="EN160" s="377">
        <v>10754440.220000001</v>
      </c>
      <c r="EO160" s="377">
        <v>29296079.120000001</v>
      </c>
      <c r="EP160" s="377">
        <v>19940301.670000002</v>
      </c>
      <c r="EQ160" s="377">
        <v>29993285.289999999</v>
      </c>
      <c r="ER160" s="377">
        <v>37935759.630000003</v>
      </c>
      <c r="ES160" s="377">
        <v>82875761.950000003</v>
      </c>
      <c r="ET160" s="424">
        <v>2060574.27</v>
      </c>
      <c r="EU160" s="424">
        <v>2958395.49</v>
      </c>
      <c r="EV160" s="424">
        <v>10806505.67</v>
      </c>
      <c r="EW160" s="377">
        <v>28775491.48</v>
      </c>
      <c r="EX160" s="377">
        <v>12314358.92</v>
      </c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>
        <v>285927.93</v>
      </c>
      <c r="EI161" s="377">
        <v>790874.28</v>
      </c>
      <c r="EJ161" s="377">
        <v>752250.88</v>
      </c>
      <c r="EK161" s="377">
        <v>2350979.62</v>
      </c>
      <c r="EL161" s="377">
        <v>1530166.93</v>
      </c>
      <c r="EM161" s="377">
        <v>2532089.2999999998</v>
      </c>
      <c r="EN161" s="377">
        <v>1775062.82</v>
      </c>
      <c r="EO161" s="377">
        <v>2480710.67</v>
      </c>
      <c r="EP161" s="377">
        <v>1700857.78</v>
      </c>
      <c r="EQ161" s="377">
        <v>3540984.99</v>
      </c>
      <c r="ER161" s="377">
        <v>1800507.48</v>
      </c>
      <c r="ES161" s="377">
        <v>12879238.83</v>
      </c>
      <c r="ET161" s="424">
        <v>3266992.16</v>
      </c>
      <c r="EU161" s="424">
        <v>1252962.76</v>
      </c>
      <c r="EV161" s="424">
        <v>2398205.81</v>
      </c>
      <c r="EW161" s="377">
        <v>2567489.7200000002</v>
      </c>
      <c r="EX161" s="377">
        <f>72030552.34-68939595.36</f>
        <v>3090956.9800000042</v>
      </c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4"/>
      <c r="EV162" s="424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4"/>
      <c r="EV163" s="424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4"/>
      <c r="EV164" s="424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4"/>
      <c r="EV165" s="424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4"/>
      <c r="EV166" s="424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4"/>
      <c r="EV167" s="424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4"/>
      <c r="EV168" s="424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4"/>
      <c r="EV169" s="424"/>
      <c r="EW169" s="377"/>
      <c r="EX169" s="377">
        <v>68939595.359999999</v>
      </c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T170" s="377"/>
      <c r="EU170" s="424"/>
      <c r="EV170" s="424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/>
      <c r="ET171" s="424">
        <v>5000</v>
      </c>
      <c r="EU171" s="424">
        <v>380906.62</v>
      </c>
      <c r="EV171" s="424">
        <v>0</v>
      </c>
      <c r="EW171" s="377">
        <v>285264</v>
      </c>
      <c r="EX171" s="377">
        <v>278222</v>
      </c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>
        <v>0</v>
      </c>
      <c r="EI172" s="377">
        <v>285802</v>
      </c>
      <c r="EJ172" s="377">
        <v>0</v>
      </c>
      <c r="EK172" s="377">
        <v>294172</v>
      </c>
      <c r="EL172" s="377">
        <v>40272</v>
      </c>
      <c r="EM172" s="377">
        <v>468970.67</v>
      </c>
      <c r="EN172" s="377">
        <v>0</v>
      </c>
      <c r="EO172" s="377">
        <v>40000</v>
      </c>
      <c r="EP172" s="377">
        <v>15000</v>
      </c>
      <c r="EQ172" s="377">
        <v>691995.33</v>
      </c>
      <c r="ER172" s="377">
        <v>70920.759999999995</v>
      </c>
      <c r="ES172" s="377">
        <v>2950278</v>
      </c>
      <c r="ET172" s="424">
        <v>5000</v>
      </c>
      <c r="EU172" s="424">
        <v>380906.62</v>
      </c>
      <c r="EV172" s="424">
        <v>0</v>
      </c>
      <c r="EW172" s="377">
        <v>285264</v>
      </c>
      <c r="EX172" s="377">
        <v>278222</v>
      </c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4"/>
      <c r="EV173" s="424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4"/>
      <c r="EV174" s="424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4"/>
      <c r="EV175" s="424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4"/>
      <c r="EV176" s="424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4"/>
      <c r="EV177" s="424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4">
        <v>27871672.789999999</v>
      </c>
      <c r="EU178" s="424">
        <v>56704926.840000004</v>
      </c>
      <c r="EV178" s="424">
        <v>21093802.77</v>
      </c>
      <c r="EW178" s="377">
        <v>22441147.859999999</v>
      </c>
      <c r="EX178" s="377">
        <v>16011539.029999999</v>
      </c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T179" s="424">
        <v>26200164.98</v>
      </c>
      <c r="EU179" s="424">
        <v>54488971.759999998</v>
      </c>
      <c r="EV179" s="424">
        <v>19066024.489999998</v>
      </c>
      <c r="EW179" s="377">
        <v>19981471.989999998</v>
      </c>
      <c r="EX179" s="377">
        <v>14760695.76</v>
      </c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16509330.02</v>
      </c>
      <c r="EI180" s="377">
        <v>40459986.270000003</v>
      </c>
      <c r="EJ180" s="377">
        <v>28547623.149999999</v>
      </c>
      <c r="EK180" s="377">
        <v>111178.77</v>
      </c>
      <c r="EL180" s="377">
        <v>861846.67</v>
      </c>
      <c r="EM180" s="377">
        <v>18678429.690000001</v>
      </c>
      <c r="EN180" s="377">
        <v>25930516.890000001</v>
      </c>
      <c r="EO180" s="377">
        <v>65870871.859999999</v>
      </c>
      <c r="EP180" s="377">
        <v>8684013.8599999994</v>
      </c>
      <c r="EQ180" s="377">
        <v>2314998.5699999998</v>
      </c>
      <c r="ER180" s="377">
        <v>865501.84</v>
      </c>
      <c r="ES180" s="377">
        <v>17178358.239999998</v>
      </c>
      <c r="ET180" s="424">
        <v>24566746.16</v>
      </c>
      <c r="EU180" s="424">
        <v>50952373.509999998</v>
      </c>
      <c r="EV180" s="424">
        <v>7051404.0099999998</v>
      </c>
      <c r="EW180" s="377">
        <v>2231658.5099999998</v>
      </c>
      <c r="EX180" s="377">
        <v>831498.83</v>
      </c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>
        <v>1802308.17</v>
      </c>
      <c r="EI181" s="377">
        <v>1892608.13</v>
      </c>
      <c r="EJ181" s="377">
        <v>7944436.3899999997</v>
      </c>
      <c r="EK181" s="377">
        <v>65321070.240000002</v>
      </c>
      <c r="EL181" s="377">
        <v>5208332.1500000004</v>
      </c>
      <c r="EM181" s="377">
        <v>11220533.199999999</v>
      </c>
      <c r="EN181" s="377">
        <v>9633419.2899999991</v>
      </c>
      <c r="EO181" s="377">
        <v>2539646.15</v>
      </c>
      <c r="EP181" s="377">
        <v>4390481.9000000004</v>
      </c>
      <c r="EQ181" s="377">
        <v>4884517.4000000004</v>
      </c>
      <c r="ER181" s="377">
        <v>6156717.2599999998</v>
      </c>
      <c r="ES181" s="377">
        <v>11593842.74</v>
      </c>
      <c r="ET181" s="424">
        <v>1633418.82</v>
      </c>
      <c r="EU181" s="424">
        <v>3536598.25</v>
      </c>
      <c r="EV181" s="424">
        <v>12014620.48</v>
      </c>
      <c r="EW181" s="377">
        <v>17749813.48</v>
      </c>
      <c r="EX181" s="377">
        <v>13929196.93</v>
      </c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4"/>
      <c r="EV182" s="424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4"/>
      <c r="EV183" s="424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T184" s="377"/>
      <c r="EU184" s="424"/>
      <c r="EV184" s="424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2184051.7200000002</v>
      </c>
      <c r="EI185" s="377">
        <v>1764900.98</v>
      </c>
      <c r="EJ185" s="377">
        <v>2883254.52</v>
      </c>
      <c r="EK185" s="377">
        <v>1767565.23</v>
      </c>
      <c r="EL185" s="377">
        <v>1819114.92</v>
      </c>
      <c r="EM185" s="377">
        <v>3273831.52</v>
      </c>
      <c r="EN185" s="377">
        <v>12593149</v>
      </c>
      <c r="EO185" s="377">
        <v>3919363.28</v>
      </c>
      <c r="EP185" s="377">
        <v>2388146.7200000002</v>
      </c>
      <c r="EQ185" s="377">
        <v>2862908.84</v>
      </c>
      <c r="ER185" s="377">
        <v>2620351.65</v>
      </c>
      <c r="ES185" s="377">
        <v>1884186.27</v>
      </c>
      <c r="ET185" s="424">
        <v>1671507.81</v>
      </c>
      <c r="EU185" s="424">
        <v>2215955.08</v>
      </c>
      <c r="EV185" s="424">
        <v>2027778.28</v>
      </c>
      <c r="EW185" s="377">
        <v>2459675.87</v>
      </c>
      <c r="EX185" s="377">
        <v>1250843.27</v>
      </c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>
        <v>493700</v>
      </c>
      <c r="EK186" s="377">
        <v>285897.84000000003</v>
      </c>
      <c r="EL186" s="377">
        <v>4315705.9400000004</v>
      </c>
      <c r="EM186" s="377">
        <v>1297104.97</v>
      </c>
      <c r="EN186" s="377">
        <v>826758.17</v>
      </c>
      <c r="EO186" s="377">
        <v>1509270</v>
      </c>
      <c r="EP186" s="377">
        <v>1178123.47</v>
      </c>
      <c r="EQ186" s="377">
        <v>4740919.33</v>
      </c>
      <c r="ER186" s="377">
        <v>1360299.94</v>
      </c>
      <c r="ES186" s="377">
        <v>3645650.27</v>
      </c>
      <c r="ET186" s="424">
        <v>190000</v>
      </c>
      <c r="EU186" s="424">
        <v>92000</v>
      </c>
      <c r="EV186" s="424">
        <v>2352909.08</v>
      </c>
      <c r="EW186" s="377">
        <v>460039.86</v>
      </c>
      <c r="EX186" s="377">
        <v>4042331.56</v>
      </c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>
        <v>5000</v>
      </c>
      <c r="EI187" s="377">
        <v>25400</v>
      </c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440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Prihodi budžeta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Budžetski izdaci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Suficit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59" t="s">
        <v>691</v>
      </c>
      <c r="F216" s="557">
        <v>2006</v>
      </c>
      <c r="G216" s="556"/>
      <c r="H216" s="556"/>
      <c r="I216" s="556"/>
      <c r="J216" s="556"/>
      <c r="K216" s="556"/>
      <c r="L216" s="556"/>
      <c r="M216" s="556"/>
      <c r="N216" s="556"/>
      <c r="O216" s="556"/>
      <c r="P216" s="556"/>
      <c r="Q216" s="558"/>
      <c r="R216" s="557">
        <v>2007</v>
      </c>
      <c r="S216" s="556"/>
      <c r="T216" s="556"/>
      <c r="U216" s="556"/>
      <c r="V216" s="556"/>
      <c r="W216" s="556"/>
      <c r="X216" s="556"/>
      <c r="Y216" s="556"/>
      <c r="Z216" s="556"/>
      <c r="AA216" s="556"/>
      <c r="AB216" s="556"/>
      <c r="AC216" s="558"/>
      <c r="AD216" s="557">
        <v>2008</v>
      </c>
      <c r="AE216" s="556"/>
      <c r="AF216" s="556"/>
      <c r="AG216" s="556"/>
      <c r="AH216" s="556"/>
      <c r="AI216" s="556"/>
      <c r="AJ216" s="556"/>
      <c r="AK216" s="556"/>
      <c r="AL216" s="556"/>
      <c r="AM216" s="556"/>
      <c r="AN216" s="556"/>
      <c r="AO216" s="558"/>
      <c r="AP216" s="557">
        <v>2009</v>
      </c>
      <c r="AQ216" s="556"/>
      <c r="AR216" s="556"/>
      <c r="AS216" s="556"/>
      <c r="AT216" s="556"/>
      <c r="AU216" s="556"/>
      <c r="AV216" s="556"/>
      <c r="AW216" s="556"/>
      <c r="AX216" s="556"/>
      <c r="AY216" s="556"/>
      <c r="AZ216" s="556"/>
      <c r="BA216" s="558"/>
      <c r="BB216" s="557">
        <v>2010</v>
      </c>
      <c r="BC216" s="556"/>
      <c r="BD216" s="556"/>
      <c r="BE216" s="556"/>
      <c r="BF216" s="556"/>
      <c r="BG216" s="556"/>
      <c r="BH216" s="556"/>
      <c r="BI216" s="556"/>
      <c r="BJ216" s="556"/>
      <c r="BK216" s="556"/>
      <c r="BL216" s="556"/>
      <c r="BM216" s="558"/>
      <c r="BN216" s="557">
        <v>2011</v>
      </c>
      <c r="BO216" s="556"/>
      <c r="BP216" s="556"/>
      <c r="BQ216" s="556"/>
      <c r="BR216" s="556"/>
      <c r="BS216" s="556"/>
      <c r="BT216" s="556"/>
      <c r="BU216" s="556"/>
      <c r="BV216" s="556"/>
      <c r="BW216" s="556"/>
      <c r="BX216" s="556"/>
      <c r="BY216" s="558"/>
      <c r="BZ216" s="556">
        <v>2012</v>
      </c>
      <c r="CA216" s="556"/>
      <c r="CB216" s="556"/>
      <c r="CC216" s="556"/>
      <c r="CD216" s="556"/>
      <c r="CE216" s="556"/>
      <c r="CF216" s="556"/>
      <c r="CG216" s="556"/>
      <c r="CH216" s="556"/>
      <c r="CI216" s="556"/>
      <c r="CJ216" s="556"/>
      <c r="CK216" s="556"/>
      <c r="CL216" s="557">
        <v>2013</v>
      </c>
      <c r="CM216" s="556"/>
      <c r="CN216" s="556"/>
      <c r="CO216" s="556"/>
      <c r="CP216" s="556"/>
      <c r="CQ216" s="556"/>
      <c r="CR216" s="556"/>
      <c r="CS216" s="556"/>
      <c r="CT216" s="556"/>
      <c r="CU216" s="556"/>
      <c r="CV216" s="556"/>
      <c r="CW216" s="558"/>
      <c r="CX216" s="557">
        <v>2014</v>
      </c>
      <c r="CY216" s="556"/>
      <c r="CZ216" s="556"/>
      <c r="DA216" s="556"/>
      <c r="DB216" s="556"/>
      <c r="DC216" s="556"/>
      <c r="DD216" s="556"/>
      <c r="DE216" s="556"/>
      <c r="DF216" s="556"/>
      <c r="DG216" s="556"/>
      <c r="DH216" s="556"/>
      <c r="DI216" s="558"/>
      <c r="DJ216" s="557">
        <v>2015</v>
      </c>
      <c r="DK216" s="556"/>
      <c r="DL216" s="556"/>
      <c r="DM216" s="556"/>
      <c r="DN216" s="556"/>
      <c r="DO216" s="556"/>
      <c r="DP216" s="556"/>
      <c r="DQ216" s="556"/>
      <c r="DR216" s="556"/>
      <c r="DS216" s="556"/>
      <c r="DT216" s="556"/>
      <c r="DU216" s="558"/>
    </row>
    <row r="217" spans="1:161">
      <c r="E217" s="559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2">
        <v>60295851.510000005</v>
      </c>
      <c r="EU220" s="412">
        <v>64797597.330000006</v>
      </c>
      <c r="EV220" s="412">
        <v>99790406.311316341</v>
      </c>
      <c r="EW220" s="412">
        <v>90113004.355003178</v>
      </c>
      <c r="EX220" s="412">
        <v>86548999.132824272</v>
      </c>
      <c r="EY220" s="412">
        <v>94950322.237170875</v>
      </c>
      <c r="EZ220" s="412">
        <v>99363095.257797256</v>
      </c>
      <c r="FA220" s="412">
        <v>110453262.10299966</v>
      </c>
      <c r="FB220" s="412">
        <v>102401078.44082643</v>
      </c>
      <c r="FC220" s="412">
        <v>95789898.325312346</v>
      </c>
      <c r="FD220" s="412">
        <v>82603320.396938473</v>
      </c>
      <c r="FE220" s="412">
        <v>98215222.359440073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41">
        <v>3496624.83</v>
      </c>
      <c r="EU221" s="41">
        <v>8897390.9499999993</v>
      </c>
      <c r="EV221" s="41">
        <v>9851190.0684044715</v>
      </c>
      <c r="EW221" s="41">
        <v>9456522.7919898443</v>
      </c>
      <c r="EX221" s="41">
        <v>10644686.280068103</v>
      </c>
      <c r="EY221" s="41">
        <v>10529536.439230289</v>
      </c>
      <c r="EZ221" s="41">
        <v>11459377.222866835</v>
      </c>
      <c r="FA221" s="41">
        <v>11349599.062734554</v>
      </c>
      <c r="FB221" s="41">
        <v>10410490.432834331</v>
      </c>
      <c r="FC221" s="41">
        <v>11079108.171049241</v>
      </c>
      <c r="FD221" s="41">
        <v>8309878.0236359257</v>
      </c>
      <c r="FE221" s="41">
        <v>15650000.315266687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475602.8</v>
      </c>
      <c r="EU222" s="338">
        <v>1641570.62</v>
      </c>
      <c r="EV222" s="338">
        <v>18508918.148864955</v>
      </c>
      <c r="EW222" s="338">
        <v>15245006.927149141</v>
      </c>
      <c r="EX222" s="338">
        <v>2819722.624497789</v>
      </c>
      <c r="EY222" s="338">
        <v>2620262.7727349945</v>
      </c>
      <c r="EZ222" s="338">
        <v>2545870.4530727412</v>
      </c>
      <c r="FA222" s="338">
        <v>2639127.1473694532</v>
      </c>
      <c r="FB222" s="338">
        <v>1159823.8439063106</v>
      </c>
      <c r="FC222" s="338">
        <v>1773979.57478168</v>
      </c>
      <c r="FD222" s="338">
        <v>701543.77928087593</v>
      </c>
      <c r="FE222" s="338">
        <v>1749607.0819956034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41">
        <v>93380.49</v>
      </c>
      <c r="EU223" s="41">
        <v>116565.53</v>
      </c>
      <c r="EV223" s="41">
        <v>104047.95602937166</v>
      </c>
      <c r="EW223" s="41">
        <v>110349.59462185318</v>
      </c>
      <c r="EX223" s="41">
        <v>210034.05441915779</v>
      </c>
      <c r="EY223" s="41">
        <v>112881.03363916301</v>
      </c>
      <c r="EZ223" s="41">
        <v>165237.90094273287</v>
      </c>
      <c r="FA223" s="41">
        <v>179232.92735336185</v>
      </c>
      <c r="FB223" s="41">
        <v>136199.31001440389</v>
      </c>
      <c r="FC223" s="41">
        <v>229977.20409803133</v>
      </c>
      <c r="FD223" s="41">
        <v>194711.60663450463</v>
      </c>
      <c r="FE223" s="41">
        <v>152772.0914955248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41">
        <v>40926868.810000002</v>
      </c>
      <c r="EU224" s="41">
        <v>38270122.18</v>
      </c>
      <c r="EV224" s="41">
        <v>51505849.984329924</v>
      </c>
      <c r="EW224" s="41">
        <v>44717067.964572787</v>
      </c>
      <c r="EX224" s="41">
        <v>49751840.238490134</v>
      </c>
      <c r="EY224" s="41">
        <v>57304012.959073536</v>
      </c>
      <c r="EZ224" s="41">
        <v>58128176.583145849</v>
      </c>
      <c r="FA224" s="41">
        <v>63799253.340618283</v>
      </c>
      <c r="FB224" s="41">
        <v>59973292.027199574</v>
      </c>
      <c r="FC224" s="41">
        <v>56182097.926777624</v>
      </c>
      <c r="FD224" s="41">
        <v>50439907.871926405</v>
      </c>
      <c r="FE224" s="41">
        <v>56341106.351527147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41">
        <v>13370061.67</v>
      </c>
      <c r="EU225" s="41">
        <v>13585674.48</v>
      </c>
      <c r="EV225" s="41">
        <v>16615528.16120209</v>
      </c>
      <c r="EW225" s="41">
        <v>17556372.154467821</v>
      </c>
      <c r="EX225" s="41">
        <v>19907775.745794021</v>
      </c>
      <c r="EY225" s="41">
        <v>20967411.446635</v>
      </c>
      <c r="EZ225" s="41">
        <v>23494454.438663479</v>
      </c>
      <c r="FA225" s="41">
        <v>28618280.907139812</v>
      </c>
      <c r="FB225" s="41">
        <v>27608607.426119331</v>
      </c>
      <c r="FC225" s="41">
        <v>23366507.59216639</v>
      </c>
      <c r="FD225" s="41">
        <v>20212469.544035491</v>
      </c>
      <c r="FE225" s="41">
        <v>21069062.373790596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41">
        <v>1218936.71</v>
      </c>
      <c r="EU226" s="41">
        <v>1678360</v>
      </c>
      <c r="EV226" s="41">
        <v>2333208.4438380604</v>
      </c>
      <c r="EW226" s="41">
        <v>2103438.3700065464</v>
      </c>
      <c r="EX226" s="41">
        <v>2392101.4273314034</v>
      </c>
      <c r="EY226" s="41">
        <v>2474300.1004540911</v>
      </c>
      <c r="EZ226" s="41">
        <v>2642207.3072099253</v>
      </c>
      <c r="FA226" s="41">
        <v>2998374.8777813497</v>
      </c>
      <c r="FB226" s="41">
        <v>2253516.7615488064</v>
      </c>
      <c r="FC226" s="41">
        <v>2271028.6797934445</v>
      </c>
      <c r="FD226" s="41">
        <v>1980658.6013352112</v>
      </c>
      <c r="FE226" s="41">
        <v>2394724.0287171667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41">
        <v>714376.2</v>
      </c>
      <c r="EU227" s="41">
        <v>607913.56999999995</v>
      </c>
      <c r="EV227" s="41">
        <v>871663.54864748509</v>
      </c>
      <c r="EW227" s="41">
        <v>924246.55219517124</v>
      </c>
      <c r="EX227" s="41">
        <v>822838.76222366025</v>
      </c>
      <c r="EY227" s="41">
        <v>941917.48540379992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41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2">
        <v>14572676.99</v>
      </c>
      <c r="EU229" s="412">
        <v>36938118.07</v>
      </c>
      <c r="EV229" s="412">
        <v>39514509.178451218</v>
      </c>
      <c r="EW229" s="412">
        <v>37910256.538797826</v>
      </c>
      <c r="EX229" s="412">
        <v>42763487.772590324</v>
      </c>
      <c r="EY229" s="412">
        <v>42792327.10322699</v>
      </c>
      <c r="EZ229" s="412">
        <v>46921719.679339595</v>
      </c>
      <c r="FA229" s="412">
        <v>46273566.346314959</v>
      </c>
      <c r="FB229" s="412">
        <v>42432994.444399171</v>
      </c>
      <c r="FC229" s="412">
        <v>44988379.58037632</v>
      </c>
      <c r="FD229" s="412">
        <v>46439891.107192069</v>
      </c>
      <c r="FE229" s="412">
        <v>81000468.221336052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41">
        <v>8994145.9900000002</v>
      </c>
      <c r="EU230" s="41">
        <v>22424749.280000001</v>
      </c>
      <c r="EV230" s="41">
        <v>23365365.124011513</v>
      </c>
      <c r="EW230" s="41">
        <v>22345094.772705231</v>
      </c>
      <c r="EX230" s="41">
        <v>25181449.621492796</v>
      </c>
      <c r="EY230" s="41">
        <v>25103820.774740268</v>
      </c>
      <c r="EZ230" s="41">
        <v>27904136.750176284</v>
      </c>
      <c r="FA230" s="41">
        <v>27444585.567905214</v>
      </c>
      <c r="FB230" s="41">
        <v>24835286.371805832</v>
      </c>
      <c r="FC230" s="41">
        <v>26846713.827655204</v>
      </c>
      <c r="FD230" s="41">
        <v>30176111.349047177</v>
      </c>
      <c r="FE230" s="41">
        <v>49874655.533011168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41">
        <v>4907250.76</v>
      </c>
      <c r="EU231" s="41">
        <v>12702016.77</v>
      </c>
      <c r="EV231" s="41">
        <v>14123196.061495384</v>
      </c>
      <c r="EW231" s="41">
        <v>13479819.286998</v>
      </c>
      <c r="EX231" s="41">
        <v>15202549.555480573</v>
      </c>
      <c r="EY231" s="41">
        <v>15112176.785213545</v>
      </c>
      <c r="EZ231" s="41">
        <v>16317942.270240625</v>
      </c>
      <c r="FA231" s="41">
        <v>16148082.088868527</v>
      </c>
      <c r="FB231" s="41">
        <v>14931344.202533228</v>
      </c>
      <c r="FC231" s="41">
        <v>15915846.876421463</v>
      </c>
      <c r="FD231" s="41">
        <v>14543340.427429322</v>
      </c>
      <c r="FE231" s="41">
        <v>27554145.495885469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41">
        <v>365962.97</v>
      </c>
      <c r="EU232" s="41">
        <v>960588.74</v>
      </c>
      <c r="EV232" s="41">
        <v>988122.34359266201</v>
      </c>
      <c r="EW232" s="41">
        <v>1096195.1509071102</v>
      </c>
      <c r="EX232" s="41">
        <v>1260180.935030153</v>
      </c>
      <c r="EY232" s="41">
        <v>1467089.8435203447</v>
      </c>
      <c r="EZ232" s="41">
        <v>1507057.6202343714</v>
      </c>
      <c r="FA232" s="41">
        <v>1489600.3728872528</v>
      </c>
      <c r="FB232" s="41">
        <v>1581435.7501726148</v>
      </c>
      <c r="FC232" s="41">
        <v>1083098.6791097028</v>
      </c>
      <c r="FD232" s="41">
        <v>1113083.9028196863</v>
      </c>
      <c r="FE232" s="41">
        <v>1400755.0445958641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41">
        <v>305317.27</v>
      </c>
      <c r="EU233" s="41">
        <v>850763.28</v>
      </c>
      <c r="EV233" s="41">
        <v>1037825.6493516645</v>
      </c>
      <c r="EW233" s="41">
        <v>989147.32818748779</v>
      </c>
      <c r="EX233" s="41">
        <v>1119307.6605867953</v>
      </c>
      <c r="EY233" s="41">
        <v>1109239.6997528379</v>
      </c>
      <c r="EZ233" s="41">
        <v>1192583.0386883139</v>
      </c>
      <c r="FA233" s="41">
        <v>1191298.3166539699</v>
      </c>
      <c r="FB233" s="41">
        <v>1084928.1198874905</v>
      </c>
      <c r="FC233" s="41">
        <v>1142720.1971899595</v>
      </c>
      <c r="FD233" s="41">
        <v>607355.42789588484</v>
      </c>
      <c r="FE233" s="41">
        <v>2170912.1478435569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725562.24</v>
      </c>
      <c r="EU234" s="412">
        <v>930915.02999999991</v>
      </c>
      <c r="EV234" s="412">
        <v>1478055.9886604978</v>
      </c>
      <c r="EW234" s="412">
        <v>1310324.9067236972</v>
      </c>
      <c r="EX234" s="412">
        <v>1516721.2364768749</v>
      </c>
      <c r="EY234" s="412">
        <v>1934611.5967205677</v>
      </c>
      <c r="EZ234" s="412">
        <v>2006573.8890331213</v>
      </c>
      <c r="FA234" s="412">
        <v>2107162.0760087203</v>
      </c>
      <c r="FB234" s="412">
        <v>1770373.1150840893</v>
      </c>
      <c r="FC234" s="412">
        <v>1768509.5534105706</v>
      </c>
      <c r="FD234" s="412">
        <v>1548897.2115143323</v>
      </c>
      <c r="FE234" s="412">
        <v>1581985.8731730294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41">
        <v>512058.71</v>
      </c>
      <c r="EU235" s="41">
        <v>628960</v>
      </c>
      <c r="EV235" s="41">
        <v>1217725.4158014089</v>
      </c>
      <c r="EW235" s="41">
        <v>1032457.0828766557</v>
      </c>
      <c r="EX235" s="41">
        <v>1214782.3394299967</v>
      </c>
      <c r="EY235" s="41">
        <v>1437709.7342873763</v>
      </c>
      <c r="EZ235" s="41">
        <v>1385558.8263895111</v>
      </c>
      <c r="FA235" s="41">
        <v>1376303.1559590064</v>
      </c>
      <c r="FB235" s="41">
        <v>1220966.4042674757</v>
      </c>
      <c r="FC235" s="41">
        <v>1276314.0007363772</v>
      </c>
      <c r="FD235" s="41">
        <v>1133735.3838423521</v>
      </c>
      <c r="FE235" s="41">
        <v>1128766.1355393415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41">
        <v>93434.6</v>
      </c>
      <c r="EU236" s="41">
        <v>109385.74</v>
      </c>
      <c r="EV236" s="41">
        <v>143230.66236387164</v>
      </c>
      <c r="EW236" s="41">
        <v>130839.51605347478</v>
      </c>
      <c r="EX236" s="41">
        <v>117886.22989356035</v>
      </c>
      <c r="EY236" s="41">
        <v>143633.20481393251</v>
      </c>
      <c r="EZ236" s="41">
        <v>128257.63632708071</v>
      </c>
      <c r="FA236" s="41">
        <v>89323.003900608135</v>
      </c>
      <c r="FB236" s="41">
        <v>135234.94509311437</v>
      </c>
      <c r="FC236" s="41">
        <v>146162.44761730015</v>
      </c>
      <c r="FD236" s="41">
        <v>124610.5323902806</v>
      </c>
      <c r="FE236" s="41">
        <v>150277.97800327634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41">
        <v>21633.83</v>
      </c>
      <c r="EU237" s="41">
        <v>24453.21</v>
      </c>
      <c r="EV237" s="41">
        <v>27348.516666356969</v>
      </c>
      <c r="EW237" s="41">
        <v>26788.559073445453</v>
      </c>
      <c r="EX237" s="41">
        <v>51501.869081799508</v>
      </c>
      <c r="EY237" s="41">
        <v>128395.00076719394</v>
      </c>
      <c r="EZ237" s="41">
        <v>285738.43703399639</v>
      </c>
      <c r="FA237" s="41">
        <v>377223.95709693246</v>
      </c>
      <c r="FB237" s="41">
        <v>192412.76736173488</v>
      </c>
      <c r="FC237" s="41">
        <v>86548.975295281431</v>
      </c>
      <c r="FD237" s="41">
        <v>33887.664596319664</v>
      </c>
      <c r="FE237" s="41">
        <v>27963.367450939448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41">
        <v>98435.1</v>
      </c>
      <c r="EU240" s="41">
        <v>168116.08</v>
      </c>
      <c r="EV240" s="41">
        <v>89751.393828860222</v>
      </c>
      <c r="EW240" s="41">
        <v>120239.74872012137</v>
      </c>
      <c r="EX240" s="41">
        <v>132550.7980715186</v>
      </c>
      <c r="EY240" s="41">
        <v>224873.65685206495</v>
      </c>
      <c r="EZ240" s="41">
        <v>207018.98928253312</v>
      </c>
      <c r="FA240" s="41">
        <v>264311.95905217365</v>
      </c>
      <c r="FB240" s="41">
        <v>221758.99836176448</v>
      </c>
      <c r="FC240" s="41">
        <v>259484.12976161184</v>
      </c>
      <c r="FD240" s="41">
        <v>256663.63068538005</v>
      </c>
      <c r="FE240" s="41">
        <v>274978.3921794722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1774503.5699999998</v>
      </c>
      <c r="EU241" s="412">
        <v>1435893.46</v>
      </c>
      <c r="EV241" s="412">
        <v>1493293.5585805762</v>
      </c>
      <c r="EW241" s="412">
        <v>2221665.9925666279</v>
      </c>
      <c r="EX241" s="412">
        <v>1600994.4152378035</v>
      </c>
      <c r="EY241" s="412">
        <v>1759003.5114608184</v>
      </c>
      <c r="EZ241" s="412">
        <v>2768982.89609381</v>
      </c>
      <c r="FA241" s="412">
        <v>1878964.846878767</v>
      </c>
      <c r="FB241" s="412">
        <v>2453431.0919642458</v>
      </c>
      <c r="FC241" s="412">
        <v>3062621.0292725526</v>
      </c>
      <c r="FD241" s="412">
        <v>2157522.0205821833</v>
      </c>
      <c r="FE241" s="412">
        <v>3364455.4723437326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41">
        <v>29715.1</v>
      </c>
      <c r="EU242" s="41">
        <v>46180.29</v>
      </c>
      <c r="EV242" s="41">
        <v>36007.789792260985</v>
      </c>
      <c r="EW242" s="41">
        <v>81175.046657983083</v>
      </c>
      <c r="EX242" s="41">
        <v>64377.131054727026</v>
      </c>
      <c r="EY242" s="41">
        <v>65797.875727028324</v>
      </c>
      <c r="EZ242" s="41">
        <v>64477.098759450615</v>
      </c>
      <c r="FA242" s="41">
        <v>66897.638656822703</v>
      </c>
      <c r="FB242" s="41">
        <v>81136.2306110012</v>
      </c>
      <c r="FC242" s="41">
        <v>63047.619670820408</v>
      </c>
      <c r="FD242" s="41">
        <v>75085.686625534945</v>
      </c>
      <c r="FE242" s="41">
        <v>115252.46328437059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41">
        <v>120406.14</v>
      </c>
      <c r="EU243" s="41">
        <v>138658.04999999999</v>
      </c>
      <c r="EV243" s="41">
        <v>114120.9685936481</v>
      </c>
      <c r="EW243" s="41">
        <v>149908.5171211831</v>
      </c>
      <c r="EX243" s="41">
        <v>143215.04630149907</v>
      </c>
      <c r="EY243" s="41">
        <v>305461.41281813598</v>
      </c>
      <c r="EZ243" s="41">
        <v>427823.77823206456</v>
      </c>
      <c r="FA243" s="41">
        <v>308480.23062630981</v>
      </c>
      <c r="FB243" s="41">
        <v>101554.75344945276</v>
      </c>
      <c r="FC243" s="41">
        <v>490936.60624941072</v>
      </c>
      <c r="FD243" s="41">
        <v>422512.69031992706</v>
      </c>
      <c r="FE243" s="41">
        <v>1131816.4796864912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41">
        <v>1567.64</v>
      </c>
      <c r="EU244" s="41">
        <v>1648.75</v>
      </c>
      <c r="EV244" s="41">
        <v>30021.311363212899</v>
      </c>
      <c r="EW244" s="41">
        <v>46248.969859994744</v>
      </c>
      <c r="EX244" s="41">
        <v>37715.13237162029</v>
      </c>
      <c r="EY244" s="41">
        <v>6572.7490554530914</v>
      </c>
      <c r="EZ244" s="41">
        <v>6439.5769781470781</v>
      </c>
      <c r="FA244" s="41">
        <v>6597.0523219903189</v>
      </c>
      <c r="FB244" s="41">
        <v>26781.326060323947</v>
      </c>
      <c r="FC244" s="41">
        <v>53280.576444127546</v>
      </c>
      <c r="FD244" s="41">
        <v>26370.2296477706</v>
      </c>
      <c r="FE244" s="41">
        <v>44853.954804359419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41">
        <v>564026.22</v>
      </c>
      <c r="EU245" s="41">
        <v>552007.56999999995</v>
      </c>
      <c r="EV245" s="41">
        <v>735824.79458779981</v>
      </c>
      <c r="EW245" s="41">
        <v>658970.53109479987</v>
      </c>
      <c r="EX245" s="41">
        <v>696152.37811879988</v>
      </c>
      <c r="EY245" s="41">
        <v>724159.23089479993</v>
      </c>
      <c r="EZ245" s="41">
        <v>808813.86906079983</v>
      </c>
      <c r="FA245" s="41">
        <v>839144.32845079969</v>
      </c>
      <c r="FB245" s="41">
        <v>981148.10563879996</v>
      </c>
      <c r="FC245" s="41">
        <v>1163071.0112857998</v>
      </c>
      <c r="FD245" s="41">
        <v>835937.86976179981</v>
      </c>
      <c r="FE245" s="41">
        <v>980190.76372879976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41">
        <v>202641</v>
      </c>
      <c r="EU249" s="41">
        <v>112102.37</v>
      </c>
      <c r="EV249" s="41">
        <v>202950.54952028824</v>
      </c>
      <c r="EW249" s="41">
        <v>365455.65558514587</v>
      </c>
      <c r="EX249" s="41">
        <v>373966.18893321441</v>
      </c>
      <c r="EY249" s="41">
        <v>405931.85133151483</v>
      </c>
      <c r="EZ249" s="41">
        <v>408608.91921992507</v>
      </c>
      <c r="FA249" s="41">
        <v>359052.29337502766</v>
      </c>
      <c r="FB249" s="41">
        <v>796654.93853226851</v>
      </c>
      <c r="FC249" s="41">
        <v>298305.8538680065</v>
      </c>
      <c r="FD249" s="41">
        <v>279151.26407301734</v>
      </c>
      <c r="FE249" s="41">
        <v>330849.48508459091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41">
        <v>856147.47</v>
      </c>
      <c r="EU250" s="41">
        <v>585296.43000000005</v>
      </c>
      <c r="EV250" s="41">
        <v>374368.14472336619</v>
      </c>
      <c r="EW250" s="41">
        <v>919907.27224752121</v>
      </c>
      <c r="EX250" s="41">
        <v>285568.53845794289</v>
      </c>
      <c r="EY250" s="41">
        <v>251080.39163388626</v>
      </c>
      <c r="EZ250" s="41">
        <v>1052819.6538434231</v>
      </c>
      <c r="FA250" s="41">
        <v>298793.30344781693</v>
      </c>
      <c r="FB250" s="41">
        <v>466155.7376723995</v>
      </c>
      <c r="FC250" s="41">
        <v>993979.36175438785</v>
      </c>
      <c r="FD250" s="41">
        <v>518464.28015413362</v>
      </c>
      <c r="FE250" s="41">
        <v>761492.32575512072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2486753.54</v>
      </c>
      <c r="EU251" s="412">
        <v>2087518.1099999999</v>
      </c>
      <c r="EV251" s="412">
        <v>2355602.4630320384</v>
      </c>
      <c r="EW251" s="412">
        <v>3298254.427910096</v>
      </c>
      <c r="EX251" s="412">
        <v>2621799.4151039477</v>
      </c>
      <c r="EY251" s="412">
        <v>3669790.935121492</v>
      </c>
      <c r="EZ251" s="412">
        <v>40239322.121180184</v>
      </c>
      <c r="FA251" s="412">
        <v>6556432.7673175065</v>
      </c>
      <c r="FB251" s="412">
        <v>5955444.0638419371</v>
      </c>
      <c r="FC251" s="412">
        <v>3080614.3453884441</v>
      </c>
      <c r="FD251" s="412">
        <v>2054798.3756645597</v>
      </c>
      <c r="FE251" s="412">
        <v>4981072.0471647922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41">
        <v>757682.7</v>
      </c>
      <c r="EU252" s="41">
        <v>26758.17</v>
      </c>
      <c r="EV252" s="41">
        <v>94457.821788721005</v>
      </c>
      <c r="EW252" s="41">
        <v>657408.91145900823</v>
      </c>
      <c r="EX252" s="41">
        <v>134225.40098108893</v>
      </c>
      <c r="EY252" s="41">
        <v>503533.15922320593</v>
      </c>
      <c r="EZ252" s="41">
        <v>37129222.50623408</v>
      </c>
      <c r="FA252" s="41">
        <v>3746562.556250304</v>
      </c>
      <c r="FB252" s="41">
        <v>3937196.4818175649</v>
      </c>
      <c r="FC252" s="41">
        <v>21499.42739057132</v>
      </c>
      <c r="FD252" s="41">
        <v>75015.817662992529</v>
      </c>
      <c r="FE252" s="41">
        <v>391669.17944445845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41">
        <v>657232.74</v>
      </c>
      <c r="EU253" s="41">
        <v>844736.49</v>
      </c>
      <c r="EV253" s="41">
        <v>1132266.9925392123</v>
      </c>
      <c r="EW253" s="41">
        <v>1058926.1857724539</v>
      </c>
      <c r="EX253" s="41">
        <v>1170895.3944625666</v>
      </c>
      <c r="EY253" s="41">
        <v>1524881.8655657221</v>
      </c>
      <c r="EZ253" s="41">
        <v>1800794.1065653174</v>
      </c>
      <c r="FA253" s="41">
        <v>1870205.8863497379</v>
      </c>
      <c r="FB253" s="41">
        <v>1122335.0272681022</v>
      </c>
      <c r="FC253" s="41">
        <v>1112476.8054633192</v>
      </c>
      <c r="FD253" s="41">
        <v>1016964.7748420058</v>
      </c>
      <c r="FE253" s="41">
        <v>1423029.6089605615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41">
        <v>126122.18</v>
      </c>
      <c r="EU254" s="41">
        <v>179834.33</v>
      </c>
      <c r="EV254" s="41">
        <v>426732.44262059848</v>
      </c>
      <c r="EW254" s="41">
        <v>363879.33646945341</v>
      </c>
      <c r="EX254" s="41">
        <v>522710.93397008209</v>
      </c>
      <c r="EY254" s="41">
        <v>548035.83178589097</v>
      </c>
      <c r="EZ254" s="41">
        <v>459800.20397609501</v>
      </c>
      <c r="FA254" s="41">
        <v>444694.70052588353</v>
      </c>
      <c r="FB254" s="41">
        <v>398639.94885171216</v>
      </c>
      <c r="FC254" s="41">
        <v>385249.25687030656</v>
      </c>
      <c r="FD254" s="41">
        <v>468449.15892530547</v>
      </c>
      <c r="FE254" s="41">
        <v>572102.46768867271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41">
        <v>945715.92</v>
      </c>
      <c r="EU256" s="41">
        <v>1036189.12</v>
      </c>
      <c r="EV256" s="41">
        <v>702145.20608350646</v>
      </c>
      <c r="EW256" s="41">
        <v>1218039.9942091808</v>
      </c>
      <c r="EX256" s="41">
        <v>793967.68569021032</v>
      </c>
      <c r="EY256" s="41">
        <v>1093340.0785466731</v>
      </c>
      <c r="EZ256" s="41">
        <v>849505.30440468935</v>
      </c>
      <c r="FA256" s="41">
        <v>494969.62419158086</v>
      </c>
      <c r="FB256" s="41">
        <v>497272.60590455757</v>
      </c>
      <c r="FC256" s="41">
        <v>1561388.8556642469</v>
      </c>
      <c r="FD256" s="41">
        <v>494368.62423425581</v>
      </c>
      <c r="FE256" s="41">
        <v>2594270.7910710992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9">
        <v>170875.32</v>
      </c>
      <c r="EU260" s="9">
        <v>72092.639999999999</v>
      </c>
      <c r="EV260" s="9">
        <v>122723.60855213084</v>
      </c>
      <c r="EW260" s="9">
        <v>77400.581818860912</v>
      </c>
      <c r="EX260" s="9">
        <v>287457.35036751837</v>
      </c>
      <c r="EY260" s="9">
        <v>1127348.4167469807</v>
      </c>
      <c r="EZ260" s="9">
        <v>478781.26200871647</v>
      </c>
      <c r="FA260" s="9">
        <v>135623.91601735391</v>
      </c>
      <c r="FB260" s="9">
        <v>165878.65208433714</v>
      </c>
      <c r="FC260" s="9">
        <v>490320.35892417241</v>
      </c>
      <c r="FD260" s="9">
        <v>785775.49666312477</v>
      </c>
      <c r="FE260" s="9">
        <v>912933.8249398045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41">
        <v>170875.32</v>
      </c>
      <c r="EU261" s="41">
        <v>72092.639999999999</v>
      </c>
      <c r="EV261" s="41">
        <v>122723.60855213084</v>
      </c>
      <c r="EW261" s="41">
        <v>77400.581818860912</v>
      </c>
      <c r="EX261" s="41">
        <v>287457.35036751837</v>
      </c>
      <c r="EY261" s="41">
        <v>1127348.4167469807</v>
      </c>
      <c r="EZ261" s="41">
        <v>478781.26200871647</v>
      </c>
      <c r="FA261" s="41">
        <v>135623.91601735391</v>
      </c>
      <c r="FB261" s="41">
        <v>165878.65208433714</v>
      </c>
      <c r="FC261" s="41">
        <v>490320.35892417241</v>
      </c>
      <c r="FD261" s="41">
        <v>785775.49666312477</v>
      </c>
      <c r="FE261" s="41">
        <v>912933.8249398045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9">
        <v>1518621.66</v>
      </c>
      <c r="EU263" s="9">
        <v>781530.99</v>
      </c>
      <c r="EV263" s="9">
        <v>1966474.8156858</v>
      </c>
      <c r="EW263" s="9">
        <v>4721592.536962891</v>
      </c>
      <c r="EX263" s="9">
        <v>1736180.726499218</v>
      </c>
      <c r="EY263" s="9">
        <v>928754.33793739846</v>
      </c>
      <c r="EZ263" s="9">
        <v>2435550.5406138748</v>
      </c>
      <c r="FA263" s="9">
        <v>570671.53597611003</v>
      </c>
      <c r="FB263" s="9">
        <v>1353198.8801805205</v>
      </c>
      <c r="FC263" s="9">
        <v>2470225.2025423776</v>
      </c>
      <c r="FD263" s="9">
        <v>2112933.3732640138</v>
      </c>
      <c r="FE263" s="9">
        <v>7914265.4003377939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41">
        <v>1518621.66</v>
      </c>
      <c r="EU264" s="41">
        <v>781530.99</v>
      </c>
      <c r="EV264" s="41">
        <v>1966474.8156858</v>
      </c>
      <c r="EW264" s="41">
        <v>4721592.536962891</v>
      </c>
      <c r="EX264" s="41">
        <v>1736180.726499218</v>
      </c>
      <c r="EY264" s="41">
        <v>928754.33793739846</v>
      </c>
      <c r="EZ264" s="41">
        <v>2435550.5406138748</v>
      </c>
      <c r="FA264" s="41">
        <v>570671.53597611003</v>
      </c>
      <c r="FB264" s="41">
        <v>1353198.8801805205</v>
      </c>
      <c r="FC264" s="41">
        <v>2470225.2025423776</v>
      </c>
      <c r="FD264" s="41">
        <v>2112933.3732640138</v>
      </c>
      <c r="FE264" s="41">
        <v>7914265.4003377939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1064654.7372222226</v>
      </c>
      <c r="EX278" s="411">
        <v>1064654.7372222226</v>
      </c>
      <c r="EY278" s="411">
        <v>1064654.7372222226</v>
      </c>
      <c r="EZ278" s="411">
        <v>1064654.7372222226</v>
      </c>
      <c r="FA278" s="411">
        <v>1064654.7372222226</v>
      </c>
      <c r="FB278" s="411">
        <v>1064654.7372222226</v>
      </c>
      <c r="FC278" s="411">
        <v>1064654.7372222226</v>
      </c>
      <c r="FD278" s="411">
        <v>1064654.7372222226</v>
      </c>
      <c r="FE278" s="411">
        <v>1064654.7372222226</v>
      </c>
      <c r="FF278" s="411">
        <f>SUM(ET278:FE278)</f>
        <v>12719190.180000003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4097531.7004444432</v>
      </c>
      <c r="EX293" s="411">
        <v>4097531.7004444432</v>
      </c>
      <c r="EY293" s="411">
        <v>4097531.7004444432</v>
      </c>
      <c r="EZ293" s="411">
        <v>6090741.9951111097</v>
      </c>
      <c r="FA293" s="411">
        <v>6090741.9951111097</v>
      </c>
      <c r="FB293" s="411">
        <v>6090741.9951111097</v>
      </c>
      <c r="FC293" s="411">
        <v>6090741.9951111097</v>
      </c>
      <c r="FD293" s="411">
        <v>6090741.9951111097</v>
      </c>
      <c r="FE293" s="411">
        <v>6090741.9951111097</v>
      </c>
      <c r="FF293" s="411">
        <f>SUM(ET293:FE293)</f>
        <v>60796308.839999974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2696268.3784444444</v>
      </c>
      <c r="EX318" s="411">
        <v>2696268.3784444444</v>
      </c>
      <c r="EY318" s="411">
        <v>2696268.3784444444</v>
      </c>
      <c r="EZ318" s="411">
        <v>3987180.345444445</v>
      </c>
      <c r="FA318" s="411">
        <v>3987180.345444445</v>
      </c>
      <c r="FB318" s="411">
        <v>3987180.345444445</v>
      </c>
      <c r="FC318" s="411">
        <v>3987180.345444445</v>
      </c>
      <c r="FD318" s="411">
        <v>3987180.345444445</v>
      </c>
      <c r="FE318" s="411">
        <v>3987180.345444445</v>
      </c>
      <c r="FF318" s="411">
        <f>SUM(ET318:FE318)</f>
        <v>39757359.010000005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v>45950724.162500009</v>
      </c>
      <c r="EU328" s="411">
        <v>45950724.162500009</v>
      </c>
      <c r="EV328" s="411">
        <v>45950724.162500009</v>
      </c>
      <c r="EW328" s="411">
        <v>45950724.162500009</v>
      </c>
      <c r="EX328" s="411">
        <v>45950724.162500009</v>
      </c>
      <c r="EY328" s="411">
        <v>45950724.162500009</v>
      </c>
      <c r="EZ328" s="411">
        <v>45950724.162500009</v>
      </c>
      <c r="FA328" s="411">
        <v>45950724.162500009</v>
      </c>
      <c r="FB328" s="411">
        <v>45950724.162500009</v>
      </c>
      <c r="FC328" s="411">
        <v>45950724.162500009</v>
      </c>
      <c r="FD328" s="411">
        <v>45950724.162500009</v>
      </c>
      <c r="FE328" s="411"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2">+SUM(CL330:CL336)</f>
        <v>5084083.333333333</v>
      </c>
      <c r="CM329" s="143">
        <f t="shared" si="102"/>
        <v>5084083.333333333</v>
      </c>
      <c r="CN329" s="143">
        <f t="shared" si="102"/>
        <v>5084083.333333333</v>
      </c>
      <c r="CO329" s="143">
        <f t="shared" si="102"/>
        <v>5084083.333333333</v>
      </c>
      <c r="CP329" s="143">
        <f t="shared" si="102"/>
        <v>5084083.333333333</v>
      </c>
      <c r="CQ329" s="143">
        <f t="shared" si="102"/>
        <v>5084083.333333333</v>
      </c>
      <c r="CR329" s="143">
        <f t="shared" si="102"/>
        <v>5084083.333333333</v>
      </c>
      <c r="CS329" s="143">
        <f t="shared" si="102"/>
        <v>5084083.333333333</v>
      </c>
      <c r="CT329" s="143">
        <f t="shared" si="102"/>
        <v>5084083.333333333</v>
      </c>
      <c r="CU329" s="143">
        <f t="shared" si="102"/>
        <v>5084083.333333333</v>
      </c>
      <c r="CV329" s="143">
        <f t="shared" si="102"/>
        <v>5084083.333333333</v>
      </c>
      <c r="CW329" s="144">
        <f t="shared" si="102"/>
        <v>5084083.333333333</v>
      </c>
      <c r="CX329" s="315">
        <f t="shared" si="102"/>
        <v>4887083.333333333</v>
      </c>
      <c r="CY329" s="318">
        <f t="shared" ref="CY329:DI329" si="103">+SUM(CY330:CY336)</f>
        <v>4887083.333333333</v>
      </c>
      <c r="CZ329" s="318">
        <f t="shared" si="103"/>
        <v>4887083.333333333</v>
      </c>
      <c r="DA329" s="318">
        <f t="shared" si="103"/>
        <v>4887083.333333333</v>
      </c>
      <c r="DB329" s="318">
        <f t="shared" si="103"/>
        <v>4887083.333333333</v>
      </c>
      <c r="DC329" s="318">
        <f t="shared" si="103"/>
        <v>4887083.333333333</v>
      </c>
      <c r="DD329" s="318">
        <f t="shared" si="103"/>
        <v>4887083.333333333</v>
      </c>
      <c r="DE329" s="318">
        <f t="shared" si="103"/>
        <v>4887083.333333333</v>
      </c>
      <c r="DF329" s="318">
        <f t="shared" si="103"/>
        <v>4887083.333333333</v>
      </c>
      <c r="DG329" s="318">
        <f t="shared" si="103"/>
        <v>4887083.333333333</v>
      </c>
      <c r="DH329" s="318">
        <f t="shared" si="103"/>
        <v>4887083.333333333</v>
      </c>
      <c r="DI329" s="316">
        <f t="shared" si="103"/>
        <v>4887083.333333333</v>
      </c>
      <c r="DJ329" s="142">
        <f>+SUM(DJ330:DJ336)</f>
        <v>5044218.75</v>
      </c>
      <c r="DK329" s="143">
        <f t="shared" ref="DK329:DU329" si="104">+SUM(DK330:DK336)</f>
        <v>5044218.75</v>
      </c>
      <c r="DL329" s="143">
        <f t="shared" si="104"/>
        <v>5044218.75</v>
      </c>
      <c r="DM329" s="143">
        <f t="shared" si="104"/>
        <v>5044218.75</v>
      </c>
      <c r="DN329" s="143">
        <f t="shared" si="104"/>
        <v>5044218.75</v>
      </c>
      <c r="DO329" s="143">
        <f t="shared" si="104"/>
        <v>5044218.75</v>
      </c>
      <c r="DP329" s="143">
        <f t="shared" si="104"/>
        <v>5044218.75</v>
      </c>
      <c r="DQ329" s="143">
        <f t="shared" si="104"/>
        <v>5044218.75</v>
      </c>
      <c r="DR329" s="143">
        <f t="shared" si="104"/>
        <v>5044218.75</v>
      </c>
      <c r="DS329" s="143">
        <f t="shared" si="104"/>
        <v>5044218.75</v>
      </c>
      <c r="DT329" s="143">
        <f t="shared" si="104"/>
        <v>5044218.75</v>
      </c>
      <c r="DU329" s="144">
        <f t="shared" si="104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5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6">+SUM(CL338:CL342)</f>
        <v>1280004.1666666665</v>
      </c>
      <c r="CM337" s="143">
        <f t="shared" si="106"/>
        <v>1280004.1666666665</v>
      </c>
      <c r="CN337" s="143">
        <f t="shared" si="106"/>
        <v>1280004.1666666665</v>
      </c>
      <c r="CO337" s="143">
        <f t="shared" si="106"/>
        <v>1280004.1666666665</v>
      </c>
      <c r="CP337" s="143">
        <f t="shared" si="106"/>
        <v>1280004.1666666665</v>
      </c>
      <c r="CQ337" s="143">
        <f t="shared" si="106"/>
        <v>1280004.1666666665</v>
      </c>
      <c r="CR337" s="143">
        <f t="shared" si="106"/>
        <v>1280004.1666666665</v>
      </c>
      <c r="CS337" s="143">
        <f t="shared" si="106"/>
        <v>1280004.1666666665</v>
      </c>
      <c r="CT337" s="143">
        <f t="shared" si="106"/>
        <v>1280004.1666666665</v>
      </c>
      <c r="CU337" s="143">
        <f t="shared" si="106"/>
        <v>1280004.1666666665</v>
      </c>
      <c r="CV337" s="143">
        <f t="shared" si="106"/>
        <v>1280004.1666666665</v>
      </c>
      <c r="CW337" s="144">
        <f t="shared" si="106"/>
        <v>1280004.1666666665</v>
      </c>
      <c r="CX337" s="315">
        <f t="shared" si="106"/>
        <v>1438177</v>
      </c>
      <c r="CY337" s="318">
        <f t="shared" ref="CY337:DI337" si="107">+SUM(CY338:CY342)</f>
        <v>1438177</v>
      </c>
      <c r="CZ337" s="318">
        <f t="shared" si="107"/>
        <v>1438177</v>
      </c>
      <c r="DA337" s="318">
        <f t="shared" si="107"/>
        <v>1438177</v>
      </c>
      <c r="DB337" s="318">
        <f t="shared" si="107"/>
        <v>1438177</v>
      </c>
      <c r="DC337" s="318">
        <f t="shared" si="107"/>
        <v>1438177</v>
      </c>
      <c r="DD337" s="318">
        <f t="shared" si="107"/>
        <v>1438177</v>
      </c>
      <c r="DE337" s="318">
        <f t="shared" si="107"/>
        <v>1438177</v>
      </c>
      <c r="DF337" s="318">
        <f t="shared" si="107"/>
        <v>1438177</v>
      </c>
      <c r="DG337" s="318">
        <f t="shared" si="107"/>
        <v>1438177</v>
      </c>
      <c r="DH337" s="318">
        <f t="shared" si="107"/>
        <v>1438177</v>
      </c>
      <c r="DI337" s="316">
        <f t="shared" si="107"/>
        <v>1438177</v>
      </c>
      <c r="DJ337" s="142">
        <f>+SUM(DJ338:DJ342)</f>
        <v>1620000</v>
      </c>
      <c r="DK337" s="143">
        <f t="shared" ref="DK337:DU337" si="108">+SUM(DK338:DK342)</f>
        <v>1620000</v>
      </c>
      <c r="DL337" s="143">
        <f t="shared" si="108"/>
        <v>1620000</v>
      </c>
      <c r="DM337" s="143">
        <f t="shared" si="108"/>
        <v>1620000</v>
      </c>
      <c r="DN337" s="143">
        <f t="shared" si="108"/>
        <v>1620000</v>
      </c>
      <c r="DO337" s="143">
        <f t="shared" si="108"/>
        <v>1620000</v>
      </c>
      <c r="DP337" s="143">
        <f t="shared" si="108"/>
        <v>1620000</v>
      </c>
      <c r="DQ337" s="143">
        <f t="shared" si="108"/>
        <v>1620000</v>
      </c>
      <c r="DR337" s="143">
        <f t="shared" si="108"/>
        <v>1620000</v>
      </c>
      <c r="DS337" s="143">
        <f t="shared" si="108"/>
        <v>1620000</v>
      </c>
      <c r="DT337" s="143">
        <f t="shared" si="108"/>
        <v>1620000</v>
      </c>
      <c r="DU337" s="144">
        <f t="shared" si="108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5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5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5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5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5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5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09">+SUM(CL344:CL350)</f>
        <v>33408639.758333333</v>
      </c>
      <c r="CM343" s="143">
        <f t="shared" si="109"/>
        <v>33408639.758333333</v>
      </c>
      <c r="CN343" s="143">
        <f t="shared" si="109"/>
        <v>33408639.758333333</v>
      </c>
      <c r="CO343" s="143">
        <f t="shared" si="109"/>
        <v>33408639.758333333</v>
      </c>
      <c r="CP343" s="143">
        <f t="shared" si="109"/>
        <v>33408639.758333333</v>
      </c>
      <c r="CQ343" s="143">
        <f t="shared" si="109"/>
        <v>33408639.758333333</v>
      </c>
      <c r="CR343" s="143">
        <f t="shared" si="109"/>
        <v>33408639.758333333</v>
      </c>
      <c r="CS343" s="143">
        <f t="shared" si="109"/>
        <v>33408639.758333333</v>
      </c>
      <c r="CT343" s="143">
        <f t="shared" si="109"/>
        <v>33408639.758333333</v>
      </c>
      <c r="CU343" s="143">
        <f t="shared" si="109"/>
        <v>33408639.758333333</v>
      </c>
      <c r="CV343" s="143">
        <f t="shared" si="109"/>
        <v>33408639.758333333</v>
      </c>
      <c r="CW343" s="144">
        <f t="shared" si="109"/>
        <v>33408639.758333333</v>
      </c>
      <c r="CX343" s="315">
        <f t="shared" si="109"/>
        <v>33110022.91416667</v>
      </c>
      <c r="CY343" s="318">
        <f t="shared" ref="CY343:DI343" si="110">+SUM(CY344:CY350)</f>
        <v>33110022.91416667</v>
      </c>
      <c r="CZ343" s="318">
        <f t="shared" si="110"/>
        <v>33110022.91416667</v>
      </c>
      <c r="DA343" s="318">
        <f t="shared" si="110"/>
        <v>33110022.91416667</v>
      </c>
      <c r="DB343" s="318">
        <f t="shared" si="110"/>
        <v>33110022.91416667</v>
      </c>
      <c r="DC343" s="318">
        <f t="shared" si="110"/>
        <v>33110022.91416667</v>
      </c>
      <c r="DD343" s="318">
        <f t="shared" si="110"/>
        <v>33110022.91416667</v>
      </c>
      <c r="DE343" s="318">
        <f t="shared" si="110"/>
        <v>33110022.91416667</v>
      </c>
      <c r="DF343" s="318">
        <f t="shared" si="110"/>
        <v>33110022.91416667</v>
      </c>
      <c r="DG343" s="318">
        <f t="shared" si="110"/>
        <v>33110022.91416667</v>
      </c>
      <c r="DH343" s="318">
        <f t="shared" si="110"/>
        <v>33110022.91416667</v>
      </c>
      <c r="DI343" s="316">
        <f t="shared" si="110"/>
        <v>33110022.91416667</v>
      </c>
      <c r="DJ343" s="142">
        <f>+SUM(DJ344:DJ350)</f>
        <v>33537908.333333332</v>
      </c>
      <c r="DK343" s="143">
        <f t="shared" ref="DK343:DU343" si="111">+SUM(DK344:DK350)</f>
        <v>33537908.333333332</v>
      </c>
      <c r="DL343" s="143">
        <f t="shared" si="111"/>
        <v>33537908.333333332</v>
      </c>
      <c r="DM343" s="143">
        <f t="shared" si="111"/>
        <v>33537908.333333332</v>
      </c>
      <c r="DN343" s="143">
        <f t="shared" si="111"/>
        <v>33537908.333333332</v>
      </c>
      <c r="DO343" s="143">
        <f t="shared" si="111"/>
        <v>33537908.333333332</v>
      </c>
      <c r="DP343" s="143">
        <f t="shared" si="111"/>
        <v>33537908.333333332</v>
      </c>
      <c r="DQ343" s="143">
        <f t="shared" si="111"/>
        <v>33537908.333333332</v>
      </c>
      <c r="DR343" s="143">
        <f t="shared" si="111"/>
        <v>33537908.333333332</v>
      </c>
      <c r="DS343" s="143">
        <f t="shared" si="111"/>
        <v>33537908.333333332</v>
      </c>
      <c r="DT343" s="143">
        <f t="shared" si="111"/>
        <v>33537908.333333332</v>
      </c>
      <c r="DU343" s="144">
        <f t="shared" si="111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5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5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5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2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2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2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2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2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3">+CL352</f>
        <v>1133333.3333333333</v>
      </c>
      <c r="CM351" s="143">
        <f t="shared" si="113"/>
        <v>1133333.3333333333</v>
      </c>
      <c r="CN351" s="143">
        <f t="shared" si="113"/>
        <v>1133333.3333333333</v>
      </c>
      <c r="CO351" s="143">
        <f t="shared" si="113"/>
        <v>1133333.3333333333</v>
      </c>
      <c r="CP351" s="143">
        <f t="shared" si="113"/>
        <v>1133333.3333333333</v>
      </c>
      <c r="CQ351" s="143">
        <f t="shared" si="113"/>
        <v>1133333.3333333333</v>
      </c>
      <c r="CR351" s="143">
        <f t="shared" si="113"/>
        <v>1133333.3333333333</v>
      </c>
      <c r="CS351" s="143">
        <f t="shared" si="113"/>
        <v>1133333.3333333333</v>
      </c>
      <c r="CT351" s="143">
        <f t="shared" si="113"/>
        <v>1133333.3333333333</v>
      </c>
      <c r="CU351" s="143">
        <f t="shared" si="113"/>
        <v>1133333.3333333333</v>
      </c>
      <c r="CV351" s="143">
        <f t="shared" si="113"/>
        <v>1133333.3333333333</v>
      </c>
      <c r="CW351" s="144">
        <f t="shared" si="113"/>
        <v>1133333.3333333333</v>
      </c>
      <c r="CX351" s="315">
        <f t="shared" si="113"/>
        <v>1208333.3333333333</v>
      </c>
      <c r="CY351" s="318">
        <f t="shared" ref="CY351:DI351" si="114">+CY352</f>
        <v>1208333.3333333333</v>
      </c>
      <c r="CZ351" s="318">
        <f t="shared" si="114"/>
        <v>1208333.3333333333</v>
      </c>
      <c r="DA351" s="318">
        <f t="shared" si="114"/>
        <v>1208333.3333333333</v>
      </c>
      <c r="DB351" s="318">
        <f t="shared" si="114"/>
        <v>1208333.3333333333</v>
      </c>
      <c r="DC351" s="318">
        <f t="shared" si="114"/>
        <v>1208333.3333333333</v>
      </c>
      <c r="DD351" s="318">
        <f t="shared" si="114"/>
        <v>1208333.3333333333</v>
      </c>
      <c r="DE351" s="318">
        <f t="shared" si="114"/>
        <v>1208333.3333333333</v>
      </c>
      <c r="DF351" s="318">
        <f t="shared" si="114"/>
        <v>1208333.3333333333</v>
      </c>
      <c r="DG351" s="318">
        <f t="shared" si="114"/>
        <v>1208333.3333333333</v>
      </c>
      <c r="DH351" s="318">
        <f t="shared" si="114"/>
        <v>1208333.3333333333</v>
      </c>
      <c r="DI351" s="316">
        <f t="shared" si="114"/>
        <v>1208333.3333333333</v>
      </c>
      <c r="DJ351" s="142">
        <f>+DJ352</f>
        <v>1250000</v>
      </c>
      <c r="DK351" s="143">
        <f t="shared" ref="DK351:DU351" si="115">+DK352</f>
        <v>1250000</v>
      </c>
      <c r="DL351" s="143">
        <f t="shared" si="115"/>
        <v>1250000</v>
      </c>
      <c r="DM351" s="143">
        <f t="shared" si="115"/>
        <v>1250000</v>
      </c>
      <c r="DN351" s="143">
        <f t="shared" si="115"/>
        <v>1250000</v>
      </c>
      <c r="DO351" s="143">
        <f t="shared" si="115"/>
        <v>1250000</v>
      </c>
      <c r="DP351" s="143">
        <f t="shared" si="115"/>
        <v>1250000</v>
      </c>
      <c r="DQ351" s="143">
        <f t="shared" si="115"/>
        <v>1250000</v>
      </c>
      <c r="DR351" s="143">
        <f t="shared" si="115"/>
        <v>1250000</v>
      </c>
      <c r="DS351" s="143">
        <f t="shared" si="115"/>
        <v>1250000</v>
      </c>
      <c r="DT351" s="143">
        <f t="shared" si="115"/>
        <v>1250000</v>
      </c>
      <c r="DU351" s="144">
        <f t="shared" si="115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2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2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6">+SUM(CL354:CL356)</f>
        <v>583333.33333333326</v>
      </c>
      <c r="CM353" s="143">
        <f t="shared" si="116"/>
        <v>583333.33333333326</v>
      </c>
      <c r="CN353" s="143">
        <f t="shared" si="116"/>
        <v>583333.33333333326</v>
      </c>
      <c r="CO353" s="143">
        <f t="shared" si="116"/>
        <v>583333.33333333326</v>
      </c>
      <c r="CP353" s="143">
        <f t="shared" si="116"/>
        <v>583333.33333333326</v>
      </c>
      <c r="CQ353" s="143">
        <f t="shared" si="116"/>
        <v>583333.33333333326</v>
      </c>
      <c r="CR353" s="143">
        <f t="shared" si="116"/>
        <v>583333.33333333326</v>
      </c>
      <c r="CS353" s="143">
        <f t="shared" si="116"/>
        <v>583333.33333333326</v>
      </c>
      <c r="CT353" s="143">
        <f t="shared" si="116"/>
        <v>583333.33333333326</v>
      </c>
      <c r="CU353" s="143">
        <f t="shared" si="116"/>
        <v>583333.33333333326</v>
      </c>
      <c r="CV353" s="143">
        <f t="shared" si="116"/>
        <v>583333.33333333326</v>
      </c>
      <c r="CW353" s="144">
        <f t="shared" si="116"/>
        <v>583333.33333333326</v>
      </c>
      <c r="CX353" s="315">
        <f t="shared" si="116"/>
        <v>583333.33333333326</v>
      </c>
      <c r="CY353" s="318">
        <f t="shared" ref="CY353:DI353" si="117">+SUM(CY354:CY356)</f>
        <v>583333.33333333326</v>
      </c>
      <c r="CZ353" s="318">
        <f t="shared" si="117"/>
        <v>583333.33333333326</v>
      </c>
      <c r="DA353" s="318">
        <f t="shared" si="117"/>
        <v>583333.33333333326</v>
      </c>
      <c r="DB353" s="318">
        <f t="shared" si="117"/>
        <v>583333.33333333326</v>
      </c>
      <c r="DC353" s="318">
        <f t="shared" si="117"/>
        <v>583333.33333333326</v>
      </c>
      <c r="DD353" s="318">
        <f t="shared" si="117"/>
        <v>583333.33333333326</v>
      </c>
      <c r="DE353" s="318">
        <f t="shared" si="117"/>
        <v>583333.33333333326</v>
      </c>
      <c r="DF353" s="318">
        <f t="shared" si="117"/>
        <v>583333.33333333326</v>
      </c>
      <c r="DG353" s="318">
        <f t="shared" si="117"/>
        <v>583333.33333333326</v>
      </c>
      <c r="DH353" s="318">
        <f t="shared" si="117"/>
        <v>583333.33333333326</v>
      </c>
      <c r="DI353" s="316">
        <f t="shared" si="117"/>
        <v>583333.33333333326</v>
      </c>
      <c r="DJ353" s="142">
        <f>+SUM(DJ354:DJ356)</f>
        <v>618333.33333333326</v>
      </c>
      <c r="DK353" s="143">
        <f t="shared" ref="DK353:DU353" si="118">+SUM(DK354:DK356)</f>
        <v>618333.33333333326</v>
      </c>
      <c r="DL353" s="143">
        <f t="shared" si="118"/>
        <v>618333.33333333326</v>
      </c>
      <c r="DM353" s="143">
        <f t="shared" si="118"/>
        <v>618333.33333333326</v>
      </c>
      <c r="DN353" s="143">
        <f t="shared" si="118"/>
        <v>618333.33333333326</v>
      </c>
      <c r="DO353" s="143">
        <f t="shared" si="118"/>
        <v>618333.33333333326</v>
      </c>
      <c r="DP353" s="143">
        <f t="shared" si="118"/>
        <v>618333.33333333326</v>
      </c>
      <c r="DQ353" s="143">
        <f t="shared" si="118"/>
        <v>618333.33333333326</v>
      </c>
      <c r="DR353" s="143">
        <f t="shared" si="118"/>
        <v>618333.33333333326</v>
      </c>
      <c r="DS353" s="143">
        <f t="shared" si="118"/>
        <v>618333.33333333326</v>
      </c>
      <c r="DT353" s="143">
        <f t="shared" si="118"/>
        <v>618333.33333333326</v>
      </c>
      <c r="DU353" s="144">
        <f t="shared" si="118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2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2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2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2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19">+CL358+CL368</f>
        <v>7656724.8525</v>
      </c>
      <c r="CM357" s="143">
        <f t="shared" si="119"/>
        <v>7656724.8525</v>
      </c>
      <c r="CN357" s="143">
        <f t="shared" si="119"/>
        <v>7656724.8525</v>
      </c>
      <c r="CO357" s="143">
        <f t="shared" si="119"/>
        <v>7656724.8525</v>
      </c>
      <c r="CP357" s="143">
        <f t="shared" si="119"/>
        <v>7656724.8525</v>
      </c>
      <c r="CQ357" s="143">
        <f t="shared" si="119"/>
        <v>7656724.8525</v>
      </c>
      <c r="CR357" s="143">
        <f t="shared" si="119"/>
        <v>7656724.8525</v>
      </c>
      <c r="CS357" s="143">
        <f t="shared" si="119"/>
        <v>7656724.8525</v>
      </c>
      <c r="CT357" s="143">
        <f t="shared" si="119"/>
        <v>7656724.8525</v>
      </c>
      <c r="CU357" s="143">
        <f t="shared" si="119"/>
        <v>7656724.8525</v>
      </c>
      <c r="CV357" s="143">
        <f t="shared" si="119"/>
        <v>7656724.8525</v>
      </c>
      <c r="CW357" s="144">
        <f t="shared" si="119"/>
        <v>7656724.8525</v>
      </c>
      <c r="CX357" s="315">
        <f t="shared" si="119"/>
        <v>8288399.6951821186</v>
      </c>
      <c r="CY357" s="318">
        <f t="shared" ref="CY357:DH357" si="120">+CY358+CY368</f>
        <v>8288399.6951821186</v>
      </c>
      <c r="CZ357" s="318">
        <f t="shared" si="120"/>
        <v>8288399.6951821186</v>
      </c>
      <c r="DA357" s="318">
        <f t="shared" si="120"/>
        <v>8288399.6951821186</v>
      </c>
      <c r="DB357" s="318">
        <f t="shared" si="120"/>
        <v>8288399.6951821186</v>
      </c>
      <c r="DC357" s="318">
        <f t="shared" si="120"/>
        <v>8288399.6951821186</v>
      </c>
      <c r="DD357" s="318">
        <f t="shared" si="120"/>
        <v>8288399.6951821186</v>
      </c>
      <c r="DE357" s="318">
        <f t="shared" si="120"/>
        <v>8288399.6951821186</v>
      </c>
      <c r="DF357" s="318">
        <f t="shared" si="120"/>
        <v>8288399.6951821186</v>
      </c>
      <c r="DG357" s="318">
        <f t="shared" si="120"/>
        <v>8288399.6951821186</v>
      </c>
      <c r="DH357" s="318">
        <f t="shared" si="120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1">+DK358+DK368</f>
        <v>10691224.718333334</v>
      </c>
      <c r="DL357" s="143">
        <f t="shared" si="121"/>
        <v>10691224.718333334</v>
      </c>
      <c r="DM357" s="143">
        <f t="shared" si="121"/>
        <v>10691224.718333334</v>
      </c>
      <c r="DN357" s="143">
        <f t="shared" si="121"/>
        <v>10691224.718333334</v>
      </c>
      <c r="DO357" s="143">
        <f t="shared" si="121"/>
        <v>10691224.718333334</v>
      </c>
      <c r="DP357" s="143">
        <f t="shared" si="121"/>
        <v>10691224.718333334</v>
      </c>
      <c r="DQ357" s="143">
        <f t="shared" si="121"/>
        <v>10691224.718333334</v>
      </c>
      <c r="DR357" s="143">
        <f t="shared" si="121"/>
        <v>10691224.718333334</v>
      </c>
      <c r="DS357" s="143">
        <f t="shared" si="121"/>
        <v>10691224.718333334</v>
      </c>
      <c r="DT357" s="143">
        <f t="shared" si="121"/>
        <v>10691224.718333334</v>
      </c>
      <c r="DU357" s="144">
        <f t="shared" si="121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v>15295211.558333334</v>
      </c>
      <c r="EU357" s="411">
        <v>15295211.558333334</v>
      </c>
      <c r="EV357" s="411">
        <v>15295211.558333334</v>
      </c>
      <c r="EW357" s="411">
        <v>18161878.224999998</v>
      </c>
      <c r="EX357" s="411">
        <v>18161878.224999998</v>
      </c>
      <c r="EY357" s="411">
        <v>18161878.224999998</v>
      </c>
      <c r="EZ357" s="411">
        <v>15295211.558333334</v>
      </c>
      <c r="FA357" s="411">
        <v>15295211.558333334</v>
      </c>
      <c r="FB357" s="411">
        <v>15295211.558333334</v>
      </c>
      <c r="FC357" s="411">
        <v>15295211.558333334</v>
      </c>
      <c r="FD357" s="411">
        <v>15295211.558333334</v>
      </c>
      <c r="FE357" s="411">
        <v>15295211.558333334</v>
      </c>
      <c r="FF357" s="411">
        <f>SUM(ET357:FE357)</f>
        <v>192142538.69999999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2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2">+SUM(CL359:CL367)</f>
        <v>7635891.519166667</v>
      </c>
      <c r="CM358" s="143">
        <f t="shared" si="122"/>
        <v>7635891.519166667</v>
      </c>
      <c r="CN358" s="143">
        <f t="shared" si="122"/>
        <v>7635891.519166667</v>
      </c>
      <c r="CO358" s="143">
        <f t="shared" si="122"/>
        <v>7635891.519166667</v>
      </c>
      <c r="CP358" s="143">
        <f t="shared" si="122"/>
        <v>7635891.519166667</v>
      </c>
      <c r="CQ358" s="143">
        <f t="shared" si="122"/>
        <v>7635891.519166667</v>
      </c>
      <c r="CR358" s="143">
        <f t="shared" si="122"/>
        <v>7635891.519166667</v>
      </c>
      <c r="CS358" s="143">
        <f t="shared" si="122"/>
        <v>7635891.519166667</v>
      </c>
      <c r="CT358" s="143">
        <f t="shared" si="122"/>
        <v>7635891.519166667</v>
      </c>
      <c r="CU358" s="143">
        <f t="shared" si="122"/>
        <v>7635891.519166667</v>
      </c>
      <c r="CV358" s="143">
        <f t="shared" si="122"/>
        <v>7635891.519166667</v>
      </c>
      <c r="CW358" s="144">
        <f t="shared" si="122"/>
        <v>7635891.519166667</v>
      </c>
      <c r="CX358" s="315">
        <f t="shared" si="122"/>
        <v>8102373.0414896114</v>
      </c>
      <c r="CY358" s="318">
        <f t="shared" ref="CY358:DI358" si="123">+SUM(CY359:CY367)</f>
        <v>8102373.0414896114</v>
      </c>
      <c r="CZ358" s="318">
        <f t="shared" si="123"/>
        <v>8102373.0414896114</v>
      </c>
      <c r="DA358" s="318">
        <f t="shared" si="123"/>
        <v>8102373.0414896114</v>
      </c>
      <c r="DB358" s="318">
        <f t="shared" si="123"/>
        <v>8102373.0414896114</v>
      </c>
      <c r="DC358" s="318">
        <f t="shared" si="123"/>
        <v>8102373.0414896114</v>
      </c>
      <c r="DD358" s="318">
        <f t="shared" si="123"/>
        <v>8102373.0414896114</v>
      </c>
      <c r="DE358" s="318">
        <f t="shared" si="123"/>
        <v>8102373.0414896114</v>
      </c>
      <c r="DF358" s="318">
        <f t="shared" si="123"/>
        <v>8102373.0414896114</v>
      </c>
      <c r="DG358" s="318">
        <f t="shared" si="123"/>
        <v>8102373.0414896114</v>
      </c>
      <c r="DH358" s="318">
        <f t="shared" si="123"/>
        <v>8102373.0414896114</v>
      </c>
      <c r="DI358" s="316">
        <f t="shared" si="123"/>
        <v>8101624.3214896088</v>
      </c>
      <c r="DJ358" s="142">
        <f>+SUM(DJ359:DJ367)</f>
        <v>10655599.718333334</v>
      </c>
      <c r="DK358" s="143">
        <f t="shared" ref="DK358:DU358" si="124">+SUM(DK359:DK367)</f>
        <v>10655599.718333334</v>
      </c>
      <c r="DL358" s="143">
        <f t="shared" si="124"/>
        <v>10655599.718333334</v>
      </c>
      <c r="DM358" s="143">
        <f t="shared" si="124"/>
        <v>10655599.718333334</v>
      </c>
      <c r="DN358" s="143">
        <f t="shared" si="124"/>
        <v>10655599.718333334</v>
      </c>
      <c r="DO358" s="143">
        <f t="shared" si="124"/>
        <v>10655599.718333334</v>
      </c>
      <c r="DP358" s="143">
        <f t="shared" si="124"/>
        <v>10655599.718333334</v>
      </c>
      <c r="DQ358" s="143">
        <f t="shared" si="124"/>
        <v>10655599.718333334</v>
      </c>
      <c r="DR358" s="143">
        <f t="shared" si="124"/>
        <v>10655599.718333334</v>
      </c>
      <c r="DS358" s="143">
        <f t="shared" si="124"/>
        <v>10655599.718333334</v>
      </c>
      <c r="DT358" s="143">
        <f t="shared" si="124"/>
        <v>10655599.718333334</v>
      </c>
      <c r="DU358" s="144">
        <f t="shared" si="124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17677211.833333332</v>
      </c>
      <c r="EX358" s="411">
        <v>17677211.833333332</v>
      </c>
      <c r="EY358" s="411">
        <v>17677211.833333332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186326541.99999997</v>
      </c>
    </row>
    <row r="359" spans="1:162">
      <c r="D359" s="74" t="str">
        <f t="shared" si="112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2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2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2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2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2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2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2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2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2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5">+SUM(CL369:CL374)</f>
        <v>20833.333333333332</v>
      </c>
      <c r="CM368" s="143">
        <f t="shared" si="125"/>
        <v>20833.333333333332</v>
      </c>
      <c r="CN368" s="143">
        <f t="shared" si="125"/>
        <v>20833.333333333332</v>
      </c>
      <c r="CO368" s="143">
        <f t="shared" si="125"/>
        <v>20833.333333333332</v>
      </c>
      <c r="CP368" s="143">
        <f t="shared" si="125"/>
        <v>20833.333333333332</v>
      </c>
      <c r="CQ368" s="143">
        <f t="shared" si="125"/>
        <v>20833.333333333332</v>
      </c>
      <c r="CR368" s="143">
        <f t="shared" si="125"/>
        <v>20833.333333333332</v>
      </c>
      <c r="CS368" s="143">
        <f t="shared" si="125"/>
        <v>20833.333333333332</v>
      </c>
      <c r="CT368" s="143">
        <f t="shared" si="125"/>
        <v>20833.333333333332</v>
      </c>
      <c r="CU368" s="143">
        <f t="shared" si="125"/>
        <v>20833.333333333332</v>
      </c>
      <c r="CV368" s="143">
        <f t="shared" si="125"/>
        <v>20833.333333333332</v>
      </c>
      <c r="CW368" s="144">
        <f t="shared" si="125"/>
        <v>20833.333333333332</v>
      </c>
      <c r="CX368" s="315">
        <f t="shared" si="125"/>
        <v>186026.65369250745</v>
      </c>
      <c r="CY368" s="318">
        <f t="shared" ref="CY368:DI368" si="126">+SUM(CY369:CY374)</f>
        <v>186026.65369250745</v>
      </c>
      <c r="CZ368" s="318">
        <f t="shared" si="126"/>
        <v>186026.65369250745</v>
      </c>
      <c r="DA368" s="318">
        <f t="shared" si="126"/>
        <v>186026.65369250745</v>
      </c>
      <c r="DB368" s="318">
        <f t="shared" si="126"/>
        <v>186026.65369250745</v>
      </c>
      <c r="DC368" s="318">
        <f t="shared" si="126"/>
        <v>186026.65369250745</v>
      </c>
      <c r="DD368" s="318">
        <f t="shared" si="126"/>
        <v>186026.65369250745</v>
      </c>
      <c r="DE368" s="318">
        <f t="shared" si="126"/>
        <v>186026.65369250745</v>
      </c>
      <c r="DF368" s="318">
        <f t="shared" si="126"/>
        <v>186026.65369250745</v>
      </c>
      <c r="DG368" s="318">
        <f t="shared" si="126"/>
        <v>186026.65369250745</v>
      </c>
      <c r="DH368" s="318">
        <f t="shared" si="126"/>
        <v>186026.65369250745</v>
      </c>
      <c r="DI368" s="316">
        <f t="shared" si="126"/>
        <v>186026.65369250745</v>
      </c>
      <c r="DJ368" s="142">
        <f>+SUM(DJ369:DJ374)</f>
        <v>35625</v>
      </c>
      <c r="DK368" s="143">
        <f t="shared" ref="DK368:DU368" si="127">+SUM(DK369:DK374)</f>
        <v>35625</v>
      </c>
      <c r="DL368" s="143">
        <f t="shared" si="127"/>
        <v>35625</v>
      </c>
      <c r="DM368" s="143">
        <f t="shared" si="127"/>
        <v>35625</v>
      </c>
      <c r="DN368" s="143">
        <f t="shared" si="127"/>
        <v>35625</v>
      </c>
      <c r="DO368" s="143">
        <f t="shared" si="127"/>
        <v>35625</v>
      </c>
      <c r="DP368" s="143">
        <f t="shared" si="127"/>
        <v>35625</v>
      </c>
      <c r="DQ368" s="143">
        <f t="shared" si="127"/>
        <v>35625</v>
      </c>
      <c r="DR368" s="143">
        <f t="shared" si="127"/>
        <v>35625</v>
      </c>
      <c r="DS368" s="143">
        <f t="shared" si="127"/>
        <v>35625</v>
      </c>
      <c r="DT368" s="143">
        <f t="shared" si="127"/>
        <v>35625</v>
      </c>
      <c r="DU368" s="144">
        <f t="shared" si="127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2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2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2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2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2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2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2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27490416.670000002</v>
      </c>
      <c r="FE375" s="411">
        <v>27490416.66</v>
      </c>
      <c r="FF375" s="411">
        <f>SUM(ET375:FE375)</f>
        <v>291774999.99666667</v>
      </c>
    </row>
    <row r="376" spans="1:162" s="9" customFormat="1" ht="30">
      <c r="A376" s="140"/>
      <c r="B376" s="140"/>
      <c r="C376" s="140">
        <v>441</v>
      </c>
      <c r="D376" s="140" t="str">
        <f t="shared" si="112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28">+SUM(CL377:CL385)</f>
        <v>5664403.9874999989</v>
      </c>
      <c r="CM376" s="143">
        <f t="shared" si="128"/>
        <v>5664403.9874999989</v>
      </c>
      <c r="CN376" s="143">
        <f t="shared" si="128"/>
        <v>5664403.9874999989</v>
      </c>
      <c r="CO376" s="143">
        <f t="shared" si="128"/>
        <v>5664403.9874999989</v>
      </c>
      <c r="CP376" s="143">
        <f t="shared" si="128"/>
        <v>5664403.9874999989</v>
      </c>
      <c r="CQ376" s="143">
        <f t="shared" si="128"/>
        <v>5664403.9874999989</v>
      </c>
      <c r="CR376" s="143">
        <f t="shared" si="128"/>
        <v>5664403.9874999989</v>
      </c>
      <c r="CS376" s="143">
        <f t="shared" si="128"/>
        <v>5664403.9874999989</v>
      </c>
      <c r="CT376" s="143">
        <f t="shared" si="128"/>
        <v>5664403.9874999989</v>
      </c>
      <c r="CU376" s="143">
        <f t="shared" si="128"/>
        <v>5664403.9874999989</v>
      </c>
      <c r="CV376" s="143">
        <f t="shared" si="128"/>
        <v>5664403.9874999989</v>
      </c>
      <c r="CW376" s="144">
        <f t="shared" si="128"/>
        <v>5664403.9874999989</v>
      </c>
      <c r="CX376" s="315">
        <f t="shared" si="128"/>
        <v>862330.27666666661</v>
      </c>
      <c r="CY376" s="318">
        <f t="shared" ref="CY376:DI376" si="129">+SUM(CY377:CY385)</f>
        <v>862330.27666666661</v>
      </c>
      <c r="CZ376" s="318">
        <f t="shared" si="129"/>
        <v>862330.27666666661</v>
      </c>
      <c r="DA376" s="318">
        <f t="shared" si="129"/>
        <v>862330.27666666661</v>
      </c>
      <c r="DB376" s="318">
        <f t="shared" si="129"/>
        <v>862330.27666666661</v>
      </c>
      <c r="DC376" s="318">
        <f t="shared" si="129"/>
        <v>862330.27666666661</v>
      </c>
      <c r="DD376" s="318">
        <f t="shared" si="129"/>
        <v>862330.27666666661</v>
      </c>
      <c r="DE376" s="318">
        <f t="shared" si="129"/>
        <v>862330.27666666661</v>
      </c>
      <c r="DF376" s="318">
        <f t="shared" si="129"/>
        <v>862330.27666666661</v>
      </c>
      <c r="DG376" s="318">
        <f t="shared" si="129"/>
        <v>862330.27666666661</v>
      </c>
      <c r="DH376" s="318">
        <f t="shared" si="129"/>
        <v>862330.27666666661</v>
      </c>
      <c r="DI376" s="316">
        <f t="shared" si="129"/>
        <v>862330.27666666661</v>
      </c>
      <c r="DJ376" s="142">
        <f>+SUM(DJ377:DJ385)</f>
        <v>1154156.4341666666</v>
      </c>
      <c r="DK376" s="143">
        <f t="shared" ref="DK376:DU376" si="130">+SUM(DK377:DK385)</f>
        <v>1154156.4341666666</v>
      </c>
      <c r="DL376" s="143">
        <f t="shared" si="130"/>
        <v>1154156.4341666666</v>
      </c>
      <c r="DM376" s="143">
        <f t="shared" si="130"/>
        <v>1154156.4341666666</v>
      </c>
      <c r="DN376" s="143">
        <f t="shared" si="130"/>
        <v>1154156.4341666666</v>
      </c>
      <c r="DO376" s="143">
        <f t="shared" si="130"/>
        <v>1154156.4341666666</v>
      </c>
      <c r="DP376" s="143">
        <f t="shared" si="130"/>
        <v>1154156.4341666666</v>
      </c>
      <c r="DQ376" s="143">
        <f t="shared" si="130"/>
        <v>1154156.4341666666</v>
      </c>
      <c r="DR376" s="143">
        <f t="shared" si="130"/>
        <v>1154156.4341666666</v>
      </c>
      <c r="DS376" s="143">
        <f t="shared" si="130"/>
        <v>1154156.4341666666</v>
      </c>
      <c r="DT376" s="143">
        <f t="shared" si="130"/>
        <v>1154156.4341666666</v>
      </c>
      <c r="DU376" s="144">
        <f t="shared" si="130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f>73522124.29-EX384</f>
        <v>3522124.2900000066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50031864.415333346</v>
      </c>
    </row>
    <row r="377" spans="1:162" ht="30">
      <c r="D377" s="74" t="str">
        <f t="shared" si="112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2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2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2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2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2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2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2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  <c r="EX384" s="411">
        <v>70000000</v>
      </c>
    </row>
    <row r="385" spans="1:162">
      <c r="D385" s="74" t="str">
        <f t="shared" si="112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2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1">+CM387</f>
        <v>143333.33333333334</v>
      </c>
      <c r="CN386" s="143">
        <f t="shared" si="131"/>
        <v>143333.33333333334</v>
      </c>
      <c r="CO386" s="143">
        <f t="shared" si="131"/>
        <v>143333.33333333334</v>
      </c>
      <c r="CP386" s="143">
        <f t="shared" si="131"/>
        <v>143333.33333333334</v>
      </c>
      <c r="CQ386" s="143">
        <f t="shared" si="131"/>
        <v>143333.33333333334</v>
      </c>
      <c r="CR386" s="143">
        <f t="shared" si="131"/>
        <v>143333.33333333334</v>
      </c>
      <c r="CS386" s="143">
        <f t="shared" si="131"/>
        <v>143333.33333333334</v>
      </c>
      <c r="CT386" s="143">
        <f t="shared" si="131"/>
        <v>143333.33333333334</v>
      </c>
      <c r="CU386" s="143">
        <f t="shared" si="131"/>
        <v>143333.33333333334</v>
      </c>
      <c r="CV386" s="143">
        <f t="shared" si="131"/>
        <v>143333.33333333334</v>
      </c>
      <c r="CW386" s="144">
        <f t="shared" si="131"/>
        <v>143333.33333333334</v>
      </c>
      <c r="CX386" s="315">
        <f t="shared" si="131"/>
        <v>178333.33333333334</v>
      </c>
      <c r="CY386" s="318">
        <f t="shared" si="131"/>
        <v>178333.33333333334</v>
      </c>
      <c r="CZ386" s="318">
        <f t="shared" si="131"/>
        <v>178333.33333333334</v>
      </c>
      <c r="DA386" s="318">
        <f t="shared" si="131"/>
        <v>178333.33333333334</v>
      </c>
      <c r="DB386" s="318">
        <f t="shared" si="131"/>
        <v>178333.33333333334</v>
      </c>
      <c r="DC386" s="318">
        <f t="shared" si="131"/>
        <v>178333.33333333334</v>
      </c>
      <c r="DD386" s="318">
        <f t="shared" si="131"/>
        <v>178333.33333333334</v>
      </c>
      <c r="DE386" s="318">
        <f t="shared" si="131"/>
        <v>178333.33333333334</v>
      </c>
      <c r="DF386" s="318">
        <f t="shared" si="131"/>
        <v>178333.33333333334</v>
      </c>
      <c r="DG386" s="318">
        <f t="shared" si="131"/>
        <v>178333.33333333334</v>
      </c>
      <c r="DH386" s="318">
        <f t="shared" si="131"/>
        <v>178333.33333333334</v>
      </c>
      <c r="DI386" s="316">
        <f t="shared" si="131"/>
        <v>178333.33333333334</v>
      </c>
      <c r="DJ386" s="142">
        <f>+DJ387</f>
        <v>187500</v>
      </c>
      <c r="DK386" s="143">
        <f t="shared" ref="DK386:DU386" si="132">+DK387</f>
        <v>187500</v>
      </c>
      <c r="DL386" s="143">
        <f t="shared" si="132"/>
        <v>187500</v>
      </c>
      <c r="DM386" s="143">
        <f t="shared" si="132"/>
        <v>187500</v>
      </c>
      <c r="DN386" s="143">
        <f t="shared" si="132"/>
        <v>187500</v>
      </c>
      <c r="DO386" s="143">
        <f t="shared" si="132"/>
        <v>187500</v>
      </c>
      <c r="DP386" s="143">
        <f t="shared" si="132"/>
        <v>187500</v>
      </c>
      <c r="DQ386" s="143">
        <f t="shared" si="132"/>
        <v>187500</v>
      </c>
      <c r="DR386" s="143">
        <f t="shared" si="132"/>
        <v>187500</v>
      </c>
      <c r="DS386" s="143">
        <f t="shared" si="132"/>
        <v>187500</v>
      </c>
      <c r="DT386" s="143">
        <f t="shared" si="132"/>
        <v>187500</v>
      </c>
      <c r="DU386" s="144">
        <f t="shared" si="132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2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3">++SUM(CM388:CM392)</f>
        <v>143333.33333333334</v>
      </c>
      <c r="CN387" s="105">
        <f t="shared" si="133"/>
        <v>143333.33333333334</v>
      </c>
      <c r="CO387" s="105">
        <f t="shared" si="133"/>
        <v>143333.33333333334</v>
      </c>
      <c r="CP387" s="105">
        <f t="shared" si="133"/>
        <v>143333.33333333334</v>
      </c>
      <c r="CQ387" s="105">
        <f t="shared" si="133"/>
        <v>143333.33333333334</v>
      </c>
      <c r="CR387" s="105">
        <f t="shared" si="133"/>
        <v>143333.33333333334</v>
      </c>
      <c r="CS387" s="105">
        <f t="shared" si="133"/>
        <v>143333.33333333334</v>
      </c>
      <c r="CT387" s="105">
        <f t="shared" si="133"/>
        <v>143333.33333333334</v>
      </c>
      <c r="CU387" s="105">
        <f t="shared" si="133"/>
        <v>143333.33333333334</v>
      </c>
      <c r="CV387" s="105">
        <f t="shared" si="133"/>
        <v>143333.33333333334</v>
      </c>
      <c r="CW387" s="106">
        <f t="shared" si="133"/>
        <v>143333.33333333334</v>
      </c>
      <c r="CX387" s="314">
        <f t="shared" si="133"/>
        <v>178333.33333333334</v>
      </c>
      <c r="CY387" s="317">
        <f t="shared" si="133"/>
        <v>178333.33333333334</v>
      </c>
      <c r="CZ387" s="317">
        <f t="shared" si="133"/>
        <v>178333.33333333334</v>
      </c>
      <c r="DA387" s="317">
        <f t="shared" si="133"/>
        <v>178333.33333333334</v>
      </c>
      <c r="DB387" s="317">
        <f t="shared" si="133"/>
        <v>178333.33333333334</v>
      </c>
      <c r="DC387" s="317">
        <f t="shared" si="133"/>
        <v>178333.33333333334</v>
      </c>
      <c r="DD387" s="317">
        <f t="shared" si="133"/>
        <v>178333.33333333334</v>
      </c>
      <c r="DE387" s="317">
        <f t="shared" si="133"/>
        <v>178333.33333333334</v>
      </c>
      <c r="DF387" s="317">
        <f t="shared" si="133"/>
        <v>178333.33333333334</v>
      </c>
      <c r="DG387" s="317">
        <f t="shared" si="133"/>
        <v>178333.33333333334</v>
      </c>
      <c r="DH387" s="317">
        <f t="shared" si="133"/>
        <v>178333.33333333334</v>
      </c>
      <c r="DI387" s="313">
        <f t="shared" si="133"/>
        <v>178333.33333333334</v>
      </c>
      <c r="DJ387" s="104">
        <f>+SUM(DJ388:DJ392)</f>
        <v>187500</v>
      </c>
      <c r="DK387" s="105">
        <f t="shared" ref="DK387:DU387" si="134">+SUM(DK388:DK392)</f>
        <v>187500</v>
      </c>
      <c r="DL387" s="105">
        <f t="shared" si="134"/>
        <v>187500</v>
      </c>
      <c r="DM387" s="105">
        <f t="shared" si="134"/>
        <v>187500</v>
      </c>
      <c r="DN387" s="105">
        <f t="shared" si="134"/>
        <v>187500</v>
      </c>
      <c r="DO387" s="105">
        <f t="shared" si="134"/>
        <v>187500</v>
      </c>
      <c r="DP387" s="105">
        <f t="shared" si="134"/>
        <v>187500</v>
      </c>
      <c r="DQ387" s="105">
        <f t="shared" si="134"/>
        <v>187500</v>
      </c>
      <c r="DR387" s="105">
        <f t="shared" si="134"/>
        <v>187500</v>
      </c>
      <c r="DS387" s="105">
        <f t="shared" si="134"/>
        <v>187500</v>
      </c>
      <c r="DT387" s="105">
        <f t="shared" si="134"/>
        <v>187500</v>
      </c>
      <c r="DU387" s="106">
        <f t="shared" si="134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2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2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2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2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2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2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5">+CL394+CL397+CL400</f>
        <v>9889761</v>
      </c>
      <c r="CM393" s="143">
        <f t="shared" si="135"/>
        <v>9889761</v>
      </c>
      <c r="CN393" s="143">
        <f t="shared" si="135"/>
        <v>9889761</v>
      </c>
      <c r="CO393" s="143">
        <f t="shared" si="135"/>
        <v>9889761</v>
      </c>
      <c r="CP393" s="143">
        <f t="shared" si="135"/>
        <v>9889761</v>
      </c>
      <c r="CQ393" s="143">
        <f t="shared" si="135"/>
        <v>9889761</v>
      </c>
      <c r="CR393" s="143">
        <f t="shared" si="135"/>
        <v>9889761</v>
      </c>
      <c r="CS393" s="143">
        <f t="shared" si="135"/>
        <v>9889761</v>
      </c>
      <c r="CT393" s="143">
        <f t="shared" si="135"/>
        <v>9889761</v>
      </c>
      <c r="CU393" s="143">
        <f t="shared" si="135"/>
        <v>9889761</v>
      </c>
      <c r="CV393" s="143">
        <f t="shared" si="135"/>
        <v>9889761</v>
      </c>
      <c r="CW393" s="144">
        <f t="shared" si="135"/>
        <v>9889761</v>
      </c>
      <c r="CX393" s="315">
        <f t="shared" si="135"/>
        <v>14285575.4575</v>
      </c>
      <c r="CY393" s="318">
        <f t="shared" ref="CY393:DI393" si="136">+CY394+CY397+CY400</f>
        <v>14285575.4575</v>
      </c>
      <c r="CZ393" s="318">
        <f t="shared" si="136"/>
        <v>14285575.4575</v>
      </c>
      <c r="DA393" s="318">
        <f t="shared" si="136"/>
        <v>14285575.4575</v>
      </c>
      <c r="DB393" s="318">
        <f t="shared" si="136"/>
        <v>14285575.4575</v>
      </c>
      <c r="DC393" s="318">
        <f t="shared" si="136"/>
        <v>14285575.4575</v>
      </c>
      <c r="DD393" s="318">
        <f t="shared" si="136"/>
        <v>14285575.4575</v>
      </c>
      <c r="DE393" s="318">
        <f t="shared" si="136"/>
        <v>14285575.4575</v>
      </c>
      <c r="DF393" s="318">
        <f t="shared" si="136"/>
        <v>14285575.4575</v>
      </c>
      <c r="DG393" s="318">
        <f t="shared" si="136"/>
        <v>14285575.4575</v>
      </c>
      <c r="DH393" s="318">
        <f t="shared" si="136"/>
        <v>14285575.4575</v>
      </c>
      <c r="DI393" s="316">
        <f t="shared" si="136"/>
        <v>14285575.4575</v>
      </c>
      <c r="DJ393" s="142">
        <f>+DJ394+DJ397+DJ400</f>
        <v>33191007.030833334</v>
      </c>
      <c r="DK393" s="143">
        <f t="shared" ref="DK393:DU393" si="137">+DK394+DK397+DK400</f>
        <v>33191007.030833334</v>
      </c>
      <c r="DL393" s="143">
        <f t="shared" si="137"/>
        <v>33191007.030833334</v>
      </c>
      <c r="DM393" s="143">
        <f t="shared" si="137"/>
        <v>33191007.030833334</v>
      </c>
      <c r="DN393" s="143">
        <f t="shared" si="137"/>
        <v>33191007.030833334</v>
      </c>
      <c r="DO393" s="143">
        <f t="shared" si="137"/>
        <v>33191007.030833334</v>
      </c>
      <c r="DP393" s="143">
        <f t="shared" si="137"/>
        <v>33191007.030833334</v>
      </c>
      <c r="DQ393" s="143">
        <f t="shared" si="137"/>
        <v>33191007.030833334</v>
      </c>
      <c r="DR393" s="143">
        <f t="shared" si="137"/>
        <v>33191007.030833334</v>
      </c>
      <c r="DS393" s="143">
        <f t="shared" si="137"/>
        <v>33191007.030833334</v>
      </c>
      <c r="DT393" s="143">
        <f t="shared" si="137"/>
        <v>33191007.030833334</v>
      </c>
      <c r="DU393" s="143">
        <f t="shared" si="137"/>
        <v>33191007.030833334</v>
      </c>
      <c r="DV393" s="397">
        <f>DV394+DV397+DV400</f>
        <v>32768615.2925</v>
      </c>
      <c r="DW393" s="397">
        <f t="shared" ref="DW393:ES393" si="138">DW394+DW397+DW400</f>
        <v>32768615.2925</v>
      </c>
      <c r="DX393" s="397">
        <f t="shared" si="138"/>
        <v>32768615.2925</v>
      </c>
      <c r="DY393" s="397">
        <f t="shared" si="138"/>
        <v>32768615.2925</v>
      </c>
      <c r="DZ393" s="397">
        <f t="shared" si="138"/>
        <v>32768615.2925</v>
      </c>
      <c r="EA393" s="397">
        <f t="shared" si="138"/>
        <v>32768615.2925</v>
      </c>
      <c r="EB393" s="397">
        <f t="shared" si="138"/>
        <v>32768615.2925</v>
      </c>
      <c r="EC393" s="397">
        <f t="shared" si="138"/>
        <v>32768615.2925</v>
      </c>
      <c r="ED393" s="397">
        <f t="shared" si="138"/>
        <v>32768615.2925</v>
      </c>
      <c r="EE393" s="397">
        <f t="shared" si="138"/>
        <v>32768615.2925</v>
      </c>
      <c r="EF393" s="397">
        <f t="shared" si="138"/>
        <v>32768615.2925</v>
      </c>
      <c r="EG393" s="397">
        <f t="shared" si="138"/>
        <v>32768615.2925</v>
      </c>
      <c r="EH393" s="397">
        <f t="shared" si="138"/>
        <v>4617467.5633333325</v>
      </c>
      <c r="EI393" s="397">
        <f t="shared" si="138"/>
        <v>5248180.4533333331</v>
      </c>
      <c r="EJ393" s="397">
        <f t="shared" si="138"/>
        <v>18465645.143333334</v>
      </c>
      <c r="EK393" s="397">
        <f t="shared" si="138"/>
        <v>67460865.603333324</v>
      </c>
      <c r="EL393" s="397">
        <f t="shared" si="138"/>
        <v>10247541.783333333</v>
      </c>
      <c r="EM393" s="397">
        <f t="shared" si="138"/>
        <v>16046343.563333331</v>
      </c>
      <c r="EN393" s="397">
        <f t="shared" si="138"/>
        <v>23103608.363333337</v>
      </c>
      <c r="EO393" s="397">
        <f t="shared" si="138"/>
        <v>16877006.883333333</v>
      </c>
      <c r="EP393" s="397">
        <f t="shared" si="138"/>
        <v>17318908.093333334</v>
      </c>
      <c r="EQ393" s="397">
        <f t="shared" si="138"/>
        <v>9686739.4033333324</v>
      </c>
      <c r="ER393" s="397">
        <f t="shared" si="138"/>
        <v>11714826.133333333</v>
      </c>
      <c r="ES393" s="397">
        <f t="shared" si="138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2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39">+SUM(CL395:CL396)</f>
        <v>7208333.333333333</v>
      </c>
      <c r="CM394" s="143">
        <f t="shared" si="139"/>
        <v>7208333.333333333</v>
      </c>
      <c r="CN394" s="143">
        <f t="shared" si="139"/>
        <v>7208333.333333333</v>
      </c>
      <c r="CO394" s="143">
        <f t="shared" si="139"/>
        <v>7208333.333333333</v>
      </c>
      <c r="CP394" s="143">
        <f t="shared" si="139"/>
        <v>7208333.333333333</v>
      </c>
      <c r="CQ394" s="143">
        <f t="shared" si="139"/>
        <v>7208333.333333333</v>
      </c>
      <c r="CR394" s="143">
        <f t="shared" si="139"/>
        <v>7208333.333333333</v>
      </c>
      <c r="CS394" s="143">
        <f t="shared" si="139"/>
        <v>7208333.333333333</v>
      </c>
      <c r="CT394" s="143">
        <f t="shared" si="139"/>
        <v>7208333.333333333</v>
      </c>
      <c r="CU394" s="143">
        <f t="shared" si="139"/>
        <v>7208333.333333333</v>
      </c>
      <c r="CV394" s="143">
        <f t="shared" si="139"/>
        <v>7208333.333333333</v>
      </c>
      <c r="CW394" s="144">
        <f t="shared" si="139"/>
        <v>7208333.333333333</v>
      </c>
      <c r="CX394" s="315">
        <f t="shared" si="139"/>
        <v>11507395.460000001</v>
      </c>
      <c r="CY394" s="318">
        <f t="shared" ref="CY394:DI394" si="140">+SUM(CY395:CY396)</f>
        <v>11507395.460000001</v>
      </c>
      <c r="CZ394" s="318">
        <f t="shared" si="140"/>
        <v>11507395.460000001</v>
      </c>
      <c r="DA394" s="318">
        <f t="shared" si="140"/>
        <v>11507395.460000001</v>
      </c>
      <c r="DB394" s="318">
        <f t="shared" si="140"/>
        <v>11507395.460000001</v>
      </c>
      <c r="DC394" s="318">
        <f t="shared" si="140"/>
        <v>11507395.460000001</v>
      </c>
      <c r="DD394" s="318">
        <f t="shared" si="140"/>
        <v>11507395.460000001</v>
      </c>
      <c r="DE394" s="318">
        <f t="shared" si="140"/>
        <v>11507395.460000001</v>
      </c>
      <c r="DF394" s="318">
        <f t="shared" si="140"/>
        <v>11507395.460000001</v>
      </c>
      <c r="DG394" s="318">
        <f t="shared" si="140"/>
        <v>11507395.460000001</v>
      </c>
      <c r="DH394" s="318">
        <f t="shared" si="140"/>
        <v>11507395.460000001</v>
      </c>
      <c r="DI394" s="316">
        <f t="shared" si="140"/>
        <v>11507395.460000001</v>
      </c>
      <c r="DJ394" s="142">
        <f>+SUM(DJ395:DJ396)</f>
        <v>30373417.030833334</v>
      </c>
      <c r="DK394" s="143">
        <f t="shared" ref="DK394:ES394" si="141">+SUM(DK395:DK396)</f>
        <v>30373417.030833334</v>
      </c>
      <c r="DL394" s="143">
        <f t="shared" si="141"/>
        <v>30373417.030833334</v>
      </c>
      <c r="DM394" s="143">
        <f t="shared" si="141"/>
        <v>30373417.030833334</v>
      </c>
      <c r="DN394" s="143">
        <f t="shared" si="141"/>
        <v>30373417.030833334</v>
      </c>
      <c r="DO394" s="143">
        <f t="shared" si="141"/>
        <v>30373417.030833334</v>
      </c>
      <c r="DP394" s="143">
        <f t="shared" si="141"/>
        <v>30373417.030833334</v>
      </c>
      <c r="DQ394" s="143">
        <f t="shared" si="141"/>
        <v>30373417.030833334</v>
      </c>
      <c r="DR394" s="143">
        <f t="shared" si="141"/>
        <v>30373417.030833334</v>
      </c>
      <c r="DS394" s="143">
        <f t="shared" si="141"/>
        <v>30373417.030833334</v>
      </c>
      <c r="DT394" s="143">
        <f t="shared" si="141"/>
        <v>30373417.030833334</v>
      </c>
      <c r="DU394" s="143">
        <f t="shared" si="141"/>
        <v>30373417.030833334</v>
      </c>
      <c r="DV394" s="143">
        <f t="shared" si="141"/>
        <v>29487385.678333335</v>
      </c>
      <c r="DW394" s="143">
        <f t="shared" si="141"/>
        <v>29487385.678333335</v>
      </c>
      <c r="DX394" s="143">
        <f t="shared" si="141"/>
        <v>29487385.678333335</v>
      </c>
      <c r="DY394" s="143">
        <f t="shared" si="141"/>
        <v>29487385.678333335</v>
      </c>
      <c r="DZ394" s="143">
        <f t="shared" si="141"/>
        <v>29487385.678333335</v>
      </c>
      <c r="EA394" s="143">
        <f t="shared" si="141"/>
        <v>29487385.678333335</v>
      </c>
      <c r="EB394" s="143">
        <f t="shared" si="141"/>
        <v>29487385.678333335</v>
      </c>
      <c r="EC394" s="143">
        <f t="shared" si="141"/>
        <v>29487385.678333335</v>
      </c>
      <c r="ED394" s="143">
        <f t="shared" si="141"/>
        <v>29487385.678333335</v>
      </c>
      <c r="EE394" s="143">
        <f>+SUM(EE395:EE396)</f>
        <v>29487385.678333335</v>
      </c>
      <c r="EF394" s="143">
        <f t="shared" si="141"/>
        <v>29487385.678333335</v>
      </c>
      <c r="EG394" s="143">
        <f t="shared" si="141"/>
        <v>29487385.678333335</v>
      </c>
      <c r="EH394" s="143">
        <f t="shared" si="141"/>
        <v>1807759.33</v>
      </c>
      <c r="EI394" s="143">
        <f t="shared" si="141"/>
        <v>2438472.2200000002</v>
      </c>
      <c r="EJ394" s="143">
        <f t="shared" si="141"/>
        <v>15655936.91</v>
      </c>
      <c r="EK394" s="143">
        <f t="shared" si="141"/>
        <v>64651157.369999997</v>
      </c>
      <c r="EL394" s="143">
        <f t="shared" si="141"/>
        <v>7437833.5500000007</v>
      </c>
      <c r="EM394" s="143">
        <f t="shared" si="141"/>
        <v>13236635.329999998</v>
      </c>
      <c r="EN394" s="143">
        <f t="shared" si="141"/>
        <v>20293900.130000003</v>
      </c>
      <c r="EO394" s="143">
        <f t="shared" si="141"/>
        <v>14067298.649999999</v>
      </c>
      <c r="EP394" s="143">
        <f t="shared" si="141"/>
        <v>14509199.859999999</v>
      </c>
      <c r="EQ394" s="143">
        <f t="shared" si="141"/>
        <v>6877031.1699999999</v>
      </c>
      <c r="ER394" s="143">
        <f t="shared" si="141"/>
        <v>8905117.9000000004</v>
      </c>
      <c r="ES394" s="143">
        <f t="shared" si="141"/>
        <v>16818661.93</v>
      </c>
    </row>
    <row r="395" spans="1:162" ht="30">
      <c r="D395" s="74" t="str">
        <f t="shared" si="112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4">
        <v>1983333.3333333333</v>
      </c>
      <c r="CS395" s="414">
        <v>1983333.3333333333</v>
      </c>
      <c r="CT395" s="414">
        <v>1983333.3333333333</v>
      </c>
      <c r="CU395" s="414">
        <v>1983333.3333333333</v>
      </c>
      <c r="CV395" s="414">
        <v>1983333.3333333333</v>
      </c>
      <c r="CW395" s="415">
        <v>1983333.3333333333</v>
      </c>
      <c r="CX395" s="416">
        <v>2500695.4391666665</v>
      </c>
      <c r="CY395" s="417">
        <v>2500695.4391666665</v>
      </c>
      <c r="CZ395" s="417">
        <v>2500695.4391666665</v>
      </c>
      <c r="DA395" s="417">
        <v>2500695.4391666665</v>
      </c>
      <c r="DB395" s="417">
        <v>2500695.4391666665</v>
      </c>
      <c r="DC395" s="417">
        <v>2500695.4391666665</v>
      </c>
      <c r="DD395" s="417">
        <v>2500695.4391666665</v>
      </c>
      <c r="DE395" s="417">
        <v>2500695.4391666665</v>
      </c>
      <c r="DF395" s="417">
        <v>2500695.4391666665</v>
      </c>
      <c r="DG395" s="417">
        <v>2500695.4391666665</v>
      </c>
      <c r="DH395" s="417">
        <v>2500695.4391666665</v>
      </c>
      <c r="DI395" s="418">
        <v>2500695.4391666665</v>
      </c>
      <c r="DJ395" s="419">
        <v>3892510.16</v>
      </c>
      <c r="DK395" s="414">
        <v>3892510.16</v>
      </c>
      <c r="DL395" s="414">
        <v>3892510.16</v>
      </c>
      <c r="DM395" s="414">
        <v>3892510.16</v>
      </c>
      <c r="DN395" s="414">
        <v>3892510.16</v>
      </c>
      <c r="DO395" s="414">
        <v>3892510.16</v>
      </c>
      <c r="DP395" s="414">
        <v>3892510.16</v>
      </c>
      <c r="DQ395" s="414">
        <v>3892510.16</v>
      </c>
      <c r="DR395" s="414">
        <v>3892510.16</v>
      </c>
      <c r="DS395" s="414">
        <v>3892510.16</v>
      </c>
      <c r="DT395" s="414">
        <v>3892510.16</v>
      </c>
      <c r="DU395" s="415">
        <v>3892510.16</v>
      </c>
      <c r="DV395" s="420">
        <v>3722931.8866666667</v>
      </c>
      <c r="DW395" s="420">
        <v>3722931.8866666667</v>
      </c>
      <c r="DX395" s="420">
        <v>3722931.8866666667</v>
      </c>
      <c r="DY395" s="420">
        <v>3722931.8866666667</v>
      </c>
      <c r="DZ395" s="420">
        <v>3722931.8866666667</v>
      </c>
      <c r="EA395" s="420">
        <v>3722931.8866666667</v>
      </c>
      <c r="EB395" s="420">
        <v>3722931.8866666667</v>
      </c>
      <c r="EC395" s="420">
        <v>3722931.8866666667</v>
      </c>
      <c r="ED395" s="420">
        <v>3722931.8866666667</v>
      </c>
      <c r="EE395" s="420">
        <v>3722931.8866666667</v>
      </c>
      <c r="EF395" s="420">
        <v>3722931.8866666667</v>
      </c>
      <c r="EG395" s="420">
        <v>3722931.8866666667</v>
      </c>
      <c r="EH395" s="420">
        <v>174340.51</v>
      </c>
      <c r="EI395" s="420">
        <v>177326.85</v>
      </c>
      <c r="EJ395" s="420">
        <v>7687779.1100000003</v>
      </c>
      <c r="EK395" s="420">
        <v>191127.48</v>
      </c>
      <c r="EL395" s="420">
        <v>949797.77</v>
      </c>
      <c r="EM395" s="420">
        <v>2019268.13</v>
      </c>
      <c r="EN395" s="420">
        <v>10660481.32</v>
      </c>
      <c r="EO395" s="420">
        <v>11526152.189999999</v>
      </c>
      <c r="EP395" s="420">
        <v>10016017.119999999</v>
      </c>
      <c r="EQ395" s="420">
        <v>1834828.67</v>
      </c>
      <c r="ER395" s="420">
        <v>2345417.37</v>
      </c>
      <c r="ES395" s="420">
        <v>4329305.63</v>
      </c>
      <c r="ET395" s="420">
        <v>116701.86</v>
      </c>
      <c r="EU395" s="421">
        <v>867332.36</v>
      </c>
      <c r="EV395" s="421">
        <v>7801367.0199999996</v>
      </c>
      <c r="EW395" s="421">
        <v>4481623.79</v>
      </c>
      <c r="EX395" s="421">
        <v>2831467.37</v>
      </c>
      <c r="EY395" s="421">
        <v>7170000.0800000001</v>
      </c>
      <c r="EZ395" s="421">
        <v>82322.3</v>
      </c>
      <c r="FA395" s="421">
        <v>10832753.109999999</v>
      </c>
      <c r="FB395" s="421">
        <v>1958366.01</v>
      </c>
      <c r="FC395" s="421">
        <v>1510132.11</v>
      </c>
      <c r="FD395" s="421">
        <v>834059.15</v>
      </c>
      <c r="FE395" s="421">
        <v>12202154.65</v>
      </c>
    </row>
    <row r="396" spans="1:162" ht="30">
      <c r="D396" s="74" t="str">
        <f t="shared" si="112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0">
        <v>2071825.5645770216</v>
      </c>
      <c r="EU396" s="421">
        <v>2862393.2253735214</v>
      </c>
      <c r="EV396" s="421">
        <v>12467636.918240691</v>
      </c>
      <c r="EW396" s="421">
        <v>17326274.372907523</v>
      </c>
      <c r="EX396" s="421">
        <v>15150457.606090657</v>
      </c>
      <c r="EY396" s="421">
        <v>8947929.7645770218</v>
      </c>
      <c r="EZ396" s="421">
        <v>2071825.5545770216</v>
      </c>
      <c r="FA396" s="421">
        <v>2989936.9753735219</v>
      </c>
      <c r="FB396" s="421">
        <v>16625761.232895471</v>
      </c>
      <c r="FC396" s="421">
        <v>4165314.0029075216</v>
      </c>
      <c r="FD396" s="421">
        <v>6972714.957903021</v>
      </c>
      <c r="FE396" s="421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2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2">+SUM(CL398:CL399)</f>
        <v>0</v>
      </c>
      <c r="CM397" s="143">
        <f t="shared" si="142"/>
        <v>0</v>
      </c>
      <c r="CN397" s="143">
        <f t="shared" si="142"/>
        <v>0</v>
      </c>
      <c r="CO397" s="143">
        <f t="shared" si="142"/>
        <v>0</v>
      </c>
      <c r="CP397" s="143">
        <f t="shared" si="142"/>
        <v>0</v>
      </c>
      <c r="CQ397" s="143">
        <f t="shared" si="142"/>
        <v>0</v>
      </c>
      <c r="CR397" s="143">
        <f t="shared" si="142"/>
        <v>0</v>
      </c>
      <c r="CS397" s="143">
        <f t="shared" si="142"/>
        <v>0</v>
      </c>
      <c r="CT397" s="143">
        <f t="shared" si="142"/>
        <v>0</v>
      </c>
      <c r="CU397" s="143">
        <f t="shared" si="142"/>
        <v>0</v>
      </c>
      <c r="CV397" s="143">
        <f t="shared" si="142"/>
        <v>0</v>
      </c>
      <c r="CW397" s="144">
        <f t="shared" si="142"/>
        <v>0</v>
      </c>
      <c r="CX397" s="315">
        <f t="shared" si="142"/>
        <v>0</v>
      </c>
      <c r="CY397" s="318">
        <f t="shared" ref="CY397:DI397" si="143">+SUM(CY398:CY399)</f>
        <v>0</v>
      </c>
      <c r="CZ397" s="318">
        <f t="shared" si="143"/>
        <v>0</v>
      </c>
      <c r="DA397" s="318">
        <f t="shared" si="143"/>
        <v>0</v>
      </c>
      <c r="DB397" s="318">
        <f t="shared" si="143"/>
        <v>0</v>
      </c>
      <c r="DC397" s="318">
        <f t="shared" si="143"/>
        <v>0</v>
      </c>
      <c r="DD397" s="318">
        <f t="shared" si="143"/>
        <v>0</v>
      </c>
      <c r="DE397" s="318">
        <f t="shared" si="143"/>
        <v>0</v>
      </c>
      <c r="DF397" s="318">
        <f t="shared" si="143"/>
        <v>0</v>
      </c>
      <c r="DG397" s="318">
        <f t="shared" si="143"/>
        <v>0</v>
      </c>
      <c r="DH397" s="318">
        <f t="shared" si="143"/>
        <v>0</v>
      </c>
      <c r="DI397" s="316">
        <f t="shared" si="143"/>
        <v>0</v>
      </c>
      <c r="DJ397" s="142">
        <f>+SUM(DJ398:DJ399)</f>
        <v>0</v>
      </c>
      <c r="DK397" s="143">
        <f t="shared" ref="DK397:DU397" si="144">+SUM(DK398:DK399)</f>
        <v>0</v>
      </c>
      <c r="DL397" s="143">
        <f t="shared" si="144"/>
        <v>0</v>
      </c>
      <c r="DM397" s="143">
        <f t="shared" si="144"/>
        <v>0</v>
      </c>
      <c r="DN397" s="143">
        <f t="shared" si="144"/>
        <v>0</v>
      </c>
      <c r="DO397" s="143">
        <f t="shared" si="144"/>
        <v>0</v>
      </c>
      <c r="DP397" s="143">
        <f t="shared" si="144"/>
        <v>0</v>
      </c>
      <c r="DQ397" s="143">
        <f t="shared" si="144"/>
        <v>0</v>
      </c>
      <c r="DR397" s="143">
        <f t="shared" si="144"/>
        <v>0</v>
      </c>
      <c r="DS397" s="143">
        <f t="shared" si="144"/>
        <v>0</v>
      </c>
      <c r="DT397" s="143">
        <f t="shared" si="144"/>
        <v>0</v>
      </c>
      <c r="DU397" s="144">
        <f t="shared" si="144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2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2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2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2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5">+SUM(CL402:CL404)</f>
        <v>613005.79833333334</v>
      </c>
      <c r="CM401" s="143">
        <f t="shared" si="145"/>
        <v>613005.79833333334</v>
      </c>
      <c r="CN401" s="143">
        <f t="shared" si="145"/>
        <v>613005.79833333334</v>
      </c>
      <c r="CO401" s="143">
        <f t="shared" si="145"/>
        <v>613005.79833333334</v>
      </c>
      <c r="CP401" s="143">
        <f t="shared" si="145"/>
        <v>613005.79833333334</v>
      </c>
      <c r="CQ401" s="143">
        <f t="shared" si="145"/>
        <v>613005.79833333334</v>
      </c>
      <c r="CR401" s="143">
        <f t="shared" si="145"/>
        <v>613005.79833333334</v>
      </c>
      <c r="CS401" s="143">
        <f t="shared" si="145"/>
        <v>613005.79833333334</v>
      </c>
      <c r="CT401" s="143">
        <f t="shared" si="145"/>
        <v>613005.79833333334</v>
      </c>
      <c r="CU401" s="143">
        <f t="shared" si="145"/>
        <v>613005.79833333334</v>
      </c>
      <c r="CV401" s="143">
        <f t="shared" si="145"/>
        <v>613005.79833333334</v>
      </c>
      <c r="CW401" s="144">
        <f t="shared" si="145"/>
        <v>613005.79833333334</v>
      </c>
      <c r="CX401" s="315">
        <f t="shared" si="145"/>
        <v>737887.48083333333</v>
      </c>
      <c r="CY401" s="318">
        <f t="shared" ref="CY401:DI401" si="146">+SUM(CY402:CY404)</f>
        <v>737887.48083333333</v>
      </c>
      <c r="CZ401" s="318">
        <f t="shared" si="146"/>
        <v>737887.48083333333</v>
      </c>
      <c r="DA401" s="318">
        <f t="shared" si="146"/>
        <v>737887.48083333333</v>
      </c>
      <c r="DB401" s="318">
        <f t="shared" si="146"/>
        <v>737887.48083333333</v>
      </c>
      <c r="DC401" s="318">
        <f t="shared" si="146"/>
        <v>737887.48083333333</v>
      </c>
      <c r="DD401" s="318">
        <f t="shared" si="146"/>
        <v>737887.48083333333</v>
      </c>
      <c r="DE401" s="318">
        <f t="shared" si="146"/>
        <v>737887.48083333333</v>
      </c>
      <c r="DF401" s="318">
        <f t="shared" si="146"/>
        <v>737887.48083333333</v>
      </c>
      <c r="DG401" s="318">
        <f t="shared" si="146"/>
        <v>737887.48083333333</v>
      </c>
      <c r="DH401" s="318">
        <f t="shared" si="146"/>
        <v>737887.48083333333</v>
      </c>
      <c r="DI401" s="316">
        <f t="shared" si="146"/>
        <v>737887.48083333333</v>
      </c>
      <c r="DJ401" s="142">
        <f>+SUM(DJ402:DJ404)</f>
        <v>1087930.2858333334</v>
      </c>
      <c r="DK401" s="143">
        <f t="shared" ref="DK401:DU401" si="147">+SUM(DK402:DK404)</f>
        <v>1087930.2858333334</v>
      </c>
      <c r="DL401" s="143">
        <f t="shared" si="147"/>
        <v>1087930.2858333334</v>
      </c>
      <c r="DM401" s="143">
        <f t="shared" si="147"/>
        <v>1087930.2858333334</v>
      </c>
      <c r="DN401" s="143">
        <f t="shared" si="147"/>
        <v>1087930.2858333334</v>
      </c>
      <c r="DO401" s="143">
        <f t="shared" si="147"/>
        <v>1087930.2858333334</v>
      </c>
      <c r="DP401" s="143">
        <f t="shared" si="147"/>
        <v>1087930.2858333334</v>
      </c>
      <c r="DQ401" s="143">
        <f t="shared" si="147"/>
        <v>1087930.2858333334</v>
      </c>
      <c r="DR401" s="143">
        <f t="shared" si="147"/>
        <v>1087930.2858333334</v>
      </c>
      <c r="DS401" s="143">
        <f t="shared" si="147"/>
        <v>1087930.2858333334</v>
      </c>
      <c r="DT401" s="143">
        <f t="shared" si="147"/>
        <v>1087930.2858333334</v>
      </c>
      <c r="DU401" s="144">
        <f t="shared" si="147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48">+EU402+EU403</f>
        <v>830846.24800000002</v>
      </c>
      <c r="EV401" s="411">
        <f t="shared" si="148"/>
        <v>830846.24800000002</v>
      </c>
      <c r="EW401" s="411">
        <f t="shared" si="148"/>
        <v>949846.13199999998</v>
      </c>
      <c r="EX401" s="411">
        <f t="shared" si="148"/>
        <v>1306845.784</v>
      </c>
      <c r="EY401" s="411">
        <f t="shared" si="148"/>
        <v>830846.24800000002</v>
      </c>
      <c r="EZ401" s="411">
        <f t="shared" si="148"/>
        <v>1246269.3720000002</v>
      </c>
      <c r="FA401" s="411">
        <f t="shared" si="148"/>
        <v>1246269.3720000002</v>
      </c>
      <c r="FB401" s="411">
        <f t="shared" si="148"/>
        <v>1246269.3720000002</v>
      </c>
      <c r="FC401" s="411">
        <f t="shared" si="148"/>
        <v>1246269.3720000002</v>
      </c>
      <c r="FD401" s="411">
        <f t="shared" si="148"/>
        <v>1246269.3720000002</v>
      </c>
      <c r="FE401" s="411">
        <f t="shared" si="148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2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2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2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3"/>
    </row>
  </sheetData>
  <mergeCells count="22">
    <mergeCell ref="CX216:DI216"/>
    <mergeCell ref="DJ216:DU216"/>
    <mergeCell ref="AP216:BA216"/>
    <mergeCell ref="BB216:BM216"/>
    <mergeCell ref="BN216:BY216"/>
    <mergeCell ref="BZ216:CK216"/>
    <mergeCell ref="CL216:CW216"/>
    <mergeCell ref="E6:E7"/>
    <mergeCell ref="E216:E217"/>
    <mergeCell ref="F216:Q216"/>
    <mergeCell ref="R216:AC216"/>
    <mergeCell ref="AD216:AO216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1</v>
      </c>
      <c r="C2" s="56" t="s">
        <v>0</v>
      </c>
    </row>
    <row r="3" spans="2:7" ht="15.75" thickBot="1">
      <c r="B3" s="306">
        <v>5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Mjesečni podaci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Mjesečni podaci 2016</v>
      </c>
    </row>
    <row r="13" spans="2:7">
      <c r="E13" s="11" t="s">
        <v>704</v>
      </c>
      <c r="F13" s="12" t="s">
        <v>705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757</v>
      </c>
      <c r="F16" s="12" t="s">
        <v>758</v>
      </c>
      <c r="G16" s="52" t="str">
        <f t="shared" si="0"/>
        <v>Mjesečni podaci 2012</v>
      </c>
    </row>
    <row r="17" spans="2:7">
      <c r="E17" s="11" t="s">
        <v>759</v>
      </c>
      <c r="F17" s="12" t="s">
        <v>760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Maj</v>
      </c>
    </row>
    <row r="243" spans="4:7">
      <c r="D243" s="49"/>
      <c r="E243" s="9"/>
      <c r="F243" s="10"/>
      <c r="G243" s="52" t="str">
        <f>+CONCATENATE("Jan - ",LEFT(G242,3))</f>
        <v>Jan - Maj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Ostvarenje budžeta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Maj</v>
      </c>
      <c r="F251" s="10" t="str">
        <f>+CONCATENATE("Analytics for period ",G242)</f>
        <v>Analytics for period Maj</v>
      </c>
      <c r="G251" s="52" t="str">
        <f>+IF(ISBLANK(IF($B$2=1,E251,F251)),"",IF($B$2=1,E251,F251))</f>
        <v>Analitika za period Maj</v>
      </c>
    </row>
    <row r="252" spans="4:7">
      <c r="D252" s="46"/>
      <c r="E252" s="9" t="str">
        <f>+CONCATENATE("Analitika za period ",G243)</f>
        <v>Analitika za period Jan - Maj</v>
      </c>
      <c r="F252" s="10" t="str">
        <f>+CONCATENATE("Analytics for period ",G243)</f>
        <v>Analytics for period Jan - Maj</v>
      </c>
      <c r="G252" s="52" t="str">
        <f>+IF(ISBLANK(IF($B$2=1,E252,F252)),"",IF($B$2=1,E252,F252))</f>
        <v>Analitika za period Jan - Maj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Maj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Maj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Suficit/Deficit za mjesec Maj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Maj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Maj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Maj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G34" sqref="G34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Crna Gora</v>
      </c>
      <c r="I2" s="152"/>
    </row>
    <row r="3" spans="3:11" s="149" customFormat="1">
      <c r="E3" s="152" t="str">
        <f>+Master!G7</f>
        <v>Ministarstvo finansija</v>
      </c>
    </row>
    <row r="4" spans="3:11" s="149" customFormat="1">
      <c r="E4" s="152" t="str">
        <f>+Master!G8</f>
        <v>Direktorat za ekonomsku politiku i razvoj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Prihodi za mjesec Maj</v>
      </c>
      <c r="E11" s="158"/>
      <c r="F11" s="158"/>
      <c r="G11" s="158"/>
      <c r="H11" s="319" t="str">
        <f>+Master!G271</f>
        <v>Prihodi za period Januar - Maj</v>
      </c>
      <c r="I11" s="320"/>
      <c r="J11" s="308"/>
      <c r="K11" s="159"/>
    </row>
    <row r="12" spans="3:11">
      <c r="C12" s="157"/>
      <c r="D12" s="161">
        <f>+'Analitika - 2018'!N10</f>
        <v>138771209.79999998</v>
      </c>
      <c r="E12" s="162">
        <f>+D12/'2018'!T7</f>
        <v>3.1318966756189483E-2</v>
      </c>
      <c r="F12" s="158"/>
      <c r="G12" s="158"/>
      <c r="H12" s="321">
        <f>+'Analitika - 2018'!G10</f>
        <v>623082485.04999995</v>
      </c>
      <c r="I12" s="322">
        <f>+H12/'2018'!T7</f>
        <v>0.14062210500124128</v>
      </c>
      <c r="J12" s="308"/>
      <c r="K12" s="159"/>
    </row>
    <row r="13" spans="3:11">
      <c r="C13" s="157"/>
      <c r="D13" s="163" t="s">
        <v>428</v>
      </c>
      <c r="E13" s="163" t="str">
        <f>+Master!G247</f>
        <v>% BDP</v>
      </c>
      <c r="F13" s="158"/>
      <c r="G13" s="158"/>
      <c r="H13" s="323" t="str">
        <f>+D13</f>
        <v>mil. €</v>
      </c>
      <c r="I13" s="323" t="str">
        <f>+E13</f>
        <v>% BDP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Rashodi za mjesec Maj</v>
      </c>
      <c r="E15" s="158"/>
      <c r="F15" s="158"/>
      <c r="G15" s="158"/>
      <c r="H15" s="319" t="str">
        <f>+Master!G272</f>
        <v>Rashodi za period Januar - Maj</v>
      </c>
      <c r="I15" s="320"/>
      <c r="J15" s="308"/>
      <c r="K15" s="159"/>
    </row>
    <row r="16" spans="3:11">
      <c r="C16" s="157"/>
      <c r="D16" s="161">
        <f>+'Analitika - 2018'!N29</f>
        <v>141761088.21000004</v>
      </c>
      <c r="E16" s="162">
        <f>+D16/'2018'!T7</f>
        <v>3.1993745787537532E-2</v>
      </c>
      <c r="F16" s="158"/>
      <c r="G16" s="158"/>
      <c r="H16" s="321">
        <f>+'Analitika - 2018'!G29</f>
        <v>686943995.05000007</v>
      </c>
      <c r="I16" s="322">
        <f>+H16/'2018'!T7</f>
        <v>0.15503486764539937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BDP</v>
      </c>
      <c r="F17" s="158"/>
      <c r="G17" s="158"/>
      <c r="H17" s="323" t="str">
        <f>+D13</f>
        <v>mil. €</v>
      </c>
      <c r="I17" s="323" t="str">
        <f>+E13</f>
        <v>% BDP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Suficit/Deficit za mjesec Maj</v>
      </c>
      <c r="E19" s="158"/>
      <c r="F19" s="158"/>
      <c r="G19" s="158"/>
      <c r="H19" s="319" t="str">
        <f>+Master!G273</f>
        <v>Deficit za period Januar - Maj</v>
      </c>
      <c r="I19" s="320"/>
      <c r="J19" s="308"/>
      <c r="K19" s="159"/>
    </row>
    <row r="20" spans="3:11">
      <c r="C20" s="157"/>
      <c r="D20" s="161">
        <f>+'Analitika - 2018'!N55</f>
        <v>-2989878.410000056</v>
      </c>
      <c r="E20" s="162">
        <f>+D20/'2018'!T7</f>
        <v>-6.7477903134804582E-4</v>
      </c>
      <c r="F20" s="158"/>
      <c r="G20" s="158"/>
      <c r="H20" s="321">
        <f>+'Analitika - 2018'!G55</f>
        <v>-63861510.000000075</v>
      </c>
      <c r="I20" s="322">
        <f>+H20/'2018'!T7</f>
        <v>-1.4412762644158089E-2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BDP</v>
      </c>
      <c r="F21" s="158"/>
      <c r="G21" s="158"/>
      <c r="H21" s="309" t="str">
        <f>+D13</f>
        <v>mil. €</v>
      </c>
      <c r="I21" s="309" t="str">
        <f>+E13</f>
        <v>% BDP</v>
      </c>
      <c r="J21" s="308"/>
      <c r="K21" s="159"/>
    </row>
    <row r="22" spans="3:11">
      <c r="C22" s="157"/>
      <c r="D22" s="496"/>
      <c r="E22" s="497"/>
      <c r="F22" s="497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70"/>
  <sheetViews>
    <sheetView zoomScale="112" zoomScaleNormal="112" workbookViewId="0">
      <pane ySplit="5" topLeftCell="A6" activePane="bottomLeft" state="frozen"/>
      <selection activeCell="DK219" sqref="DK219"/>
      <selection pane="bottomLeft" activeCell="H37" sqref="H37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9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2018-05</v>
      </c>
      <c r="O6" s="169" t="str">
        <f>+CONCATENATE(N6,"p")</f>
        <v>2018-05p</v>
      </c>
      <c r="P6" s="153"/>
      <c r="Q6" s="153"/>
      <c r="R6" s="169" t="str">
        <f>+IF(Master!B3-10&gt;=0,CONCATENATE(Master!B4-1,"-",Master!B3),CONCATENATE(Master!B4-1,"-0",Master!B3))</f>
        <v>2017-05</v>
      </c>
      <c r="S6" s="153"/>
      <c r="T6" s="153"/>
    </row>
    <row r="7" spans="1:20">
      <c r="A7" s="170"/>
      <c r="B7" s="478" t="str">
        <f>+Master!G252</f>
        <v>Analitika za period Jan - Maj</v>
      </c>
      <c r="C7" s="479"/>
      <c r="D7" s="479"/>
      <c r="E7" s="479"/>
      <c r="F7" s="479"/>
      <c r="G7" s="487" t="str">
        <f>+Master!G243</f>
        <v>Jan - Maj</v>
      </c>
      <c r="H7" s="488"/>
      <c r="I7" s="488"/>
      <c r="J7" s="488"/>
      <c r="K7" s="488"/>
      <c r="L7" s="488"/>
      <c r="M7" s="489"/>
      <c r="N7" s="490" t="str">
        <f>+Master!G242</f>
        <v>Maj</v>
      </c>
      <c r="O7" s="488"/>
      <c r="P7" s="488"/>
      <c r="Q7" s="488"/>
      <c r="R7" s="488"/>
      <c r="S7" s="488"/>
      <c r="T7" s="491"/>
    </row>
    <row r="8" spans="1:20">
      <c r="A8" s="170"/>
      <c r="B8" s="480"/>
      <c r="C8" s="481"/>
      <c r="D8" s="481"/>
      <c r="E8" s="481"/>
      <c r="F8" s="482"/>
      <c r="G8" s="171" t="str">
        <f>+Master!G21</f>
        <v>Ostvarenje</v>
      </c>
      <c r="H8" s="171" t="str">
        <f>+Master!G20</f>
        <v>Plan</v>
      </c>
      <c r="I8" s="476" t="str">
        <f>+Master!G258</f>
        <v>Odstupanje</v>
      </c>
      <c r="J8" s="476"/>
      <c r="K8" s="171" t="str">
        <f>+CONCATENATE(Master!G243," ",Master!B4-1)</f>
        <v>Jan - Maj 2017</v>
      </c>
      <c r="L8" s="476" t="str">
        <f>+I8</f>
        <v>Odstupanje</v>
      </c>
      <c r="M8" s="486"/>
      <c r="N8" s="172" t="str">
        <f>+G8</f>
        <v>Ostvarenje</v>
      </c>
      <c r="O8" s="171" t="str">
        <f>+H8</f>
        <v>Plan</v>
      </c>
      <c r="P8" s="476" t="str">
        <f>+I8</f>
        <v>Odstupanje</v>
      </c>
      <c r="Q8" s="476"/>
      <c r="R8" s="171" t="str">
        <f>+CONCATENATE(Master!G242," ",Master!B4-1)</f>
        <v>Maj 2017</v>
      </c>
      <c r="S8" s="476" t="str">
        <f>+P8</f>
        <v>Odstupanje</v>
      </c>
      <c r="T8" s="477"/>
    </row>
    <row r="9" spans="1:20" ht="15.7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f>+SUMPRODUCT(('2018'!$G10:$R10)*('2018'!$G$5:$R$5&lt;=Master!$B$3)*($A10='2018'!$A$10:$A$66))</f>
        <v>623082485.04999995</v>
      </c>
      <c r="H10" s="177">
        <f>+SUMPRODUCT(('2018'!$G105:$R105)*('2018'!$G$5:$R$5&lt;=Master!$B$3))</f>
        <v>612005509.45050251</v>
      </c>
      <c r="I10" s="178">
        <f>+G10-H10</f>
        <v>11076975.599497437</v>
      </c>
      <c r="J10" s="179">
        <f>+IF(ISNUMBER(G10/H10-1),G10/H10-1,"…")</f>
        <v>1.809947039438109E-2</v>
      </c>
      <c r="K10" s="177">
        <f>+SUMPRODUCT(('2017'!$G10:$R10)*('2017'!$G$5:$R$5&lt;=Master!$B$3))</f>
        <v>547898048.53999996</v>
      </c>
      <c r="L10" s="178">
        <f>+G10-K10</f>
        <v>75184436.50999999</v>
      </c>
      <c r="M10" s="180">
        <f>+IF(ISNUMBER(G10/K10-1),G10/K10-1,"…")</f>
        <v>0.13722340627119611</v>
      </c>
      <c r="N10" s="177">
        <f>'2018'!K10</f>
        <v>138771209.79999998</v>
      </c>
      <c r="O10" s="177">
        <f>+INDEX('2018'!$1:$1048576,MATCH(CONCATENATE('Analitika - 2018'!$A10,"p"),'2018'!$A:$A,0),MATCH('Analitika - 2018'!$O$6,'2018'!$101:$101,0))</f>
        <v>137080240.952337</v>
      </c>
      <c r="P10" s="178">
        <f>+N10-O10</f>
        <v>1690968.8476629853</v>
      </c>
      <c r="Q10" s="179">
        <f>+IF(ISNUMBER(N10/O10-1),N10/O10-1,"…")</f>
        <v>1.2335613330669126E-2</v>
      </c>
      <c r="R10" s="177">
        <f>'2017'!J10</f>
        <v>124911661.66999999</v>
      </c>
      <c r="S10" s="178">
        <f>+N10-R10</f>
        <v>13859548.129999995</v>
      </c>
      <c r="T10" s="180">
        <f>+IF(ISNUMBER(N10/R10-1),N10/R10-1,"…")</f>
        <v>0.11095479753215587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95">
        <f>+SUMPRODUCT(('2018'!$G11:$R11)*('2018'!$G$5:$R$5&lt;=Master!$B$3)*($A11='2018'!$A$10:$A$66))</f>
        <v>402708443.59999996</v>
      </c>
      <c r="H11" s="342">
        <f>+SUMPRODUCT(('2018'!$G106:$R106)*('2018'!$G$5:$R$5&lt;=Master!$B$3))</f>
        <v>401513652.31648451</v>
      </c>
      <c r="I11" s="184">
        <f t="shared" ref="I11:I67" si="0">+G11-H11</f>
        <v>1194791.2835154533</v>
      </c>
      <c r="J11" s="185">
        <f t="shared" ref="J11:J66" si="1">+IF(ISNUMBER(G11/H11-1),G11/H11-1,"…")</f>
        <v>2.975717703799674E-3</v>
      </c>
      <c r="K11" s="183">
        <f>+SUMPRODUCT(('2017'!$G11:$R11)*('2017'!$G$5:$R$5&lt;=Master!$B$3))</f>
        <v>354129862.21000004</v>
      </c>
      <c r="L11" s="184">
        <f>+G11-K11</f>
        <v>48578581.389999926</v>
      </c>
      <c r="M11" s="186">
        <f t="shared" ref="M11:M67" si="2">+IF(ISNUMBER(G11/K11-1),G11/K11-1,"…")</f>
        <v>0.137177308591933</v>
      </c>
      <c r="N11" s="342">
        <f>'2018'!K11</f>
        <v>90553351.069999993</v>
      </c>
      <c r="O11" s="342">
        <f>+INDEX('2018'!$1:$1048576,MATCH(CONCATENATE('Analitika - 2018'!$A11,"p"),'2018'!$A:$A,0),MATCH('Analitika - 2018'!$O$6,'2018'!$101:$101,0))</f>
        <v>86553600.036061302</v>
      </c>
      <c r="P11" s="184">
        <f t="shared" ref="P11:P67" si="3">+N11-O11</f>
        <v>3999751.033938691</v>
      </c>
      <c r="Q11" s="185">
        <f t="shared" ref="Q11:Q67" si="4">+IF(ISNUMBER(N11/O11-1),N11/O11-1,"…")</f>
        <v>4.6211261371823298E-2</v>
      </c>
      <c r="R11" s="342">
        <f>'2017'!J11</f>
        <v>81677988.170000002</v>
      </c>
      <c r="S11" s="184">
        <f t="shared" ref="S11:S67" si="5">+N11-R11</f>
        <v>8875362.8999999911</v>
      </c>
      <c r="T11" s="186">
        <f t="shared" ref="T11:T67" si="6">+IF(ISNUMBER(N11/R11-1),N11/R11-1,"…")</f>
        <v>0.10866284905949586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f>+SUMPRODUCT(('2018'!$G12:$R12)*('2018'!$G$5:$R$5&lt;=Master!$B$3)*($A12='2018'!$A$10:$A$66))</f>
        <v>42625823.950000003</v>
      </c>
      <c r="H12" s="189">
        <f>+SUMPRODUCT(('2018'!$G107:$R107)*('2018'!$G$5:$R$5&lt;=Master!$B$3))</f>
        <v>42346414.920462415</v>
      </c>
      <c r="I12" s="190">
        <f t="shared" si="0"/>
        <v>279409.02953758836</v>
      </c>
      <c r="J12" s="191">
        <f t="shared" si="1"/>
        <v>6.5981743687721917E-3</v>
      </c>
      <c r="K12" s="189">
        <f>+SUMPRODUCT(('2017'!$G12:$R12)*('2017'!$G$5:$R$5&lt;=Master!$B$3))</f>
        <v>39255278.100000001</v>
      </c>
      <c r="L12" s="190">
        <f>+G12-K12</f>
        <v>3370545.8500000015</v>
      </c>
      <c r="M12" s="192">
        <f t="shared" si="2"/>
        <v>8.5862233389705667E-2</v>
      </c>
      <c r="N12" s="189">
        <f>'2018'!K12</f>
        <v>10330673.77</v>
      </c>
      <c r="O12" s="189">
        <f>+INDEX('2018'!$1:$1048576,MATCH(CONCATENATE('Analitika - 2018'!$A12,"p"),'2018'!$A:$A,0),MATCH('Analitika - 2018'!$O$6,'2018'!$101:$101,0))</f>
        <v>10644686.280068103</v>
      </c>
      <c r="P12" s="190">
        <f t="shared" si="3"/>
        <v>-314012.51006810367</v>
      </c>
      <c r="Q12" s="191">
        <f t="shared" si="4"/>
        <v>-2.9499461215318656E-2</v>
      </c>
      <c r="R12" s="189">
        <f>'2017'!J12</f>
        <v>8729072.4399999995</v>
      </c>
      <c r="S12" s="190">
        <f t="shared" si="5"/>
        <v>1601601.33</v>
      </c>
      <c r="T12" s="192">
        <f t="shared" si="6"/>
        <v>0.18347898256186324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f>+SUMPRODUCT(('2018'!$G13:$R13)*('2018'!$G$5:$R$5&lt;=Master!$B$3)*($A13='2018'!$A$10:$A$66))</f>
        <v>46206030.119999997</v>
      </c>
      <c r="H13" s="189">
        <f>+SUMPRODUCT(('2018'!$G108:$R108)*('2018'!$G$5:$R$5&lt;=Master!$B$3))</f>
        <v>38690821.120511882</v>
      </c>
      <c r="I13" s="190">
        <f t="shared" si="0"/>
        <v>7515208.9994881153</v>
      </c>
      <c r="J13" s="191">
        <f t="shared" si="1"/>
        <v>0.19423751633701913</v>
      </c>
      <c r="K13" s="189">
        <f>+SUMPRODUCT(('2017'!$G13:$R13)*('2017'!$G$5:$R$5&lt;=Master!$B$3))</f>
        <v>36676993.840000004</v>
      </c>
      <c r="L13" s="190">
        <f t="shared" ref="L13:L67" si="7">+G13-K13</f>
        <v>9529036.2799999937</v>
      </c>
      <c r="M13" s="192">
        <f t="shared" si="2"/>
        <v>0.25980963220621445</v>
      </c>
      <c r="N13" s="189">
        <f>'2018'!K13</f>
        <v>3730435.57</v>
      </c>
      <c r="O13" s="189">
        <f>+INDEX('2018'!$1:$1048576,MATCH(CONCATENATE('Analitika - 2018'!$A13,"p"),'2018'!$A:$A,0),MATCH('Analitika - 2018'!$O$6,'2018'!$101:$101,0))</f>
        <v>2819722.624497789</v>
      </c>
      <c r="P13" s="190">
        <f t="shared" si="3"/>
        <v>910712.94550221087</v>
      </c>
      <c r="Q13" s="191">
        <f t="shared" si="4"/>
        <v>0.3229796213251348</v>
      </c>
      <c r="R13" s="189">
        <f>'2017'!J13</f>
        <v>14506801.98</v>
      </c>
      <c r="S13" s="190">
        <f t="shared" si="5"/>
        <v>-10776366.41</v>
      </c>
      <c r="T13" s="192">
        <f t="shared" si="6"/>
        <v>-0.74284921134630388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f>+SUMPRODUCT(('2018'!$G14:$R14)*('2018'!$G$5:$R$5&lt;=Master!$B$3)*($A14='2018'!$A$10:$A$66))</f>
        <v>674642.42999999993</v>
      </c>
      <c r="H14" s="189">
        <f>+SUMPRODUCT(('2018'!$G109:$R109)*('2018'!$G$5:$R$5&lt;=Master!$B$3))</f>
        <v>634377.62507038261</v>
      </c>
      <c r="I14" s="190">
        <f t="shared" si="0"/>
        <v>40264.804929617327</v>
      </c>
      <c r="J14" s="191">
        <f t="shared" si="1"/>
        <v>6.3471351035040202E-2</v>
      </c>
      <c r="K14" s="189">
        <f>+SUMPRODUCT(('2017'!$G14:$R14)*('2017'!$G$5:$R$5&lt;=Master!$B$3))</f>
        <v>528006.03</v>
      </c>
      <c r="L14" s="190">
        <f t="shared" si="7"/>
        <v>146636.39999999991</v>
      </c>
      <c r="M14" s="192">
        <f t="shared" si="2"/>
        <v>0.27771728288784869</v>
      </c>
      <c r="N14" s="189">
        <f>'2018'!K14</f>
        <v>143886.48000000001</v>
      </c>
      <c r="O14" s="189">
        <f>+INDEX('2018'!$1:$1048576,MATCH(CONCATENATE('Analitika - 2018'!$A14,"p"),'2018'!$A:$A,0),MATCH('Analitika - 2018'!$O$6,'2018'!$101:$101,0))</f>
        <v>210034.05441915779</v>
      </c>
      <c r="P14" s="190">
        <f t="shared" si="3"/>
        <v>-66147.574419157783</v>
      </c>
      <c r="Q14" s="191">
        <f t="shared" si="4"/>
        <v>-0.31493737814130529</v>
      </c>
      <c r="R14" s="189">
        <f>'2017'!J14</f>
        <v>93919.51</v>
      </c>
      <c r="S14" s="190">
        <f t="shared" si="5"/>
        <v>49966.970000000016</v>
      </c>
      <c r="T14" s="192">
        <f t="shared" si="6"/>
        <v>0.53201906611310057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f>+SUMPRODUCT(('2018'!$G15:$R15)*('2018'!$G$5:$R$5&lt;=Master!$B$3)*($A15='2018'!$A$10:$A$66))</f>
        <v>223897848.63</v>
      </c>
      <c r="H15" s="189">
        <f>+SUMPRODUCT(('2018'!$G110:$R110)*('2018'!$G$5:$R$5&lt;=Master!$B$3))</f>
        <v>225171749.17739287</v>
      </c>
      <c r="I15" s="190">
        <f t="shared" si="0"/>
        <v>-1273900.547392875</v>
      </c>
      <c r="J15" s="191">
        <f t="shared" si="1"/>
        <v>-5.6574617022194795E-3</v>
      </c>
      <c r="K15" s="189">
        <f>+SUMPRODUCT(('2017'!$G15:$R15)*('2017'!$G$5:$R$5&lt;=Master!$B$3))</f>
        <v>190377539.38999999</v>
      </c>
      <c r="L15" s="190">
        <f t="shared" si="7"/>
        <v>33520309.24000001</v>
      </c>
      <c r="M15" s="192">
        <f t="shared" si="2"/>
        <v>0.17607281482576376</v>
      </c>
      <c r="N15" s="189">
        <f>'2018'!K15</f>
        <v>53847636.579999998</v>
      </c>
      <c r="O15" s="189">
        <f>+INDEX('2018'!$1:$1048576,MATCH(CONCATENATE('Analitika - 2018'!$A15,"p"),'2018'!$A:$A,0),MATCH('Analitika - 2018'!$O$6,'2018'!$101:$101,0))</f>
        <v>49751840.238490134</v>
      </c>
      <c r="P15" s="190">
        <f t="shared" si="3"/>
        <v>4095796.3415098637</v>
      </c>
      <c r="Q15" s="191">
        <f t="shared" si="4"/>
        <v>8.2324519492671611E-2</v>
      </c>
      <c r="R15" s="189">
        <f>'2017'!J15</f>
        <v>39843066.039999999</v>
      </c>
      <c r="S15" s="190">
        <f t="shared" si="5"/>
        <v>14004570.539999999</v>
      </c>
      <c r="T15" s="192">
        <f t="shared" si="6"/>
        <v>0.35149329436495336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f>+SUMPRODUCT(('2018'!$G16:$R16)*('2018'!$G$5:$R$5&lt;=Master!$B$3)*($A16='2018'!$A$10:$A$66))</f>
        <v>75917703.420000002</v>
      </c>
      <c r="H16" s="189">
        <f>+SUMPRODUCT(('2018'!$G111:$R111)*('2018'!$G$5:$R$5&lt;=Master!$B$3))</f>
        <v>81035412.211463928</v>
      </c>
      <c r="I16" s="190">
        <f t="shared" si="0"/>
        <v>-5117708.7914639264</v>
      </c>
      <c r="J16" s="191">
        <f t="shared" si="1"/>
        <v>-6.3153979868815102E-2</v>
      </c>
      <c r="K16" s="189">
        <f>+SUMPRODUCT(('2017'!$G16:$R16)*('2017'!$G$5:$R$5&lt;=Master!$B$3))</f>
        <v>74527726.439999998</v>
      </c>
      <c r="L16" s="190">
        <f t="shared" si="7"/>
        <v>1389976.9800000042</v>
      </c>
      <c r="M16" s="192">
        <f t="shared" si="2"/>
        <v>1.8650468039153711E-2</v>
      </c>
      <c r="N16" s="189">
        <f>'2018'!K16</f>
        <v>19160303.329999998</v>
      </c>
      <c r="O16" s="189">
        <f>+INDEX('2018'!$1:$1048576,MATCH(CONCATENATE('Analitika - 2018'!$A16,"p"),'2018'!$A:$A,0),MATCH('Analitika - 2018'!$O$6,'2018'!$101:$101,0))</f>
        <v>19907775.745794021</v>
      </c>
      <c r="P16" s="190">
        <f t="shared" si="3"/>
        <v>-747472.41579402238</v>
      </c>
      <c r="Q16" s="191">
        <f t="shared" si="4"/>
        <v>-3.7546756872220755E-2</v>
      </c>
      <c r="R16" s="189">
        <f>'2017'!J16</f>
        <v>15647198.060000001</v>
      </c>
      <c r="S16" s="190">
        <f t="shared" si="5"/>
        <v>3513105.2699999977</v>
      </c>
      <c r="T16" s="192">
        <f t="shared" si="6"/>
        <v>0.22451976747075175</v>
      </c>
    </row>
    <row r="17" spans="1:20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f>+SUMPRODUCT(('2018'!$G17:$R17)*('2018'!$G$5:$R$5&lt;=Master!$B$3)*($A17='2018'!$A$10:$A$66))</f>
        <v>9915843.2699999996</v>
      </c>
      <c r="H17" s="189">
        <f>+SUMPRODUCT(('2018'!$G112:$R112)*('2018'!$G$5:$R$5&lt;=Master!$B$3))</f>
        <v>9726044.9511760101</v>
      </c>
      <c r="I17" s="190">
        <f t="shared" si="0"/>
        <v>189798.31882398948</v>
      </c>
      <c r="J17" s="191">
        <f t="shared" si="1"/>
        <v>1.9514439813589357E-2</v>
      </c>
      <c r="K17" s="189">
        <f>+SUMPRODUCT(('2017'!$G17:$R17)*('2017'!$G$5:$R$5&lt;=Master!$B$3))</f>
        <v>9185676.1100000013</v>
      </c>
      <c r="L17" s="190">
        <f t="shared" si="7"/>
        <v>730167.15999999829</v>
      </c>
      <c r="M17" s="192">
        <f t="shared" si="2"/>
        <v>7.9489756797009203E-2</v>
      </c>
      <c r="N17" s="189">
        <f>'2018'!K17</f>
        <v>2597651.13</v>
      </c>
      <c r="O17" s="189">
        <f>+INDEX('2018'!$1:$1048576,MATCH(CONCATENATE('Analitika - 2018'!$A17,"p"),'2018'!$A:$A,0),MATCH('Analitika - 2018'!$O$6,'2018'!$101:$101,0))</f>
        <v>2392101.4273314034</v>
      </c>
      <c r="P17" s="190">
        <f t="shared" si="3"/>
        <v>205549.70266859652</v>
      </c>
      <c r="Q17" s="191">
        <f t="shared" si="4"/>
        <v>8.5928506341766964E-2</v>
      </c>
      <c r="R17" s="189">
        <f>'2017'!J17</f>
        <v>2007545.03</v>
      </c>
      <c r="S17" s="190">
        <f t="shared" si="5"/>
        <v>590106.09999999986</v>
      </c>
      <c r="T17" s="192">
        <f t="shared" si="6"/>
        <v>0.29394414131771662</v>
      </c>
    </row>
    <row r="18" spans="1:20">
      <c r="A18" s="176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9">
        <f>+SUMPRODUCT(('2018'!$G18:$R18)*('2018'!$G$5:$R$5&lt;=Master!$B$3)*($A18='2018'!$A$10:$A$66))</f>
        <v>3470551.7800000003</v>
      </c>
      <c r="H18" s="189">
        <f>+SUMPRODUCT(('2018'!$G113:$R113)*('2018'!$G$5:$R$5&lt;=Master!$B$3))</f>
        <v>3908832.3104070611</v>
      </c>
      <c r="I18" s="190">
        <f t="shared" si="0"/>
        <v>-438280.53040706087</v>
      </c>
      <c r="J18" s="191">
        <f t="shared" si="1"/>
        <v>-0.11212569268836681</v>
      </c>
      <c r="K18" s="189">
        <f>+SUMPRODUCT(('2017'!$G18:$R18)*('2017'!$G$5:$R$5&lt;=Master!$B$3))</f>
        <v>3578642.3</v>
      </c>
      <c r="L18" s="190">
        <f t="shared" si="7"/>
        <v>-108090.51999999955</v>
      </c>
      <c r="M18" s="192">
        <f t="shared" si="2"/>
        <v>-3.0204337550025495E-2</v>
      </c>
      <c r="N18" s="189">
        <f>'2018'!K18</f>
        <v>742764.21</v>
      </c>
      <c r="O18" s="189">
        <f>+INDEX('2018'!$1:$1048576,MATCH(CONCATENATE('Analitika - 2018'!$A18,"p"),'2018'!$A:$A,0),MATCH('Analitika - 2018'!$O$6,'2018'!$101:$101,0))</f>
        <v>827439.66546069668</v>
      </c>
      <c r="P18" s="190">
        <f t="shared" si="3"/>
        <v>-84675.455460696714</v>
      </c>
      <c r="Q18" s="191">
        <f t="shared" si="4"/>
        <v>-0.10233429577436515</v>
      </c>
      <c r="R18" s="189">
        <f>'2017'!J18</f>
        <v>850385.11</v>
      </c>
      <c r="S18" s="190">
        <f t="shared" si="5"/>
        <v>-107620.90000000002</v>
      </c>
      <c r="T18" s="192">
        <f t="shared" si="6"/>
        <v>-0.1265554849613959</v>
      </c>
    </row>
    <row r="19" spans="1:20">
      <c r="A19" s="176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5">
        <f>+SUMPRODUCT(('2018'!$G19:$R19)*('2018'!$G$5:$R$5&lt;=Master!$B$3)*($A19='2018'!$A$10:$A$66))</f>
        <v>175982290.57999998</v>
      </c>
      <c r="H19" s="195">
        <f>+SUMPRODUCT(('2018'!$G114:$R114)*('2018'!$G$5:$R$5&lt;=Master!$B$3))</f>
        <v>171699048.54983938</v>
      </c>
      <c r="I19" s="196">
        <f t="shared" si="0"/>
        <v>4283242.0301606059</v>
      </c>
      <c r="J19" s="197">
        <f t="shared" si="1"/>
        <v>2.494621878418446E-2</v>
      </c>
      <c r="K19" s="195">
        <f>+SUMPRODUCT(('2017'!$G19:$R19)*('2017'!$G$5:$R$5&lt;=Master!$B$3))</f>
        <v>162245132.88999999</v>
      </c>
      <c r="L19" s="196">
        <f t="shared" si="7"/>
        <v>13737157.689999998</v>
      </c>
      <c r="M19" s="198">
        <f t="shared" si="2"/>
        <v>8.4669151211541172E-2</v>
      </c>
      <c r="N19" s="195">
        <f>'2018'!K19</f>
        <v>40388291.549999997</v>
      </c>
      <c r="O19" s="195">
        <f>+INDEX('2018'!$1:$1048576,MATCH(CONCATENATE('Analitika - 2018'!$A19,"p"),'2018'!$A:$A,0),MATCH('Analitika - 2018'!$O$6,'2018'!$101:$101,0))</f>
        <v>42763487.772590324</v>
      </c>
      <c r="P19" s="196">
        <f t="shared" si="3"/>
        <v>-2375196.2225903273</v>
      </c>
      <c r="Q19" s="197">
        <f t="shared" si="4"/>
        <v>-5.5542621668776326E-2</v>
      </c>
      <c r="R19" s="195">
        <f>'2017'!J19</f>
        <v>35977730.460000001</v>
      </c>
      <c r="S19" s="196">
        <f t="shared" si="5"/>
        <v>4410561.0899999961</v>
      </c>
      <c r="T19" s="198">
        <f t="shared" si="6"/>
        <v>0.12259142068184792</v>
      </c>
    </row>
    <row r="20" spans="1:20">
      <c r="A20" s="176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9">
        <f>+SUMPRODUCT(('2018'!$G20:$R20)*('2018'!$G$5:$R$5&lt;=Master!$B$3)*($A20='2018'!$A$10:$A$66))</f>
        <v>106888612.93000001</v>
      </c>
      <c r="H20" s="189">
        <f>+SUMPRODUCT(('2018'!$G115:$R115)*('2018'!$G$5:$R$5&lt;=Master!$B$3))</f>
        <v>102310804.78820953</v>
      </c>
      <c r="I20" s="190">
        <f t="shared" si="0"/>
        <v>4577808.1417904794</v>
      </c>
      <c r="J20" s="191">
        <f t="shared" si="1"/>
        <v>4.4744131876069737E-2</v>
      </c>
      <c r="K20" s="189">
        <f>+SUMPRODUCT(('2017'!$G20:$R20)*('2017'!$G$5:$R$5&lt;=Master!$B$3))</f>
        <v>97558953.180000007</v>
      </c>
      <c r="L20" s="190">
        <f t="shared" si="7"/>
        <v>9329659.75</v>
      </c>
      <c r="M20" s="192">
        <f t="shared" si="2"/>
        <v>9.5630994858938445E-2</v>
      </c>
      <c r="N20" s="189">
        <f>'2018'!K20</f>
        <v>24475000.460000001</v>
      </c>
      <c r="O20" s="189">
        <f>+INDEX('2018'!$1:$1048576,MATCH(CONCATENATE('Analitika - 2018'!$A20,"p"),'2018'!$A:$A,0),MATCH('Analitika - 2018'!$O$6,'2018'!$101:$101,0))</f>
        <v>25181449.621492796</v>
      </c>
      <c r="P20" s="190">
        <f t="shared" si="3"/>
        <v>-706449.16149279475</v>
      </c>
      <c r="Q20" s="191">
        <f t="shared" si="4"/>
        <v>-2.8054348423604214E-2</v>
      </c>
      <c r="R20" s="189">
        <f>'2017'!J20</f>
        <v>21639290.52</v>
      </c>
      <c r="S20" s="190">
        <f t="shared" si="5"/>
        <v>2835709.9400000013</v>
      </c>
      <c r="T20" s="192">
        <f t="shared" si="6"/>
        <v>0.1310444969246618</v>
      </c>
    </row>
    <row r="21" spans="1:20">
      <c r="A21" s="176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9">
        <f>+SUMPRODUCT(('2018'!$G21:$R21)*('2018'!$G$5:$R$5&lt;=Master!$B$3)*($A21='2018'!$A$10:$A$66))</f>
        <v>60373196.300000004</v>
      </c>
      <c r="H21" s="189">
        <f>+SUMPRODUCT(('2018'!$G116:$R116)*('2018'!$G$5:$R$5&lt;=Master!$B$3))</f>
        <v>60414832.433973953</v>
      </c>
      <c r="I21" s="190">
        <f t="shared" si="0"/>
        <v>-41636.133973948658</v>
      </c>
      <c r="J21" s="191">
        <f t="shared" si="1"/>
        <v>-6.8917072673257973E-4</v>
      </c>
      <c r="K21" s="189">
        <f>+SUMPRODUCT(('2017'!$G21:$R21)*('2017'!$G$5:$R$5&lt;=Master!$B$3))</f>
        <v>56127432.339999996</v>
      </c>
      <c r="L21" s="190">
        <f t="shared" si="7"/>
        <v>4245763.9600000083</v>
      </c>
      <c r="M21" s="192">
        <f t="shared" si="2"/>
        <v>7.5645077335458444E-2</v>
      </c>
      <c r="N21" s="189">
        <f>'2018'!K21</f>
        <v>13944751.890000001</v>
      </c>
      <c r="O21" s="189">
        <f>+INDEX('2018'!$1:$1048576,MATCH(CONCATENATE('Analitika - 2018'!$A21,"p"),'2018'!$A:$A,0),MATCH('Analitika - 2018'!$O$6,'2018'!$101:$101,0))</f>
        <v>15202549.555480573</v>
      </c>
      <c r="P21" s="190">
        <f t="shared" si="3"/>
        <v>-1257797.6654805727</v>
      </c>
      <c r="Q21" s="191">
        <f t="shared" si="4"/>
        <v>-8.2735968785389136E-2</v>
      </c>
      <c r="R21" s="189">
        <f>'2017'!J21</f>
        <v>12438084.859999999</v>
      </c>
      <c r="S21" s="190">
        <f t="shared" si="5"/>
        <v>1506667.0300000012</v>
      </c>
      <c r="T21" s="192">
        <f t="shared" si="6"/>
        <v>0.12113336152298948</v>
      </c>
    </row>
    <row r="22" spans="1:20">
      <c r="A22" s="176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9">
        <f>+SUMPRODUCT(('2018'!$G22:$R22)*('2018'!$G$5:$R$5&lt;=Master!$B$3)*($A22='2018'!$A$10:$A$66))</f>
        <v>4507030.41</v>
      </c>
      <c r="H22" s="189">
        <f>+SUMPRODUCT(('2018'!$G117:$R117)*('2018'!$G$5:$R$5&lt;=Master!$B$3))</f>
        <v>4671050.1395299248</v>
      </c>
      <c r="I22" s="190">
        <f t="shared" si="0"/>
        <v>-164019.72952992469</v>
      </c>
      <c r="J22" s="191">
        <f t="shared" si="1"/>
        <v>-3.5114101675310039E-2</v>
      </c>
      <c r="K22" s="189">
        <f>+SUMPRODUCT(('2017'!$G22:$R22)*('2017'!$G$5:$R$5&lt;=Master!$B$3))</f>
        <v>4470071</v>
      </c>
      <c r="L22" s="190">
        <f t="shared" si="7"/>
        <v>36959.410000000149</v>
      </c>
      <c r="M22" s="192">
        <f t="shared" si="2"/>
        <v>8.2681930555466021E-3</v>
      </c>
      <c r="N22" s="189">
        <f>'2018'!K22</f>
        <v>1027117.44</v>
      </c>
      <c r="O22" s="189">
        <f>+INDEX('2018'!$1:$1048576,MATCH(CONCATENATE('Analitika - 2018'!$A22,"p"),'2018'!$A:$A,0),MATCH('Analitika - 2018'!$O$6,'2018'!$101:$101,0))</f>
        <v>1260180.935030153</v>
      </c>
      <c r="P22" s="190">
        <f t="shared" si="3"/>
        <v>-233063.49503015308</v>
      </c>
      <c r="Q22" s="191">
        <f t="shared" si="4"/>
        <v>-0.18494446991818392</v>
      </c>
      <c r="R22" s="189">
        <f>'2017'!J22</f>
        <v>991786.18</v>
      </c>
      <c r="S22" s="190">
        <f t="shared" si="5"/>
        <v>35331.259999999893</v>
      </c>
      <c r="T22" s="192">
        <f t="shared" si="6"/>
        <v>3.5623868039782458E-2</v>
      </c>
    </row>
    <row r="23" spans="1:20">
      <c r="A23" s="176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9">
        <f>+SUMPRODUCT(('2018'!$G23:$R23)*('2018'!$G$5:$R$5&lt;=Master!$B$3)*($A23='2018'!$A$10:$A$66))</f>
        <v>4213450.9399999995</v>
      </c>
      <c r="H23" s="189">
        <f>+SUMPRODUCT(('2018'!$G118:$R118)*('2018'!$G$5:$R$5&lt;=Master!$B$3))</f>
        <v>4302361.1881259475</v>
      </c>
      <c r="I23" s="190">
        <f t="shared" si="0"/>
        <v>-88910.248125948012</v>
      </c>
      <c r="J23" s="191">
        <f t="shared" si="1"/>
        <v>-2.0665454209500278E-2</v>
      </c>
      <c r="K23" s="189">
        <f>+SUMPRODUCT(('2017'!$G23:$R23)*('2017'!$G$5:$R$5&lt;=Master!$B$3))</f>
        <v>4088676.37</v>
      </c>
      <c r="L23" s="190">
        <f t="shared" si="7"/>
        <v>124774.56999999937</v>
      </c>
      <c r="M23" s="192">
        <f t="shared" si="2"/>
        <v>3.0517105955245594E-2</v>
      </c>
      <c r="N23" s="189">
        <f>'2018'!K23</f>
        <v>941421.76</v>
      </c>
      <c r="O23" s="189">
        <f>+INDEX('2018'!$1:$1048576,MATCH(CONCATENATE('Analitika - 2018'!$A23,"p"),'2018'!$A:$A,0),MATCH('Analitika - 2018'!$O$6,'2018'!$101:$101,0))</f>
        <v>1119307.6605867953</v>
      </c>
      <c r="P23" s="190">
        <f t="shared" si="3"/>
        <v>-177885.90058679529</v>
      </c>
      <c r="Q23" s="191">
        <f t="shared" si="4"/>
        <v>-0.1589249380224369</v>
      </c>
      <c r="R23" s="189">
        <f>'2017'!J23</f>
        <v>908568.9</v>
      </c>
      <c r="S23" s="190">
        <f t="shared" si="5"/>
        <v>32852.859999999986</v>
      </c>
      <c r="T23" s="192">
        <f t="shared" si="6"/>
        <v>3.6158908807025991E-2</v>
      </c>
    </row>
    <row r="24" spans="1:20">
      <c r="A24" s="176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195">
        <f>+SUMPRODUCT(('2018'!$G24:$R24)*('2018'!$G$5:$R$5&lt;=Master!$B$3)*($A24='2018'!$A$10:$A$66))</f>
        <v>5377193.6499999994</v>
      </c>
      <c r="H24" s="201">
        <f>+SUMPRODUCT(('2018'!$G119:$R119)*('2018'!$G$5:$R$5&lt;=Master!$B$3))</f>
        <v>5961579.4018610707</v>
      </c>
      <c r="I24" s="202">
        <f t="shared" si="0"/>
        <v>-584385.75186107121</v>
      </c>
      <c r="J24" s="203">
        <f t="shared" si="1"/>
        <v>-9.8025323906386186E-2</v>
      </c>
      <c r="K24" s="201">
        <f>+SUMPRODUCT(('2017'!$G24:$R24)*('2017'!$G$5:$R$5&lt;=Master!$B$3))</f>
        <v>4323576.33</v>
      </c>
      <c r="L24" s="202">
        <f t="shared" si="7"/>
        <v>1053617.3199999994</v>
      </c>
      <c r="M24" s="204">
        <f t="shared" si="2"/>
        <v>0.24369115740810798</v>
      </c>
      <c r="N24" s="201">
        <f>'2018'!K24</f>
        <v>1310260.4099999999</v>
      </c>
      <c r="O24" s="201">
        <f>+INDEX('2018'!$1:$1048576,MATCH(CONCATENATE('Analitika - 2018'!$A24,"p"),'2018'!$A:$A,0),MATCH('Analitika - 2018'!$O$6,'2018'!$101:$101,0))</f>
        <v>1516721.2364768749</v>
      </c>
      <c r="P24" s="202">
        <f t="shared" si="3"/>
        <v>-206460.82647687499</v>
      </c>
      <c r="Q24" s="203">
        <f t="shared" si="4"/>
        <v>-0.13612311973454905</v>
      </c>
      <c r="R24" s="201">
        <f>'2017'!J24</f>
        <v>900446.92</v>
      </c>
      <c r="S24" s="202">
        <f t="shared" si="5"/>
        <v>409813.48999999987</v>
      </c>
      <c r="T24" s="204">
        <f t="shared" si="6"/>
        <v>0.4551223185926383</v>
      </c>
    </row>
    <row r="25" spans="1:20">
      <c r="A25" s="176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195">
        <f>+SUMPRODUCT(('2018'!$G25:$R25)*('2018'!$G$5:$R$5&lt;=Master!$B$3)*($A25='2018'!$A$10:$A$66))</f>
        <v>9582101.3899999987</v>
      </c>
      <c r="H25" s="201">
        <f>+SUMPRODUCT(('2018'!$G120:$R120)*('2018'!$G$5:$R$5&lt;=Master!$B$3))</f>
        <v>8526350.9963850062</v>
      </c>
      <c r="I25" s="202">
        <f t="shared" si="0"/>
        <v>1055750.3936149925</v>
      </c>
      <c r="J25" s="203">
        <f t="shared" si="1"/>
        <v>0.1238220657421456</v>
      </c>
      <c r="K25" s="201">
        <f>+SUMPRODUCT(('2017'!$G25:$R25)*('2017'!$G$5:$R$5&lt;=Master!$B$3))</f>
        <v>7935389.3700000001</v>
      </c>
      <c r="L25" s="202">
        <f t="shared" si="7"/>
        <v>1646712.0199999986</v>
      </c>
      <c r="M25" s="204">
        <f t="shared" si="2"/>
        <v>0.20751496155002136</v>
      </c>
      <c r="N25" s="201">
        <f>'2018'!K25</f>
        <v>1530724.52</v>
      </c>
      <c r="O25" s="201">
        <f>+INDEX('2018'!$1:$1048576,MATCH(CONCATENATE('Analitika - 2018'!$A25,"p"),'2018'!$A:$A,0),MATCH('Analitika - 2018'!$O$6,'2018'!$101:$101,0))</f>
        <v>1600994.4152378035</v>
      </c>
      <c r="P25" s="202">
        <f t="shared" si="3"/>
        <v>-70269.895237803459</v>
      </c>
      <c r="Q25" s="203">
        <f t="shared" si="4"/>
        <v>-4.3891405597043187E-2</v>
      </c>
      <c r="R25" s="201">
        <f>'2017'!J25</f>
        <v>1901163.79</v>
      </c>
      <c r="S25" s="202">
        <f t="shared" si="5"/>
        <v>-370439.27</v>
      </c>
      <c r="T25" s="204">
        <f t="shared" si="6"/>
        <v>-0.19484868791867749</v>
      </c>
    </row>
    <row r="26" spans="1:20">
      <c r="A26" s="176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195">
        <f>+SUMPRODUCT(('2018'!$G26:$R26)*('2018'!$G$5:$R$5&lt;=Master!$B$3)*($A26='2018'!$A$10:$A$66))</f>
        <v>13715971.34</v>
      </c>
      <c r="H26" s="201">
        <f>+SUMPRODUCT(('2018'!$G121:$R121)*('2018'!$G$5:$R$5&lt;=Master!$B$3))</f>
        <v>12849927.956046084</v>
      </c>
      <c r="I26" s="202">
        <f t="shared" si="0"/>
        <v>866043.38395391591</v>
      </c>
      <c r="J26" s="203">
        <f t="shared" si="1"/>
        <v>6.7396750154262941E-2</v>
      </c>
      <c r="K26" s="201">
        <f>+SUMPRODUCT(('2017'!$G26:$R26)*('2017'!$G$5:$R$5&lt;=Master!$B$3))</f>
        <v>11882784.079999998</v>
      </c>
      <c r="L26" s="202">
        <f t="shared" si="7"/>
        <v>1833187.2600000016</v>
      </c>
      <c r="M26" s="204">
        <f t="shared" si="2"/>
        <v>0.15427253812391095</v>
      </c>
      <c r="N26" s="201">
        <f>'2018'!K26</f>
        <v>2151437.83</v>
      </c>
      <c r="O26" s="201">
        <f>+INDEX('2018'!$1:$1048576,MATCH(CONCATENATE('Analitika - 2018'!$A26,"p"),'2018'!$A:$A,0),MATCH('Analitika - 2018'!$O$6,'2018'!$101:$101,0))</f>
        <v>2621799.4151039477</v>
      </c>
      <c r="P26" s="202">
        <f t="shared" si="3"/>
        <v>-470361.58510394767</v>
      </c>
      <c r="Q26" s="203">
        <f t="shared" si="4"/>
        <v>-0.17940410787882455</v>
      </c>
      <c r="R26" s="201">
        <f>'2017'!J26</f>
        <v>3537625.59</v>
      </c>
      <c r="S26" s="202">
        <f t="shared" si="5"/>
        <v>-1386187.7599999998</v>
      </c>
      <c r="T26" s="204">
        <f t="shared" si="6"/>
        <v>-0.39184128583827882</v>
      </c>
    </row>
    <row r="27" spans="1:20">
      <c r="A27" s="176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195">
        <f>+SUMPRODUCT(('2018'!$G27:$R27)*('2018'!$G$5:$R$5&lt;=Master!$B$3)*($A27='2018'!$A$10:$A$66))</f>
        <v>1971159.48</v>
      </c>
      <c r="H27" s="201">
        <f>+SUMPRODUCT(('2018'!$G122:$R122)*('2018'!$G$5:$R$5&lt;=Master!$B$3))</f>
        <v>730549.50073851016</v>
      </c>
      <c r="I27" s="202">
        <f t="shared" si="0"/>
        <v>1240609.9792614898</v>
      </c>
      <c r="J27" s="203">
        <f t="shared" si="1"/>
        <v>1.6981874301568354</v>
      </c>
      <c r="K27" s="201">
        <f>+SUMPRODUCT(('2017'!$G27:$R27)*('2017'!$G$5:$R$5&lt;=Master!$B$3))</f>
        <v>1183894.05</v>
      </c>
      <c r="L27" s="202">
        <f t="shared" si="7"/>
        <v>787265.42999999993</v>
      </c>
      <c r="M27" s="204">
        <f t="shared" si="2"/>
        <v>0.66497963225678847</v>
      </c>
      <c r="N27" s="201">
        <f>'2018'!K27</f>
        <v>1090667.1299999999</v>
      </c>
      <c r="O27" s="201">
        <f>+INDEX('2018'!$1:$1048576,MATCH(CONCATENATE('Analitika - 2018'!$A27,"p"),'2018'!$A:$A,0),MATCH('Analitika - 2018'!$O$6,'2018'!$101:$101,0))</f>
        <v>287457.35036751837</v>
      </c>
      <c r="P27" s="202">
        <f t="shared" si="3"/>
        <v>803209.77963248151</v>
      </c>
      <c r="Q27" s="203">
        <f t="shared" si="4"/>
        <v>2.7941876546401274</v>
      </c>
      <c r="R27" s="201">
        <f>'2017'!J27</f>
        <v>67133.97</v>
      </c>
      <c r="S27" s="202">
        <f t="shared" si="5"/>
        <v>1023533.1599999999</v>
      </c>
      <c r="T27" s="204">
        <f t="shared" si="6"/>
        <v>15.246128897188708</v>
      </c>
    </row>
    <row r="28" spans="1:20" ht="15.75" thickBot="1">
      <c r="A28" s="176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195">
        <f>+SUMPRODUCT(('2018'!$G28:$R28)*('2018'!$G$5:$R$5&lt;=Master!$B$3)*($A28='2018'!$A$10:$A$66))</f>
        <v>13745325.010000002</v>
      </c>
      <c r="H28" s="201">
        <f>+SUMPRODUCT(('2018'!$G123:$R123)*('2018'!$G$5:$R$5&lt;=Master!$B$3))</f>
        <v>10724400.729147909</v>
      </c>
      <c r="I28" s="202">
        <f t="shared" si="0"/>
        <v>3020924.2808520924</v>
      </c>
      <c r="J28" s="203">
        <f t="shared" si="1"/>
        <v>0.28168700118054191</v>
      </c>
      <c r="K28" s="201">
        <f>+SUMPRODUCT(('2017'!$G28:$R28)*('2017'!$G$5:$R$5&lt;=Master!$B$3))</f>
        <v>6197409.6100000013</v>
      </c>
      <c r="L28" s="202">
        <f t="shared" si="7"/>
        <v>7547915.4000000004</v>
      </c>
      <c r="M28" s="204">
        <f t="shared" si="2"/>
        <v>1.2179145602738366</v>
      </c>
      <c r="N28" s="201">
        <f>'2018'!K28</f>
        <v>1746477.29</v>
      </c>
      <c r="O28" s="201">
        <f>+INDEX('2018'!$1:$1048576,MATCH(CONCATENATE('Analitika - 2018'!$A28,"p"),'2018'!$A:$A,0),MATCH('Analitika - 2018'!$O$6,'2018'!$101:$101,0))</f>
        <v>1736180.726499218</v>
      </c>
      <c r="P28" s="202">
        <f t="shared" si="3"/>
        <v>10296.563500782009</v>
      </c>
      <c r="Q28" s="203">
        <f t="shared" si="4"/>
        <v>5.9305827691933377E-3</v>
      </c>
      <c r="R28" s="201">
        <f>'2017'!J28</f>
        <v>849572.77</v>
      </c>
      <c r="S28" s="202">
        <f t="shared" si="5"/>
        <v>896904.52</v>
      </c>
      <c r="T28" s="204">
        <f t="shared" si="6"/>
        <v>1.0557124141349306</v>
      </c>
    </row>
    <row r="29" spans="1:20" ht="15.75" thickBot="1">
      <c r="A29" s="176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7">
        <f>+SUMPRODUCT(('2018'!$G29:$R29)*('2018'!$G$5:$R$5&lt;=Master!$B$3)*($A29='2018'!$A$10:$A$66))</f>
        <v>686943995.05000007</v>
      </c>
      <c r="H29" s="177">
        <f>+SUMPRODUCT(('2018'!$G124:$R124)*('2018'!$G$5:$R$5&lt;=Master!$B$3))</f>
        <v>735864598.54088891</v>
      </c>
      <c r="I29" s="178">
        <f t="shared" si="0"/>
        <v>-48920603.490888834</v>
      </c>
      <c r="J29" s="179">
        <f t="shared" si="1"/>
        <v>-6.6480441630010767E-2</v>
      </c>
      <c r="K29" s="177">
        <f>+SUMPRODUCT(('2017'!$G29:$R29)*('2017'!$G$5:$R$5&lt;=Master!$B$3))</f>
        <v>638912324.79999995</v>
      </c>
      <c r="L29" s="178">
        <f t="shared" si="7"/>
        <v>48031670.250000119</v>
      </c>
      <c r="M29" s="180">
        <f t="shared" si="2"/>
        <v>7.5177247934660851E-2</v>
      </c>
      <c r="N29" s="177">
        <f>'2018'!K29</f>
        <v>141761088.21000004</v>
      </c>
      <c r="O29" s="177">
        <f>+INDEX('2018'!$1:$1048576,MATCH(CONCATENATE('Analitika - 2018'!$A29,"p"),'2018'!$A:$A,0),MATCH('Analitika - 2018'!$O$6,'2018'!$101:$101,0))</f>
        <v>149556586.02311113</v>
      </c>
      <c r="P29" s="178">
        <f t="shared" si="3"/>
        <v>-7795497.8131110966</v>
      </c>
      <c r="Q29" s="179">
        <f t="shared" si="4"/>
        <v>-5.2124069025662689E-2</v>
      </c>
      <c r="R29" s="177">
        <f>'2017'!J29</f>
        <v>141189204.78999999</v>
      </c>
      <c r="S29" s="178">
        <f t="shared" si="5"/>
        <v>571883.42000004649</v>
      </c>
      <c r="T29" s="180">
        <f t="shared" si="6"/>
        <v>4.0504755363601763E-3</v>
      </c>
    </row>
    <row r="30" spans="1:20" ht="15.75" thickBot="1">
      <c r="A30" s="176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343">
        <f>+SUMPRODUCT(('2018'!$G30:$R30)*('2018'!$G$5:$R$5&lt;=Master!$B$3)*($A30='2018'!$A$10:$A$66))</f>
        <v>630028669.22000015</v>
      </c>
      <c r="H30" s="343">
        <f>+SUMPRODUCT(('2018'!$G125:$R125)*('2018'!$G$5:$R$5&lt;=Master!$B$3))</f>
        <v>628504181.87422228</v>
      </c>
      <c r="I30" s="208">
        <f t="shared" si="0"/>
        <v>1524487.3457778692</v>
      </c>
      <c r="J30" s="209">
        <f t="shared" si="1"/>
        <v>2.4255802741546262E-3</v>
      </c>
      <c r="K30" s="390">
        <f>+SUMPRODUCT(('2017'!$G30:$R30)*('2017'!$G$5:$R$5&lt;=Master!$B$3))</f>
        <v>620518008.0999999</v>
      </c>
      <c r="L30" s="208">
        <f t="shared" si="7"/>
        <v>9510661.1200002432</v>
      </c>
      <c r="M30" s="210">
        <f t="shared" si="2"/>
        <v>1.5326970363231718E-2</v>
      </c>
      <c r="N30" s="343">
        <f>'2018'!K30</f>
        <v>129446729.29000004</v>
      </c>
      <c r="O30" s="343">
        <f>+INDEX('2018'!$1:$1048576,MATCH(CONCATENATE('Analitika - 2018'!$A30,"p"),'2018'!$A:$A,0),MATCH('Analitika - 2018'!$O$6,'2018'!$101:$101,0))</f>
        <v>128084502.68977781</v>
      </c>
      <c r="P30" s="208">
        <f t="shared" si="3"/>
        <v>1362226.60022223</v>
      </c>
      <c r="Q30" s="209">
        <f t="shared" si="4"/>
        <v>1.0635374082074156E-2</v>
      </c>
      <c r="R30" s="343">
        <f>'2017'!J30</f>
        <v>134270687.53</v>
      </c>
      <c r="S30" s="208">
        <f t="shared" si="5"/>
        <v>-4823958.2399999648</v>
      </c>
      <c r="T30" s="210">
        <f t="shared" si="6"/>
        <v>-3.5927113569908187E-2</v>
      </c>
    </row>
    <row r="31" spans="1:20">
      <c r="A31" s="176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392">
        <f>+SUMPRODUCT(('2018'!$G31:$R31)*('2018'!$G$5:$R$5&lt;=Master!$B$3)*($A31='2018'!$A$10:$A$66))</f>
        <v>323188102</v>
      </c>
      <c r="H31" s="392">
        <f>+SUMPRODUCT(('2018'!$G126:$R126)*('2018'!$G$5:$R$5&lt;=Master!$B$3))</f>
        <v>310594022.19338894</v>
      </c>
      <c r="I31" s="214">
        <f t="shared" si="0"/>
        <v>12594079.806611061</v>
      </c>
      <c r="J31" s="215">
        <f t="shared" si="1"/>
        <v>4.0548365089813077E-2</v>
      </c>
      <c r="K31" s="391">
        <f>+SUMPRODUCT(('2017'!$G31:$R31)*('2017'!$G$5:$R$5&lt;=Master!$B$3))</f>
        <v>324521094.81999999</v>
      </c>
      <c r="L31" s="214">
        <f t="shared" si="7"/>
        <v>-1332992.8199999928</v>
      </c>
      <c r="M31" s="216">
        <f t="shared" si="2"/>
        <v>-4.1075690957450561E-3</v>
      </c>
      <c r="N31" s="392">
        <f>'2018'!K31</f>
        <v>66900183.370000012</v>
      </c>
      <c r="O31" s="392">
        <f>+INDEX('2018'!$1:$1048576,MATCH(CONCATENATE('Analitika - 2018'!$A31,"p"),'2018'!$A:$A,0),MATCH('Analitika - 2018'!$O$6,'2018'!$101:$101,0))</f>
        <v>62425471.101611122</v>
      </c>
      <c r="P31" s="214">
        <f t="shared" si="3"/>
        <v>4474712.2683888897</v>
      </c>
      <c r="Q31" s="215">
        <f t="shared" si="4"/>
        <v>7.1680873038271864E-2</v>
      </c>
      <c r="R31" s="392">
        <f>'2017'!J31</f>
        <v>70965970.75</v>
      </c>
      <c r="S31" s="214">
        <f t="shared" si="5"/>
        <v>-4065787.3799999878</v>
      </c>
      <c r="T31" s="216">
        <f t="shared" si="6"/>
        <v>-5.7292070227898506E-2</v>
      </c>
    </row>
    <row r="32" spans="1:20">
      <c r="A32" s="176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9">
        <f>+SUMPRODUCT(('2018'!$G32:$R32)*('2018'!$G$5:$R$5&lt;=Master!$B$3)*($A32='2018'!$A$10:$A$66))</f>
        <v>188789132</v>
      </c>
      <c r="H32" s="189">
        <f>+SUMPRODUCT(('2018'!$G127:$R127)*('2018'!$G$5:$R$5&lt;=Master!$B$3))</f>
        <v>182907400.04583332</v>
      </c>
      <c r="I32" s="190">
        <f t="shared" si="0"/>
        <v>5881731.9541666806</v>
      </c>
      <c r="J32" s="191">
        <f t="shared" si="1"/>
        <v>3.2156883497840072E-2</v>
      </c>
      <c r="K32" s="189">
        <f>+SUMPRODUCT(('2017'!$G32:$R32)*('2017'!$G$5:$R$5&lt;=Master!$B$3))</f>
        <v>180164636.03</v>
      </c>
      <c r="L32" s="190">
        <f t="shared" si="7"/>
        <v>8624495.9699999988</v>
      </c>
      <c r="M32" s="192">
        <f t="shared" si="2"/>
        <v>4.7870082387111212E-2</v>
      </c>
      <c r="N32" s="189">
        <f>'2018'!K32</f>
        <v>38447534.82</v>
      </c>
      <c r="O32" s="189">
        <f>+INDEX('2018'!$1:$1048576,MATCH(CONCATENATE('Analitika - 2018'!$A32,"p"),'2018'!$A:$A,0),MATCH('Analitika - 2018'!$O$6,'2018'!$101:$101,0))</f>
        <v>36581480.009166665</v>
      </c>
      <c r="P32" s="190">
        <f t="shared" si="3"/>
        <v>1866054.8108333349</v>
      </c>
      <c r="Q32" s="191">
        <f t="shared" si="4"/>
        <v>5.1010916189441646E-2</v>
      </c>
      <c r="R32" s="189">
        <f>'2017'!J32</f>
        <v>36703828.340000004</v>
      </c>
      <c r="S32" s="190">
        <f t="shared" si="5"/>
        <v>1743706.4799999967</v>
      </c>
      <c r="T32" s="192">
        <f t="shared" si="6"/>
        <v>4.7507482430646064E-2</v>
      </c>
    </row>
    <row r="33" spans="1:20">
      <c r="A33" s="176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9">
        <f>+SUMPRODUCT(('2018'!$G33:$R33)*('2018'!$G$5:$R$5&lt;=Master!$B$3)*($A33='2018'!$A$10:$A$66))</f>
        <v>3964631.94</v>
      </c>
      <c r="H33" s="189">
        <f>+SUMPRODUCT(('2018'!$G128:$R128)*('2018'!$G$5:$R$5&lt;=Master!$B$3))</f>
        <v>5266607.0194444451</v>
      </c>
      <c r="I33" s="190">
        <f t="shared" si="0"/>
        <v>-1301975.0794444452</v>
      </c>
      <c r="J33" s="191">
        <f t="shared" si="1"/>
        <v>-0.24721325791681825</v>
      </c>
      <c r="K33" s="189">
        <f>+SUMPRODUCT(('2017'!$G33:$R33)*('2017'!$G$5:$R$5&lt;=Master!$B$3))</f>
        <v>3376390.5199999996</v>
      </c>
      <c r="L33" s="190">
        <f t="shared" si="7"/>
        <v>588241.42000000039</v>
      </c>
      <c r="M33" s="192">
        <f t="shared" si="2"/>
        <v>0.17422197358852931</v>
      </c>
      <c r="N33" s="189">
        <f>'2018'!K33</f>
        <v>835475.63</v>
      </c>
      <c r="O33" s="189">
        <f>+INDEX('2018'!$1:$1048576,MATCH(CONCATENATE('Analitika - 2018'!$A33,"p"),'2018'!$A:$A,0),MATCH('Analitika - 2018'!$O$6,'2018'!$101:$101,0))</f>
        <v>1064654.7372222226</v>
      </c>
      <c r="P33" s="190">
        <f t="shared" si="3"/>
        <v>-229179.10722222261</v>
      </c>
      <c r="Q33" s="191">
        <f t="shared" si="4"/>
        <v>-0.21526143566521005</v>
      </c>
      <c r="R33" s="189">
        <f>'2017'!J33</f>
        <v>685539.4</v>
      </c>
      <c r="S33" s="190">
        <f t="shared" si="5"/>
        <v>149936.22999999998</v>
      </c>
      <c r="T33" s="192">
        <f t="shared" si="6"/>
        <v>0.21871278295601981</v>
      </c>
    </row>
    <row r="34" spans="1:20">
      <c r="A34" s="176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9">
        <f>+SUMPRODUCT(('2018'!$G34:$R34)*('2018'!$G$5:$R$5&lt;=Master!$B$3)*($A34='2018'!$A$10:$A$66))</f>
        <v>12437063.07</v>
      </c>
      <c r="H34" s="189">
        <f>+SUMPRODUCT(('2018'!$G129:$R129)*('2018'!$G$5:$R$5&lt;=Master!$B$3))</f>
        <v>12146866.606666667</v>
      </c>
      <c r="I34" s="190">
        <f t="shared" si="0"/>
        <v>290196.46333333291</v>
      </c>
      <c r="J34" s="191">
        <f t="shared" si="1"/>
        <v>2.389064379566519E-2</v>
      </c>
      <c r="K34" s="189">
        <f>+SUMPRODUCT(('2017'!$G34:$R34)*('2017'!$G$5:$R$5&lt;=Master!$B$3))</f>
        <v>9755306.6999999993</v>
      </c>
      <c r="L34" s="190">
        <f t="shared" si="7"/>
        <v>2681756.370000001</v>
      </c>
      <c r="M34" s="192">
        <f t="shared" si="2"/>
        <v>0.27490231239987573</v>
      </c>
      <c r="N34" s="189">
        <f>'2018'!K34</f>
        <v>2819164.34</v>
      </c>
      <c r="O34" s="189">
        <f>+INDEX('2018'!$1:$1048576,MATCH(CONCATENATE('Analitika - 2018'!$A34,"p"),'2018'!$A:$A,0),MATCH('Analitika - 2018'!$O$6,'2018'!$101:$101,0))</f>
        <v>2429373.3213333334</v>
      </c>
      <c r="P34" s="190">
        <f t="shared" si="3"/>
        <v>389791.01866666647</v>
      </c>
      <c r="Q34" s="191">
        <f t="shared" si="4"/>
        <v>0.16044920525130912</v>
      </c>
      <c r="R34" s="189">
        <f>'2017'!J34</f>
        <v>1859042.69</v>
      </c>
      <c r="S34" s="190">
        <f t="shared" si="5"/>
        <v>960121.64999999991</v>
      </c>
      <c r="T34" s="192">
        <f t="shared" si="6"/>
        <v>0.51646024868853324</v>
      </c>
    </row>
    <row r="35" spans="1:20">
      <c r="A35" s="176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9">
        <f>+SUMPRODUCT(('2018'!$G35:$R35)*('2018'!$G$5:$R$5&lt;=Master!$B$3)*($A35='2018'!$A$10:$A$66))</f>
        <v>18520575.75</v>
      </c>
      <c r="H35" s="189">
        <f>+SUMPRODUCT(('2018'!$G130:$R130)*('2018'!$G$5:$R$5&lt;=Master!$B$3))</f>
        <v>20154325.168888886</v>
      </c>
      <c r="I35" s="190">
        <f t="shared" si="0"/>
        <v>-1633749.4188888855</v>
      </c>
      <c r="J35" s="191">
        <f t="shared" si="1"/>
        <v>-8.1061975789237239E-2</v>
      </c>
      <c r="K35" s="189">
        <f>+SUMPRODUCT(('2017'!$G35:$R35)*('2017'!$G$5:$R$5&lt;=Master!$B$3))</f>
        <v>20802916.299999997</v>
      </c>
      <c r="L35" s="190">
        <f t="shared" si="7"/>
        <v>-2282340.549999997</v>
      </c>
      <c r="M35" s="192">
        <f t="shared" si="2"/>
        <v>-0.10971252862272951</v>
      </c>
      <c r="N35" s="189">
        <f>'2018'!K35</f>
        <v>4902792.45</v>
      </c>
      <c r="O35" s="189">
        <f>+INDEX('2018'!$1:$1048576,MATCH(CONCATENATE('Analitika - 2018'!$A35,"p"),'2018'!$A:$A,0),MATCH('Analitika - 2018'!$O$6,'2018'!$101:$101,0))</f>
        <v>4097531.7004444432</v>
      </c>
      <c r="P35" s="190">
        <f t="shared" si="3"/>
        <v>805260.74955555703</v>
      </c>
      <c r="Q35" s="191">
        <f t="shared" si="4"/>
        <v>0.19652337270952991</v>
      </c>
      <c r="R35" s="189">
        <f>'2017'!J35</f>
        <v>5446746.7800000003</v>
      </c>
      <c r="S35" s="190">
        <f t="shared" si="5"/>
        <v>-543954.33000000007</v>
      </c>
      <c r="T35" s="192">
        <f t="shared" si="6"/>
        <v>-9.98677471105055E-2</v>
      </c>
    </row>
    <row r="36" spans="1:20">
      <c r="A36" s="176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9">
        <f>+SUMPRODUCT(('2018'!$G36:$R36)*('2018'!$G$5:$R$5&lt;=Master!$B$3)*($A36='2018'!$A$10:$A$66))</f>
        <v>6664870.4699999997</v>
      </c>
      <c r="H36" s="189">
        <f>+SUMPRODUCT(('2018'!$G131:$R131)*('2018'!$G$5:$R$5&lt;=Master!$B$3))</f>
        <v>9301596.9916666672</v>
      </c>
      <c r="I36" s="190">
        <f t="shared" si="0"/>
        <v>-2636726.5216666674</v>
      </c>
      <c r="J36" s="191">
        <f t="shared" si="1"/>
        <v>-0.2834703034359497</v>
      </c>
      <c r="K36" s="189">
        <f>+SUMPRODUCT(('2017'!$G36:$R36)*('2017'!$G$5:$R$5&lt;=Master!$B$3))</f>
        <v>6034719.5599999996</v>
      </c>
      <c r="L36" s="190">
        <f t="shared" si="7"/>
        <v>630150.91000000015</v>
      </c>
      <c r="M36" s="192">
        <f t="shared" si="2"/>
        <v>0.10442091032313017</v>
      </c>
      <c r="N36" s="189">
        <f>'2018'!K36</f>
        <v>1674065.37</v>
      </c>
      <c r="O36" s="189">
        <f>+INDEX('2018'!$1:$1048576,MATCH(CONCATENATE('Analitika - 2018'!$A36,"p"),'2018'!$A:$A,0),MATCH('Analitika - 2018'!$O$6,'2018'!$101:$101,0))</f>
        <v>1860319.3983333334</v>
      </c>
      <c r="P36" s="190">
        <f t="shared" si="3"/>
        <v>-186254.02833333332</v>
      </c>
      <c r="Q36" s="191">
        <f t="shared" si="4"/>
        <v>-0.10011938191914727</v>
      </c>
      <c r="R36" s="189">
        <f>'2017'!J36</f>
        <v>1548888.06</v>
      </c>
      <c r="S36" s="190">
        <f t="shared" si="5"/>
        <v>125177.31000000006</v>
      </c>
      <c r="T36" s="192">
        <f t="shared" si="6"/>
        <v>8.0817531771792517E-2</v>
      </c>
    </row>
    <row r="37" spans="1:20">
      <c r="A37" s="176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9">
        <f>+SUMPRODUCT(('2018'!$G37:$R37)*('2018'!$G$5:$R$5&lt;=Master!$B$3)*($A37='2018'!$A$10:$A$66))</f>
        <v>56582553.550000004</v>
      </c>
      <c r="H37" s="189">
        <f>+SUMPRODUCT(('2018'!$G132:$R132)*('2018'!$G$5:$R$5&lt;=Master!$B$3))</f>
        <v>35613625</v>
      </c>
      <c r="I37" s="190">
        <f t="shared" si="0"/>
        <v>20968928.550000004</v>
      </c>
      <c r="J37" s="191">
        <f t="shared" si="1"/>
        <v>0.58878950261311513</v>
      </c>
      <c r="K37" s="189">
        <f>+SUMPRODUCT(('2017'!$G37:$R37)*('2017'!$G$5:$R$5&lt;=Master!$B$3))</f>
        <v>78393188.400000006</v>
      </c>
      <c r="L37" s="190">
        <f t="shared" si="7"/>
        <v>-21810634.850000001</v>
      </c>
      <c r="M37" s="192">
        <f t="shared" si="2"/>
        <v>-0.27822104566931993</v>
      </c>
      <c r="N37" s="189">
        <f>'2018'!K37</f>
        <v>10064809.060000001</v>
      </c>
      <c r="O37" s="189">
        <f>+INDEX('2018'!$1:$1048576,MATCH(CONCATENATE('Analitika - 2018'!$A37,"p"),'2018'!$A:$A,0),MATCH('Analitika - 2018'!$O$6,'2018'!$101:$101,0))</f>
        <v>7122725</v>
      </c>
      <c r="P37" s="190">
        <f t="shared" si="3"/>
        <v>2942084.0600000005</v>
      </c>
      <c r="Q37" s="191">
        <f t="shared" si="4"/>
        <v>0.41305596664198041</v>
      </c>
      <c r="R37" s="189">
        <f>'2017'!J37</f>
        <v>18359667.859999999</v>
      </c>
      <c r="S37" s="190">
        <f t="shared" si="5"/>
        <v>-8294858.7999999989</v>
      </c>
      <c r="T37" s="192">
        <f t="shared" si="6"/>
        <v>-0.45179786819956114</v>
      </c>
    </row>
    <row r="38" spans="1:20">
      <c r="A38" s="176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9">
        <f>+SUMPRODUCT(('2018'!$G38:$R38)*('2018'!$G$5:$R$5&lt;=Master!$B$3)*($A38='2018'!$A$10:$A$66))</f>
        <v>3405080.6500000004</v>
      </c>
      <c r="H38" s="189">
        <f>+SUMPRODUCT(('2018'!$G133:$R133)*('2018'!$G$5:$R$5&lt;=Master!$B$3))</f>
        <v>4000054.6666666674</v>
      </c>
      <c r="I38" s="190">
        <f t="shared" si="0"/>
        <v>-594974.01666666707</v>
      </c>
      <c r="J38" s="191">
        <f t="shared" si="1"/>
        <v>-0.14874147136655802</v>
      </c>
      <c r="K38" s="189">
        <f>+SUMPRODUCT(('2017'!$G38:$R38)*('2017'!$G$5:$R$5&lt;=Master!$B$3))</f>
        <v>3220596.75</v>
      </c>
      <c r="L38" s="190">
        <f t="shared" si="7"/>
        <v>184483.90000000037</v>
      </c>
      <c r="M38" s="192">
        <f t="shared" si="2"/>
        <v>5.728252070055051E-2</v>
      </c>
      <c r="N38" s="189">
        <f>'2018'!K38</f>
        <v>939648.68</v>
      </c>
      <c r="O38" s="189">
        <f>+INDEX('2018'!$1:$1048576,MATCH(CONCATENATE('Analitika - 2018'!$A38,"p"),'2018'!$A:$A,0),MATCH('Analitika - 2018'!$O$6,'2018'!$101:$101,0))</f>
        <v>800010.93333333347</v>
      </c>
      <c r="P38" s="190">
        <f t="shared" si="3"/>
        <v>139637.74666666659</v>
      </c>
      <c r="Q38" s="191">
        <f t="shared" si="4"/>
        <v>0.17454479788776212</v>
      </c>
      <c r="R38" s="189">
        <f>'2017'!J38</f>
        <v>737903.15</v>
      </c>
      <c r="S38" s="190">
        <f t="shared" si="5"/>
        <v>201745.53000000003</v>
      </c>
      <c r="T38" s="192">
        <f t="shared" si="6"/>
        <v>0.2734038064480413</v>
      </c>
    </row>
    <row r="39" spans="1:20">
      <c r="A39" s="176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9">
        <f>+SUMPRODUCT(('2018'!$G39:$R39)*('2018'!$G$5:$R$5&lt;=Master!$B$3)*($A39='2018'!$A$10:$A$66))</f>
        <v>8619571.129999999</v>
      </c>
      <c r="H39" s="189">
        <f>+SUMPRODUCT(('2018'!$G134:$R134)*('2018'!$G$5:$R$5&lt;=Master!$B$3))</f>
        <v>11254916.666666668</v>
      </c>
      <c r="I39" s="190">
        <f t="shared" si="0"/>
        <v>-2635345.536666669</v>
      </c>
      <c r="J39" s="191">
        <f t="shared" si="1"/>
        <v>-0.23415060410635369</v>
      </c>
      <c r="K39" s="189">
        <f>+SUMPRODUCT(('2017'!$G39:$R39)*('2017'!$G$5:$R$5&lt;=Master!$B$3))</f>
        <v>4438463.4400000004</v>
      </c>
      <c r="L39" s="190">
        <f t="shared" si="7"/>
        <v>4181107.6899999985</v>
      </c>
      <c r="M39" s="192">
        <f t="shared" si="2"/>
        <v>0.94201692692099726</v>
      </c>
      <c r="N39" s="189">
        <f>'2018'!K39</f>
        <v>1488510.36</v>
      </c>
      <c r="O39" s="189">
        <f>+INDEX('2018'!$1:$1048576,MATCH(CONCATENATE('Analitika - 2018'!$A39,"p"),'2018'!$A:$A,0),MATCH('Analitika - 2018'!$O$6,'2018'!$101:$101,0))</f>
        <v>2250983.3333333335</v>
      </c>
      <c r="P39" s="190">
        <f t="shared" si="3"/>
        <v>-762472.97333333339</v>
      </c>
      <c r="Q39" s="191">
        <f t="shared" si="4"/>
        <v>-0.33872883998844949</v>
      </c>
      <c r="R39" s="189">
        <f>'2017'!J39</f>
        <v>735427.01</v>
      </c>
      <c r="S39" s="190">
        <f t="shared" si="5"/>
        <v>753083.35000000009</v>
      </c>
      <c r="T39" s="192">
        <f t="shared" si="6"/>
        <v>1.02400828329653</v>
      </c>
    </row>
    <row r="40" spans="1:20">
      <c r="A40" s="176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9">
        <f>+SUMPRODUCT(('2018'!$G40:$R40)*('2018'!$G$5:$R$5&lt;=Master!$B$3)*($A40='2018'!$A$10:$A$66))</f>
        <v>11628016.01</v>
      </c>
      <c r="H40" s="189">
        <f>+SUMPRODUCT(('2018'!$G135:$R135)*('2018'!$G$5:$R$5&lt;=Master!$B$3))</f>
        <v>13138008.558888888</v>
      </c>
      <c r="I40" s="190">
        <f t="shared" si="0"/>
        <v>-1509992.5488888882</v>
      </c>
      <c r="J40" s="191">
        <f t="shared" si="1"/>
        <v>-0.11493313785880133</v>
      </c>
      <c r="K40" s="189">
        <f>+SUMPRODUCT(('2017'!$G40:$R40)*('2017'!$G$5:$R$5&lt;=Master!$B$3))</f>
        <v>11472074.67</v>
      </c>
      <c r="L40" s="190">
        <f t="shared" si="7"/>
        <v>155941.33999999985</v>
      </c>
      <c r="M40" s="192">
        <f t="shared" si="2"/>
        <v>1.3593124564277304E-2</v>
      </c>
      <c r="N40" s="189">
        <f>'2018'!K40</f>
        <v>2637225.6800000002</v>
      </c>
      <c r="O40" s="189">
        <f>+INDEX('2018'!$1:$1048576,MATCH(CONCATENATE('Analitika - 2018'!$A40,"p"),'2018'!$A:$A,0),MATCH('Analitika - 2018'!$O$6,'2018'!$101:$101,0))</f>
        <v>2696268.3784444444</v>
      </c>
      <c r="P40" s="190">
        <f t="shared" si="3"/>
        <v>-59042.698444444221</v>
      </c>
      <c r="Q40" s="191">
        <f t="shared" si="4"/>
        <v>-2.1897930827830869E-2</v>
      </c>
      <c r="R40" s="189">
        <f>'2017'!J40</f>
        <v>2537947.84</v>
      </c>
      <c r="S40" s="190">
        <f t="shared" si="5"/>
        <v>99277.840000000317</v>
      </c>
      <c r="T40" s="192">
        <f t="shared" si="6"/>
        <v>3.9117368148905873E-2</v>
      </c>
    </row>
    <row r="41" spans="1:20">
      <c r="A41" s="176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9">
        <f>+SUMPRODUCT(('2018'!$G41:$R41)*('2018'!$G$5:$R$5&lt;=Master!$B$3)*($A41='2018'!$A$10:$A$66))</f>
        <v>12576607.430000005</v>
      </c>
      <c r="H41" s="189">
        <f>+SUMPRODUCT(('2018'!$G136:$R136)*('2018'!$G$5:$R$5&lt;=Master!$B$3))</f>
        <v>16810621.468666673</v>
      </c>
      <c r="I41" s="190">
        <f t="shared" si="0"/>
        <v>-4234014.0386666674</v>
      </c>
      <c r="J41" s="191">
        <f t="shared" si="1"/>
        <v>-0.25186540822172743</v>
      </c>
      <c r="K41" s="189">
        <f>+SUMPRODUCT(('2017'!$G41:$R41)*('2017'!$G$5:$R$5&lt;=Master!$B$3))</f>
        <v>6862802.4499999993</v>
      </c>
      <c r="L41" s="190">
        <f t="shared" si="7"/>
        <v>5713804.980000006</v>
      </c>
      <c r="M41" s="192">
        <f t="shared" si="2"/>
        <v>0.83257605353335018</v>
      </c>
      <c r="N41" s="189">
        <f>'2018'!K41</f>
        <v>3090956.9800000042</v>
      </c>
      <c r="O41" s="189">
        <f>+INDEX('2018'!$1:$1048576,MATCH(CONCATENATE('Analitika - 2018'!$A41,"p"),'2018'!$A:$A,0),MATCH('Analitika - 2018'!$O$6,'2018'!$101:$101,0))</f>
        <v>3522124.2900000066</v>
      </c>
      <c r="P41" s="190">
        <f t="shared" si="3"/>
        <v>-431167.31000000238</v>
      </c>
      <c r="Q41" s="191">
        <f t="shared" si="4"/>
        <v>-0.12241683555125238</v>
      </c>
      <c r="R41" s="189">
        <f>'2017'!J41</f>
        <v>2350979.62</v>
      </c>
      <c r="S41" s="190">
        <f t="shared" si="5"/>
        <v>739977.36000000406</v>
      </c>
      <c r="T41" s="192">
        <f t="shared" si="6"/>
        <v>0.31475277527076306</v>
      </c>
    </row>
    <row r="42" spans="1:20">
      <c r="A42" s="176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01">
        <f>+SUMPRODUCT(('2018'!$G42:$R42)*('2018'!$G$5:$R$5&lt;=Master!$B$3)*($A42='2018'!$A$10:$A$66))</f>
        <v>219652293.66000003</v>
      </c>
      <c r="H42" s="201">
        <f>+SUMPRODUCT(('2018'!$G137:$R137)*('2018'!$G$5:$R$5&lt;=Master!$B$3))</f>
        <v>229753620.81250006</v>
      </c>
      <c r="I42" s="220">
        <f t="shared" si="0"/>
        <v>-10101327.152500033</v>
      </c>
      <c r="J42" s="221">
        <f t="shared" si="1"/>
        <v>-4.3965910599266023E-2</v>
      </c>
      <c r="K42" s="201">
        <f>+SUMPRODUCT(('2017'!$G42:$R42)*('2017'!$G$5:$R$5&lt;=Master!$B$3))</f>
        <v>227532007.57999998</v>
      </c>
      <c r="L42" s="220">
        <f t="shared" si="7"/>
        <v>-7879713.9199999571</v>
      </c>
      <c r="M42" s="222">
        <f t="shared" si="2"/>
        <v>-3.463123278262048E-2</v>
      </c>
      <c r="N42" s="201">
        <f>'2018'!K42</f>
        <v>43668965.609999999</v>
      </c>
      <c r="O42" s="201">
        <f>+INDEX('2018'!$1:$1048576,MATCH(CONCATENATE('Analitika - 2018'!$A42,"p"),'2018'!$A:$A,0),MATCH('Analitika - 2018'!$O$6,'2018'!$101:$101,0))</f>
        <v>45950724.162500009</v>
      </c>
      <c r="P42" s="220">
        <f t="shared" si="3"/>
        <v>-2281758.5525000095</v>
      </c>
      <c r="Q42" s="221">
        <f t="shared" si="4"/>
        <v>-4.9656639674073633E-2</v>
      </c>
      <c r="R42" s="201">
        <f>'2017'!J42</f>
        <v>45239884.829999998</v>
      </c>
      <c r="S42" s="220">
        <f t="shared" si="5"/>
        <v>-1570919.2199999988</v>
      </c>
      <c r="T42" s="222">
        <f t="shared" si="6"/>
        <v>-3.4724209089017632E-2</v>
      </c>
    </row>
    <row r="43" spans="1:20">
      <c r="A43" s="176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9">
        <f>+SUMPRODUCT(('2018'!$G43:$R43)*('2018'!$G$5:$R$5&lt;=Master!$B$3)*($A43='2018'!$A$10:$A$66))</f>
        <v>31827889.939999998</v>
      </c>
      <c r="H43" s="189">
        <f>+SUMPRODUCT(('2018'!$G138:$R138)*('2018'!$G$5:$R$5&lt;=Master!$B$3))</f>
        <v>33255000</v>
      </c>
      <c r="I43" s="190">
        <f t="shared" si="0"/>
        <v>-1427110.0600000024</v>
      </c>
      <c r="J43" s="191">
        <f t="shared" si="1"/>
        <v>-4.2914150052623778E-2</v>
      </c>
      <c r="K43" s="189">
        <f>+SUMPRODUCT(('2017'!$G43:$R43)*('2017'!$G$5:$R$5&lt;=Master!$B$3))</f>
        <v>48065950.079999998</v>
      </c>
      <c r="L43" s="190">
        <f t="shared" si="7"/>
        <v>-16238060.140000001</v>
      </c>
      <c r="M43" s="192">
        <f t="shared" si="2"/>
        <v>-0.33782875638521037</v>
      </c>
      <c r="N43" s="189">
        <f>'2018'!K43</f>
        <v>6153473.4699999997</v>
      </c>
      <c r="O43" s="189">
        <f>+INDEX('2018'!$1:$1048576,MATCH(CONCATENATE('Analitika - 2018'!$A43,"p"),'2018'!$A:$A,0),MATCH('Analitika - 2018'!$O$6,'2018'!$101:$101,0))</f>
        <v>6651000</v>
      </c>
      <c r="P43" s="190">
        <f t="shared" si="3"/>
        <v>-497526.53000000026</v>
      </c>
      <c r="Q43" s="191">
        <f t="shared" si="4"/>
        <v>-7.4804770711171309E-2</v>
      </c>
      <c r="R43" s="189">
        <f>'2017'!J43</f>
        <v>9060292.8100000005</v>
      </c>
      <c r="S43" s="190">
        <f t="shared" si="5"/>
        <v>-2906819.3400000008</v>
      </c>
      <c r="T43" s="192">
        <f t="shared" si="6"/>
        <v>-0.32083061783518674</v>
      </c>
    </row>
    <row r="44" spans="1:20">
      <c r="A44" s="176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9">
        <f>+SUMPRODUCT(('2018'!$G44:$R44)*('2018'!$G$5:$R$5&lt;=Master!$B$3)*($A44='2018'!$A$10:$A$66))</f>
        <v>4540085.5199999996</v>
      </c>
      <c r="H44" s="189">
        <f>+SUMPRODUCT(('2018'!$G139:$R139)*('2018'!$G$5:$R$5&lt;=Master!$B$3))</f>
        <v>8499499.8000000007</v>
      </c>
      <c r="I44" s="190">
        <f t="shared" si="0"/>
        <v>-3959414.2800000012</v>
      </c>
      <c r="J44" s="191">
        <f t="shared" si="1"/>
        <v>-0.46584085807025977</v>
      </c>
      <c r="K44" s="189">
        <f>+SUMPRODUCT(('2017'!$G44:$R44)*('2017'!$G$5:$R$5&lt;=Master!$B$3))</f>
        <v>4497214.9000000004</v>
      </c>
      <c r="L44" s="190">
        <f t="shared" si="7"/>
        <v>42870.61999999918</v>
      </c>
      <c r="M44" s="192">
        <f t="shared" si="2"/>
        <v>9.5327043410800005E-3</v>
      </c>
      <c r="N44" s="189">
        <f>'2018'!K44</f>
        <v>1061504.47</v>
      </c>
      <c r="O44" s="189">
        <f>+INDEX('2018'!$1:$1048576,MATCH(CONCATENATE('Analitika - 2018'!$A44,"p"),'2018'!$A:$A,0),MATCH('Analitika - 2018'!$O$6,'2018'!$101:$101,0))</f>
        <v>1699899.96</v>
      </c>
      <c r="P44" s="190">
        <f t="shared" si="3"/>
        <v>-638395.49</v>
      </c>
      <c r="Q44" s="191">
        <f t="shared" si="4"/>
        <v>-0.37554885876931254</v>
      </c>
      <c r="R44" s="189">
        <f>'2017'!J44</f>
        <v>1150894.96</v>
      </c>
      <c r="S44" s="190">
        <f t="shared" si="5"/>
        <v>-89390.489999999991</v>
      </c>
      <c r="T44" s="192">
        <f t="shared" si="6"/>
        <v>-7.767041572586264E-2</v>
      </c>
    </row>
    <row r="45" spans="1:20">
      <c r="A45" s="176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9">
        <f>+SUMPRODUCT(('2018'!$G45:$R45)*('2018'!$G$5:$R$5&lt;=Master!$B$3)*($A45='2018'!$A$10:$A$66))</f>
        <v>172958523.13999999</v>
      </c>
      <c r="H45" s="189">
        <f>+SUMPRODUCT(('2018'!$G140:$R140)*('2018'!$G$5:$R$5&lt;=Master!$B$3))</f>
        <v>177363662.67916667</v>
      </c>
      <c r="I45" s="190">
        <f t="shared" si="0"/>
        <v>-4405139.5391666889</v>
      </c>
      <c r="J45" s="191">
        <f t="shared" si="1"/>
        <v>-2.4836764603441641E-2</v>
      </c>
      <c r="K45" s="189">
        <f>+SUMPRODUCT(('2017'!$G45:$R45)*('2017'!$G$5:$R$5&lt;=Master!$B$3))</f>
        <v>165722321.15000001</v>
      </c>
      <c r="L45" s="190">
        <f t="shared" si="7"/>
        <v>7236201.9899999797</v>
      </c>
      <c r="M45" s="192">
        <f t="shared" si="2"/>
        <v>4.3664618862357729E-2</v>
      </c>
      <c r="N45" s="189">
        <f>'2018'!K45</f>
        <v>34624926.579999998</v>
      </c>
      <c r="O45" s="189">
        <f>+INDEX('2018'!$1:$1048576,MATCH(CONCATENATE('Analitika - 2018'!$A45,"p"),'2018'!$A:$A,0),MATCH('Analitika - 2018'!$O$6,'2018'!$101:$101,0))</f>
        <v>35472732.535833336</v>
      </c>
      <c r="P45" s="190">
        <f t="shared" si="3"/>
        <v>-847805.9558333382</v>
      </c>
      <c r="Q45" s="191">
        <f t="shared" si="4"/>
        <v>-2.3900215608620323E-2</v>
      </c>
      <c r="R45" s="189">
        <f>'2017'!J45</f>
        <v>33225573.780000001</v>
      </c>
      <c r="S45" s="190">
        <f t="shared" si="5"/>
        <v>1399352.799999997</v>
      </c>
      <c r="T45" s="192">
        <f t="shared" si="6"/>
        <v>4.2116738427624423E-2</v>
      </c>
    </row>
    <row r="46" spans="1:20">
      <c r="A46" s="176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9">
        <f>+SUMPRODUCT(('2018'!$G46:$R46)*('2018'!$G$5:$R$5&lt;=Master!$B$3)*($A46='2018'!$A$10:$A$66))</f>
        <v>6881113.2400000002</v>
      </c>
      <c r="H46" s="189">
        <f>+SUMPRODUCT(('2018'!$G141:$R141)*('2018'!$G$5:$R$5&lt;=Master!$B$3))</f>
        <v>6875041.666666666</v>
      </c>
      <c r="I46" s="190">
        <f t="shared" si="0"/>
        <v>6071.5733333341777</v>
      </c>
      <c r="J46" s="191">
        <f t="shared" si="1"/>
        <v>8.8313258707528597E-4</v>
      </c>
      <c r="K46" s="189">
        <f>+SUMPRODUCT(('2017'!$G46:$R46)*('2017'!$G$5:$R$5&lt;=Master!$B$3))</f>
        <v>5844534.4799999995</v>
      </c>
      <c r="L46" s="190">
        <f t="shared" si="7"/>
        <v>1036578.7600000007</v>
      </c>
      <c r="M46" s="192">
        <f t="shared" si="2"/>
        <v>0.17735865252351135</v>
      </c>
      <c r="N46" s="189">
        <f>'2018'!K46</f>
        <v>1118465.46</v>
      </c>
      <c r="O46" s="189">
        <f>+INDEX('2018'!$1:$1048576,MATCH(CONCATENATE('Analitika - 2018'!$A46,"p"),'2018'!$A:$A,0),MATCH('Analitika - 2018'!$O$6,'2018'!$101:$101,0))</f>
        <v>1375008.3333333333</v>
      </c>
      <c r="P46" s="190">
        <f t="shared" si="3"/>
        <v>-256542.87333333329</v>
      </c>
      <c r="Q46" s="191">
        <f t="shared" si="4"/>
        <v>-0.18657550439088244</v>
      </c>
      <c r="R46" s="189">
        <f>'2017'!J46</f>
        <v>1278855.19</v>
      </c>
      <c r="S46" s="190">
        <f t="shared" si="5"/>
        <v>-160389.72999999998</v>
      </c>
      <c r="T46" s="192">
        <f t="shared" si="6"/>
        <v>-0.12541664705602829</v>
      </c>
    </row>
    <row r="47" spans="1:20">
      <c r="A47" s="176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9">
        <f>+SUMPRODUCT(('2018'!$G47:$R47)*('2018'!$G$5:$R$5&lt;=Master!$B$3)*($A47='2018'!$A$10:$A$66))</f>
        <v>3444681.82</v>
      </c>
      <c r="H47" s="189">
        <f>+SUMPRODUCT(('2018'!$G142:$R142)*('2018'!$G$5:$R$5&lt;=Master!$B$3))</f>
        <v>3760416.666666667</v>
      </c>
      <c r="I47" s="190">
        <f t="shared" si="0"/>
        <v>-315734.84666666714</v>
      </c>
      <c r="J47" s="191">
        <f t="shared" si="1"/>
        <v>-8.3962729307479389E-2</v>
      </c>
      <c r="K47" s="189">
        <f>+SUMPRODUCT(('2017'!$G47:$R47)*('2017'!$G$5:$R$5&lt;=Master!$B$3))</f>
        <v>3401986.9699999997</v>
      </c>
      <c r="L47" s="190">
        <f t="shared" si="7"/>
        <v>42694.850000000093</v>
      </c>
      <c r="M47" s="192">
        <f t="shared" si="2"/>
        <v>1.2549974581472334E-2</v>
      </c>
      <c r="N47" s="189">
        <f>'2018'!K47</f>
        <v>710595.63</v>
      </c>
      <c r="O47" s="189">
        <f>+INDEX('2018'!$1:$1048576,MATCH(CONCATENATE('Analitika - 2018'!$A47,"p"),'2018'!$A:$A,0),MATCH('Analitika - 2018'!$O$6,'2018'!$101:$101,0))</f>
        <v>752083.33333333337</v>
      </c>
      <c r="P47" s="190">
        <f t="shared" si="3"/>
        <v>-41487.703333333367</v>
      </c>
      <c r="Q47" s="191">
        <f t="shared" si="4"/>
        <v>-5.5163705263157947E-2</v>
      </c>
      <c r="R47" s="189">
        <f>'2017'!J47</f>
        <v>524268.09</v>
      </c>
      <c r="S47" s="190">
        <f t="shared" si="5"/>
        <v>186327.53999999998</v>
      </c>
      <c r="T47" s="192">
        <f t="shared" si="6"/>
        <v>0.35540507529268073</v>
      </c>
    </row>
    <row r="48" spans="1:20">
      <c r="A48" s="176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1">
        <f>+SUMPRODUCT(('2018'!$G48:$R48)*('2018'!$G$5:$R$5&lt;=Master!$B$3)*($A48='2018'!$A$10:$A$66))</f>
        <v>69475840.13000001</v>
      </c>
      <c r="H48" s="201">
        <f>+SUMPRODUCT(('2018'!$G143:$R143)*('2018'!$G$5:$R$5&lt;=Master!$B$3))</f>
        <v>82209391.124999985</v>
      </c>
      <c r="I48" s="202">
        <f t="shared" si="0"/>
        <v>-12733550.994999975</v>
      </c>
      <c r="J48" s="203">
        <f t="shared" si="1"/>
        <v>-0.15489168355034422</v>
      </c>
      <c r="K48" s="201">
        <f>+SUMPRODUCT(('2017'!$G48:$R48)*('2017'!$G$5:$R$5&lt;=Master!$B$3))</f>
        <v>52300068.550000004</v>
      </c>
      <c r="L48" s="202">
        <f t="shared" si="7"/>
        <v>17175771.580000006</v>
      </c>
      <c r="M48" s="204">
        <f t="shared" si="2"/>
        <v>0.32840820396974424</v>
      </c>
      <c r="N48" s="201">
        <f>'2018'!K48</f>
        <v>13306183.48</v>
      </c>
      <c r="O48" s="201">
        <f>+INDEX('2018'!$1:$1048576,MATCH(CONCATENATE('Analitika - 2018'!$A48,"p"),'2018'!$A:$A,0),MATCH('Analitika - 2018'!$O$6,'2018'!$101:$101,0))</f>
        <v>18161878.224999998</v>
      </c>
      <c r="P48" s="202">
        <f t="shared" si="3"/>
        <v>-4855694.7449999973</v>
      </c>
      <c r="Q48" s="203">
        <f t="shared" si="4"/>
        <v>-0.2673564201259806</v>
      </c>
      <c r="R48" s="201">
        <f>'2017'!J48</f>
        <v>15717196.880000001</v>
      </c>
      <c r="S48" s="202">
        <f t="shared" si="5"/>
        <v>-2411013.4000000004</v>
      </c>
      <c r="T48" s="204">
        <f t="shared" si="6"/>
        <v>-0.15339970723838137</v>
      </c>
    </row>
    <row r="49" spans="1:20">
      <c r="A49" s="176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1">
        <f>+SUMPRODUCT(('2018'!$G49:$R49)*('2018'!$G$5:$R$5&lt;=Master!$B$3)*($A49='2018'!$A$10:$A$66))</f>
        <v>56915325.829999998</v>
      </c>
      <c r="H49" s="201">
        <f>+SUMPRODUCT(('2018'!$G144:$R144)*('2018'!$G$5:$R$5&lt;=Master!$B$3))</f>
        <v>107360416.66666666</v>
      </c>
      <c r="I49" s="202">
        <f t="shared" si="0"/>
        <v>-50445090.836666659</v>
      </c>
      <c r="J49" s="203">
        <f t="shared" si="1"/>
        <v>-0.46986675725457472</v>
      </c>
      <c r="K49" s="402">
        <f>+SUMPRODUCT(('2017'!$G49:$R49)*('2017'!$G$5:$R$5&lt;=Master!$B$3))</f>
        <v>18394316.699999999</v>
      </c>
      <c r="L49" s="202">
        <f t="shared" si="7"/>
        <v>38521009.129999995</v>
      </c>
      <c r="M49" s="204">
        <f t="shared" si="2"/>
        <v>2.0941799447217302</v>
      </c>
      <c r="N49" s="201">
        <f>'2018'!K49</f>
        <v>12314358.92</v>
      </c>
      <c r="O49" s="201">
        <f>+INDEX('2018'!$1:$1048576,MATCH(CONCATENATE('Analitika - 2018'!$A49,"p"),'2018'!$A:$A,0),MATCH('Analitika - 2018'!$O$6,'2018'!$101:$101,0))</f>
        <v>21472083.333333332</v>
      </c>
      <c r="P49" s="202">
        <f t="shared" si="3"/>
        <v>-9157724.4133333322</v>
      </c>
      <c r="Q49" s="203">
        <f t="shared" si="4"/>
        <v>-0.42649445194341484</v>
      </c>
      <c r="R49" s="201">
        <f>'2017'!J49</f>
        <v>6918517.2599999998</v>
      </c>
      <c r="S49" s="202">
        <f t="shared" si="5"/>
        <v>5395841.6600000001</v>
      </c>
      <c r="T49" s="204">
        <f t="shared" si="6"/>
        <v>0.77991301563942339</v>
      </c>
    </row>
    <row r="50" spans="1:20">
      <c r="A50" s="176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9">
        <f>+SUMPRODUCT(('2018'!$G50:$R50)*('2018'!$G$5:$R$5&lt;=Master!$B$3)*($A50='2018'!$A$10:$A$66))</f>
        <v>949392.62</v>
      </c>
      <c r="H50" s="189">
        <f>+SUMPRODUCT(('2018'!$G145:$R145)*('2018'!$G$5:$R$5&lt;=Master!$B$3))</f>
        <v>1197917.0833333333</v>
      </c>
      <c r="I50" s="190">
        <f>G50-H50</f>
        <v>-248524.46333333326</v>
      </c>
      <c r="J50" s="344">
        <f t="shared" si="1"/>
        <v>-0.20746382766475557</v>
      </c>
      <c r="K50" s="189">
        <f>+SUMPRODUCT(('2017'!$G50:$R50)*('2017'!$G$5:$R$5&lt;=Master!$B$3))</f>
        <v>620246</v>
      </c>
      <c r="L50" s="350">
        <f t="shared" si="7"/>
        <v>329146.62</v>
      </c>
      <c r="M50" s="353">
        <f t="shared" si="2"/>
        <v>0.53067108856808431</v>
      </c>
      <c r="N50" s="189">
        <f>'2018'!K50</f>
        <v>278222</v>
      </c>
      <c r="O50" s="189">
        <f>+INDEX('2018'!$1:$1048576,MATCH(CONCATENATE('Analitika - 2018'!$A50,"p"),'2018'!$A:$A,0),MATCH('Analitika - 2018'!$O$6,'2018'!$101:$101,0))</f>
        <v>239583.41666666666</v>
      </c>
      <c r="P50" s="190">
        <f t="shared" si="3"/>
        <v>38638.583333333343</v>
      </c>
      <c r="Q50" s="344">
        <f t="shared" si="4"/>
        <v>0.16127403086120662</v>
      </c>
      <c r="R50" s="189">
        <f>'2017'!J50</f>
        <v>294172</v>
      </c>
      <c r="S50" s="350">
        <f t="shared" si="5"/>
        <v>-15950</v>
      </c>
      <c r="T50" s="353">
        <f t="shared" si="6"/>
        <v>-5.4219980147668712E-2</v>
      </c>
    </row>
    <row r="51" spans="1:20">
      <c r="A51" s="176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9">
        <f>+SUMPRODUCT(('2018'!$G51:$R51)*('2018'!$G$5:$R$5&lt;=Master!$B$3)*($A51='2018'!$A$10:$A$66))</f>
        <v>7137280.5</v>
      </c>
      <c r="H51" s="189">
        <f>+SUMPRODUCT(('2018'!$G146:$R146)*('2018'!$G$5:$R$5&lt;=Master!$B$3))</f>
        <v>4749230.66</v>
      </c>
      <c r="I51" s="190">
        <f t="shared" ref="I51:I52" si="8">G51-H51</f>
        <v>2388049.84</v>
      </c>
      <c r="J51" s="345">
        <f t="shared" si="1"/>
        <v>0.5028287760611736</v>
      </c>
      <c r="K51" s="189">
        <f>+SUMPRODUCT(('2017'!$G51:$R51)*('2017'!$G$5:$R$5&lt;=Master!$B$3))</f>
        <v>5125703.78</v>
      </c>
      <c r="L51" s="351">
        <f t="shared" si="7"/>
        <v>2011576.7199999997</v>
      </c>
      <c r="M51" s="354">
        <f t="shared" si="2"/>
        <v>0.39244888240498343</v>
      </c>
      <c r="N51" s="189">
        <f>'2018'!K51</f>
        <v>4042331.56</v>
      </c>
      <c r="O51" s="189">
        <f>+INDEX('2018'!$1:$1048576,MATCH(CONCATENATE('Analitika - 2018'!$A51,"p"),'2018'!$A:$A,0),MATCH('Analitika - 2018'!$O$6,'2018'!$101:$101,0))</f>
        <v>1306845.784</v>
      </c>
      <c r="P51" s="190">
        <f t="shared" si="3"/>
        <v>2735485.7760000001</v>
      </c>
      <c r="Q51" s="345">
        <f t="shared" si="4"/>
        <v>2.0931970776438606</v>
      </c>
      <c r="R51" s="189">
        <f>'2017'!J51</f>
        <v>285897.84000000003</v>
      </c>
      <c r="S51" s="351">
        <f t="shared" si="5"/>
        <v>3756433.72</v>
      </c>
      <c r="T51" s="354">
        <f t="shared" si="6"/>
        <v>13.139076951403339</v>
      </c>
    </row>
    <row r="52" spans="1:20" ht="15.75" thickBot="1">
      <c r="A52" s="176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189">
        <f>+SUMPRODUCT(('2018'!$G52:$R52)*('2018'!$G$5:$R$5&lt;=Master!$B$3)*($A52='2018'!$A$10:$A$66))</f>
        <v>0</v>
      </c>
      <c r="H52" s="189">
        <f>+SUMPRODUCT(('2018'!$G147:$R147)*('2018'!$G$5:$R$5&lt;=Master!$B$3))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'2018'!K52</f>
        <v>0</v>
      </c>
      <c r="O52" s="189">
        <f>+INDEX('2018'!$1:$1048576,MATCH(CONCATENATE('Analitika - 2018'!$A52,"p"),'2018'!$A:$A,0),MATCH('Analitika - 2018'!$O$6,'2018'!$101:$101,0))</f>
        <v>0</v>
      </c>
      <c r="P52" s="190">
        <f t="shared" si="3"/>
        <v>0</v>
      </c>
      <c r="Q52" s="346" t="str">
        <f t="shared" si="4"/>
        <v>…</v>
      </c>
      <c r="R52" s="189">
        <f>'2017'!J52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70" t="str">
        <f>+VLOOKUP($A53,Master!$D$25:$G$223,4,FALSE)</f>
        <v>Otplata obaveza iz prethodnih godina</v>
      </c>
      <c r="C53" s="471"/>
      <c r="D53" s="471"/>
      <c r="E53" s="471"/>
      <c r="F53" s="471"/>
      <c r="G53" s="393">
        <f>+SUMPRODUCT(('2018'!$G53:$R53)*('2018'!$G$5:$R$5&lt;=Master!$B$3)*($A53='2018'!$A$10:$A$66))</f>
        <v>9625760.3100000005</v>
      </c>
      <c r="H53" s="393">
        <f>+SUMPRODUCT(('2018'!$G148:$R148)*('2018'!$G$5:$R$5&lt;=Master!$B$3))</f>
        <v>0</v>
      </c>
      <c r="I53" s="352">
        <f>G53-H53</f>
        <v>9625760.3100000005</v>
      </c>
      <c r="J53" s="347" t="str">
        <f t="shared" si="1"/>
        <v>…</v>
      </c>
      <c r="K53" s="393">
        <f>+SUMPRODUCT(('2017'!$G53:$R53)*('2017'!$G$5:$R$5&lt;=Master!$B$3))</f>
        <v>10418887.370000001</v>
      </c>
      <c r="L53" s="358">
        <f t="shared" si="7"/>
        <v>-793127.06000000052</v>
      </c>
      <c r="M53" s="356">
        <f t="shared" si="2"/>
        <v>-7.6123969079819331E-2</v>
      </c>
      <c r="N53" s="393">
        <f>'2018'!K53</f>
        <v>1250843.27</v>
      </c>
      <c r="O53" s="393">
        <v>0</v>
      </c>
      <c r="P53" s="352">
        <f>N53-O53</f>
        <v>1250843.27</v>
      </c>
      <c r="Q53" s="347" t="str">
        <f t="shared" si="4"/>
        <v>…</v>
      </c>
      <c r="R53" s="393">
        <f>'2017'!J53</f>
        <v>1767565.23</v>
      </c>
      <c r="S53" s="358">
        <f>+N53-R53</f>
        <v>-516721.95999999996</v>
      </c>
      <c r="T53" s="356">
        <f>+IF(ISNUMBER(N53/R53-1),N53/R53-1,"…")</f>
        <v>-0.29233544042954496</v>
      </c>
    </row>
    <row r="54" spans="1:20" ht="15.75" thickBot="1">
      <c r="A54" s="170">
        <v>1005</v>
      </c>
      <c r="B54" s="470" t="str">
        <f>+VLOOKUP($A54,Master!$D$25:$G$225,4,FALSE)</f>
        <v>Neto povećanje obaveza</v>
      </c>
      <c r="C54" s="471"/>
      <c r="D54" s="471"/>
      <c r="E54" s="471"/>
      <c r="F54" s="471"/>
      <c r="G54" s="189">
        <f>+SUMPRODUCT(('2018'!$G54:$R54)*('2018'!$G$5:$R$5&lt;=Master!$B$3)*($A54='2018'!$A$10:$A$66))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'2018'!K54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'2017'!J54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7">
        <f>+SUMPRODUCT(('2018'!$G55:$R55)*('2018'!$G$5:$R$5&lt;=Master!$B$3)*($A55='2018'!$A$10:$A$66))</f>
        <v>-63861510.000000075</v>
      </c>
      <c r="H55" s="177">
        <f>+SUMPRODUCT(('2018'!$G149:$R149)*('2018'!$G$5:$R$5&lt;=Master!$B$3))</f>
        <v>-123859089.09038645</v>
      </c>
      <c r="I55" s="405">
        <f>+G55-H55</f>
        <v>59997579.090386376</v>
      </c>
      <c r="J55" s="349">
        <f t="shared" si="1"/>
        <v>-0.48440190809576367</v>
      </c>
      <c r="K55" s="177">
        <f>+SUMPRODUCT(('2017'!$G55:$R55)*('2017'!$G$5:$R$5&lt;=Master!$B$3))</f>
        <v>-91014276.259999976</v>
      </c>
      <c r="L55" s="359">
        <f t="shared" si="7"/>
        <v>27152766.259999901</v>
      </c>
      <c r="M55" s="357">
        <f t="shared" si="2"/>
        <v>-0.2983352433900891</v>
      </c>
      <c r="N55" s="177">
        <f>'2018'!K55</f>
        <v>-2989878.410000056</v>
      </c>
      <c r="O55" s="177">
        <f>+INDEX('2018'!$1:$1048576,MATCH(CONCATENATE('Analitika - 2018'!$A55,"p"),'2018'!$A:$A,0),MATCH('Analitika - 2018'!$O$6,'2018'!$101:$101,0))</f>
        <v>-12476345.070774138</v>
      </c>
      <c r="P55" s="405">
        <f>N55-O55</f>
        <v>9486466.6607740819</v>
      </c>
      <c r="Q55" s="349">
        <f t="shared" si="4"/>
        <v>-0.76035622668021163</v>
      </c>
      <c r="R55" s="177">
        <f>'2017'!J55</f>
        <v>-16277543.120000005</v>
      </c>
      <c r="S55" s="359">
        <f t="shared" si="5"/>
        <v>13287664.709999949</v>
      </c>
      <c r="T55" s="357">
        <f t="shared" si="6"/>
        <v>-0.81631881494901826</v>
      </c>
    </row>
    <row r="56" spans="1:20" ht="15.75" thickBot="1">
      <c r="A56" s="170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177">
        <f>+SUMPRODUCT(('2018'!$G56:$R56)*('2018'!$G$5:$R$5&lt;=Master!$B$3)*($A56='2018'!$A$10:$A$66))</f>
        <v>-7278956.4500000719</v>
      </c>
      <c r="H56" s="177">
        <f>+SUMPRODUCT(('2018'!$G150:$R150)*('2018'!$G$5:$R$5&lt;=Master!$B$3))</f>
        <v>-88245464.09038645</v>
      </c>
      <c r="I56" s="232">
        <f t="shared" si="0"/>
        <v>80966507.640386373</v>
      </c>
      <c r="J56" s="233">
        <f t="shared" si="1"/>
        <v>-0.91751466746727606</v>
      </c>
      <c r="K56" s="177">
        <f>+SUMPRODUCT(('2017'!$G56:$R56)*('2017'!$G$5:$R$5&lt;=Master!$B$3))</f>
        <v>-12621087.859999977</v>
      </c>
      <c r="L56" s="232">
        <f t="shared" si="7"/>
        <v>5342131.4099999052</v>
      </c>
      <c r="M56" s="234">
        <f t="shared" si="2"/>
        <v>-0.42327028139394596</v>
      </c>
      <c r="N56" s="177">
        <f>'2018'!K56</f>
        <v>7074930.6499999445</v>
      </c>
      <c r="O56" s="177">
        <f>+INDEX('2018'!$1:$1048576,MATCH(CONCATENATE('Analitika - 2018'!$A56,"p"),'2018'!$A:$A,0),MATCH('Analitika - 2018'!$O$6,'2018'!$101:$101,0))</f>
        <v>-5353620.070774138</v>
      </c>
      <c r="P56" s="232">
        <f t="shared" si="3"/>
        <v>12428550.720774082</v>
      </c>
      <c r="Q56" s="233">
        <f t="shared" si="4"/>
        <v>-2.3215227372264584</v>
      </c>
      <c r="R56" s="177">
        <f>'2017'!J56</f>
        <v>2082124.7399999946</v>
      </c>
      <c r="S56" s="232">
        <f t="shared" si="5"/>
        <v>4992805.9099999499</v>
      </c>
      <c r="T56" s="234">
        <f t="shared" si="6"/>
        <v>2.3979379400678762</v>
      </c>
    </row>
    <row r="57" spans="1:20">
      <c r="A57" s="170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183">
        <f>+SUMPRODUCT(('2018'!$G57:$R57)*('2018'!$G$5:$R$5&lt;=Master!$B$3)*($A57='2018'!$A$10:$A$66))</f>
        <v>134497328.97999999</v>
      </c>
      <c r="H57" s="183">
        <f>+SUMPRODUCT(('2018'!$G151:$R151)*('2018'!$G$5:$R$5&lt;=Master!$B$3))</f>
        <v>75484369.670522749</v>
      </c>
      <c r="I57" s="220">
        <f t="shared" si="0"/>
        <v>59012959.30947724</v>
      </c>
      <c r="J57" s="221">
        <f t="shared" si="1"/>
        <v>0.78179044969255762</v>
      </c>
      <c r="K57" s="183">
        <f>+SUMPRODUCT(('2017'!$G57:$R57)*('2017'!$G$5:$R$5&lt;=Master!$B$3))</f>
        <v>168658719.95999998</v>
      </c>
      <c r="L57" s="220">
        <f t="shared" si="7"/>
        <v>-34161390.979999989</v>
      </c>
      <c r="M57" s="222">
        <f t="shared" si="2"/>
        <v>-0.20254743418011167</v>
      </c>
      <c r="N57" s="183">
        <f>'2018'!K57</f>
        <v>14760695.76</v>
      </c>
      <c r="O57" s="183">
        <f>+INDEX('2018'!$1:$1048576,MATCH(CONCATENATE('Analitika - 2018'!$A57,"p"),'2018'!$A:$A,0),MATCH('Analitika - 2018'!$O$6,'2018'!$101:$101,0))</f>
        <v>19949382.892757326</v>
      </c>
      <c r="P57" s="220">
        <f t="shared" si="3"/>
        <v>-5188687.1327573266</v>
      </c>
      <c r="Q57" s="221">
        <f t="shared" si="4"/>
        <v>-0.26009261342319978</v>
      </c>
      <c r="R57" s="183">
        <f>'2017'!J57</f>
        <v>65432249.010000005</v>
      </c>
      <c r="S57" s="220">
        <f t="shared" si="5"/>
        <v>-50671553.250000007</v>
      </c>
      <c r="T57" s="222">
        <f t="shared" si="6"/>
        <v>-0.77441252618805567</v>
      </c>
    </row>
    <row r="58" spans="1:20">
      <c r="A58" s="170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189">
        <f>+SUMPRODUCT(('2018'!$G58:$R58)*('2018'!$G$5:$R$5&lt;=Master!$B$3)*($A58='2018'!$A$10:$A$66))</f>
        <v>85633681.020000011</v>
      </c>
      <c r="H58" s="189">
        <f>+SUMPRODUCT(('2018'!$G152:$R152)*('2018'!$G$5:$R$5&lt;=Master!$B$3))</f>
        <v>16098492.400000002</v>
      </c>
      <c r="I58" s="238">
        <f t="shared" si="0"/>
        <v>69535188.620000005</v>
      </c>
      <c r="J58" s="239">
        <f t="shared" si="1"/>
        <v>4.3193602787301995</v>
      </c>
      <c r="K58" s="189">
        <f>+SUMPRODUCT(('2017'!$G58:$R58)*('2017'!$G$5:$R$5&lt;=Master!$B$3))</f>
        <v>86489964.879999995</v>
      </c>
      <c r="L58" s="238">
        <f t="shared" si="7"/>
        <v>-856283.8599999845</v>
      </c>
      <c r="M58" s="240">
        <f t="shared" si="2"/>
        <v>-9.9003839484502754E-3</v>
      </c>
      <c r="N58" s="189">
        <f>'2018'!K58</f>
        <v>831498.83</v>
      </c>
      <c r="O58" s="189">
        <f>+INDEX('2018'!$1:$1048576,MATCH(CONCATENATE('Analitika - 2018'!$A58,"p"),'2018'!$A:$A,0),MATCH('Analitika - 2018'!$O$6,'2018'!$101:$101,0))</f>
        <v>2831467.37</v>
      </c>
      <c r="P58" s="238">
        <f t="shared" si="3"/>
        <v>-1999968.54</v>
      </c>
      <c r="Q58" s="239">
        <f t="shared" si="4"/>
        <v>-0.70633642513069117</v>
      </c>
      <c r="R58" s="189">
        <f>'2017'!J58</f>
        <v>111178.77</v>
      </c>
      <c r="S58" s="238">
        <f t="shared" si="5"/>
        <v>720320.05999999994</v>
      </c>
      <c r="T58" s="240">
        <f t="shared" si="6"/>
        <v>6.4789353219144257</v>
      </c>
    </row>
    <row r="59" spans="1:20">
      <c r="A59" s="170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189">
        <f>+SUMPRODUCT(('2018'!$G59:$R59)*('2018'!$G$5:$R$5&lt;=Master!$B$3)*($A59='2018'!$A$10:$A$66))</f>
        <v>48863647.960000001</v>
      </c>
      <c r="H59" s="189">
        <f>+SUMPRODUCT(('2018'!$G153:$R153)*('2018'!$G$5:$R$5&lt;=Master!$B$3))</f>
        <v>49878587.687189415</v>
      </c>
      <c r="I59" s="238">
        <f t="shared" si="0"/>
        <v>-1014939.7271894142</v>
      </c>
      <c r="J59" s="239">
        <f t="shared" si="1"/>
        <v>-2.034820499639145E-2</v>
      </c>
      <c r="K59" s="189">
        <f>+SUMPRODUCT(('2017'!$G59:$R59)*('2017'!$G$5:$R$5&lt;=Master!$B$3))</f>
        <v>82168755.080000013</v>
      </c>
      <c r="L59" s="238">
        <f t="shared" si="7"/>
        <v>-33305107.120000012</v>
      </c>
      <c r="M59" s="240">
        <f t="shared" si="2"/>
        <v>-0.40532568721010742</v>
      </c>
      <c r="N59" s="189">
        <f>'2018'!K59</f>
        <v>13929196.93</v>
      </c>
      <c r="O59" s="189">
        <f>+INDEX('2018'!$1:$1048576,MATCH(CONCATENATE('Analitika - 2018'!$A59,"p"),'2018'!$A:$A,0),MATCH('Analitika - 2018'!$O$6,'2018'!$101:$101,0))</f>
        <v>15150457.606090657</v>
      </c>
      <c r="P59" s="238">
        <f t="shared" si="3"/>
        <v>-1221260.6760906577</v>
      </c>
      <c r="Q59" s="239">
        <f t="shared" si="4"/>
        <v>-8.0608830957006661E-2</v>
      </c>
      <c r="R59" s="189">
        <f>'2017'!J59</f>
        <v>65321070.240000002</v>
      </c>
      <c r="S59" s="238">
        <f t="shared" si="5"/>
        <v>-51391873.310000002</v>
      </c>
      <c r="T59" s="240">
        <f t="shared" si="6"/>
        <v>-0.78675798055938284</v>
      </c>
    </row>
    <row r="60" spans="1:20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+SUMPRODUCT(('2018'!$G154:$R154)*('2018'!$G$5:$R$5&lt;=Master!$B$3))</f>
        <v>9507289.583333334</v>
      </c>
      <c r="I60" s="238">
        <f t="shared" si="0"/>
        <v>-9507289.583333334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'2018'!G154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4418</v>
      </c>
      <c r="B61" s="456" t="s">
        <v>340</v>
      </c>
      <c r="C61" s="457"/>
      <c r="D61" s="457"/>
      <c r="E61" s="457"/>
      <c r="F61" s="457"/>
      <c r="G61" s="441">
        <f>'2018'!S60</f>
        <v>68939595.359999999</v>
      </c>
      <c r="H61" s="441">
        <f>+SUMPRODUCT(('2018'!$G155:$R155)*('2018'!$G$5:$R$5&lt;=Master!$B$3))</f>
        <v>70000000</v>
      </c>
      <c r="I61" s="442">
        <f t="shared" si="0"/>
        <v>-1060404.6400000006</v>
      </c>
      <c r="J61" s="443">
        <f t="shared" si="1"/>
        <v>-1.5148637714285762E-2</v>
      </c>
      <c r="K61" s="441">
        <v>0</v>
      </c>
      <c r="L61" s="442">
        <f t="shared" si="7"/>
        <v>68939595.359999999</v>
      </c>
      <c r="M61" s="444" t="str">
        <f t="shared" si="2"/>
        <v>…</v>
      </c>
      <c r="N61" s="441">
        <f>'2018'!K60</f>
        <v>68939595.359999999</v>
      </c>
      <c r="O61" s="441">
        <f>+'2018'!K155</f>
        <v>70000000</v>
      </c>
      <c r="P61" s="442">
        <f t="shared" si="3"/>
        <v>-1060404.6400000006</v>
      </c>
      <c r="Q61" s="443">
        <f t="shared" si="4"/>
        <v>-1.5148637714285762E-2</v>
      </c>
      <c r="R61" s="441">
        <v>0</v>
      </c>
      <c r="S61" s="442">
        <f t="shared" si="5"/>
        <v>68939595.359999999</v>
      </c>
      <c r="T61" s="444" t="str">
        <f t="shared" si="6"/>
        <v>…</v>
      </c>
    </row>
    <row r="62" spans="1:20" ht="15.75" thickBot="1">
      <c r="A62" s="170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394">
        <f>+SUMPRODUCT(('2018'!$G61:$R61)*('2018'!$G$5:$R$5&lt;=Master!$B$3)*($A62='2018'!$A$10:$A$66))</f>
        <v>-267298434.34000009</v>
      </c>
      <c r="H62" s="404">
        <f>+SUMPRODUCT(('2018'!$G156:$R156)*('2018'!$G$5:$R$5&lt;=Master!$B$3))</f>
        <v>-269343458.7609092</v>
      </c>
      <c r="I62" s="406">
        <f t="shared" si="0"/>
        <v>2045024.4209091067</v>
      </c>
      <c r="J62" s="407">
        <f t="shared" si="1"/>
        <v>-7.5926270135426854E-3</v>
      </c>
      <c r="K62" s="394">
        <f>+SUMPRODUCT(('2017'!$G60:$R60)*('2017'!$G$5:$R$5&lt;=Master!$B$3))</f>
        <v>-259672996.21999994</v>
      </c>
      <c r="L62" s="406">
        <f t="shared" si="7"/>
        <v>-7625438.1200001538</v>
      </c>
      <c r="M62" s="409">
        <f t="shared" si="2"/>
        <v>2.9365541396301875E-2</v>
      </c>
      <c r="N62" s="394">
        <f>+'2018'!K61</f>
        <v>-86690169.530000061</v>
      </c>
      <c r="O62" s="404">
        <f>+INDEX('2018'!$1:$1048576,MATCH(CONCATENATE('Analitika - 2018'!$A62,"p"),'2018'!$A:$A,0),MATCH('Analitika - 2018'!$O$6,'2018'!$101:$101,0))</f>
        <v>-102425727.96353146</v>
      </c>
      <c r="P62" s="406">
        <f t="shared" si="3"/>
        <v>15735558.433531404</v>
      </c>
      <c r="Q62" s="407">
        <f t="shared" si="4"/>
        <v>-0.15362896360506251</v>
      </c>
      <c r="R62" s="394">
        <f>'2017'!J60</f>
        <v>-81709792.13000001</v>
      </c>
      <c r="S62" s="406">
        <f t="shared" si="5"/>
        <v>-4980377.4000000507</v>
      </c>
      <c r="T62" s="409">
        <f t="shared" si="6"/>
        <v>6.0952026313765284E-2</v>
      </c>
    </row>
    <row r="63" spans="1:20" ht="15.75" thickBot="1">
      <c r="A63" s="170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7">
        <f>+SUMPRODUCT(('2018'!$G62:$R62)*('2018'!$G$5:$R$5&lt;=Master!$B$3)*($A63='2018'!$A$10:$A$66))</f>
        <v>267298434.34000006</v>
      </c>
      <c r="H63" s="177">
        <f>+SUMPRODUCT(('2018'!$G157:$R157)*('2018'!$G$5:$R$5&lt;=Master!$B$3))</f>
        <v>269343458.7609092</v>
      </c>
      <c r="I63" s="405">
        <f t="shared" si="0"/>
        <v>-2045024.4209091365</v>
      </c>
      <c r="J63" s="408">
        <f t="shared" si="1"/>
        <v>-7.5926270135427965E-3</v>
      </c>
      <c r="K63" s="177">
        <f>+SUMPRODUCT(('2017'!$G61:$R61)*('2017'!$G$5:$R$5&lt;=Master!$B$3))</f>
        <v>259672996.21999994</v>
      </c>
      <c r="L63" s="405">
        <f t="shared" si="7"/>
        <v>7625438.120000124</v>
      </c>
      <c r="M63" s="410">
        <f t="shared" si="2"/>
        <v>2.9365541396301875E-2</v>
      </c>
      <c r="N63" s="177">
        <f>+'2018'!K62</f>
        <v>86690169.530000061</v>
      </c>
      <c r="O63" s="177">
        <f>+INDEX('2018'!$1:$1048576,MATCH(CONCATENATE('Analitika - 2018'!$A63,"p"),'2018'!$A:$A,0),MATCH('Analitika - 2018'!$O$6,'2018'!$101:$101,0))</f>
        <v>102425727.96353146</v>
      </c>
      <c r="P63" s="405">
        <f t="shared" si="3"/>
        <v>-15735558.433531404</v>
      </c>
      <c r="Q63" s="408">
        <f t="shared" si="4"/>
        <v>-0.15362896360506251</v>
      </c>
      <c r="R63" s="177">
        <f>'2017'!J61</f>
        <v>81709792.13000001</v>
      </c>
      <c r="S63" s="405">
        <f t="shared" si="5"/>
        <v>4980377.4000000507</v>
      </c>
      <c r="T63" s="410">
        <f t="shared" si="6"/>
        <v>6.0952026313765284E-2</v>
      </c>
    </row>
    <row r="64" spans="1:20">
      <c r="A64" s="170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189">
        <f>+SUMPRODUCT(('2018'!$G63:$R63)*('2018'!$G$5:$R$5&lt;=Master!$B$3)*($A64='2018'!$A$10:$A$66))</f>
        <v>120600000</v>
      </c>
      <c r="H64" s="189">
        <f>+SUMPRODUCT(('2018'!$G158:$R158)*('2018'!$G$5:$R$5&lt;=Master!$B$3))</f>
        <v>0</v>
      </c>
      <c r="I64" s="238">
        <f t="shared" si="0"/>
        <v>120600000</v>
      </c>
      <c r="J64" s="239" t="str">
        <f t="shared" si="1"/>
        <v>…</v>
      </c>
      <c r="K64" s="189">
        <f>+SUMPRODUCT(('2017'!$G62:$R62)*('2017'!$G$5:$R$5&lt;=Master!$B$3))</f>
        <v>169535000</v>
      </c>
      <c r="L64" s="238">
        <f t="shared" si="7"/>
        <v>-48935000</v>
      </c>
      <c r="M64" s="240">
        <f t="shared" si="2"/>
        <v>-0.28864246320818709</v>
      </c>
      <c r="N64" s="189">
        <f>+'2018'!K63</f>
        <v>0</v>
      </c>
      <c r="O64" s="189">
        <f>+INDEX('2018'!$1:$1048576,MATCH(CONCATENATE('Analitika - 2018'!$A64,"p"),'2018'!$A:$A,0),MATCH('Analitika - 2018'!$O$6,'2018'!$101:$101,0))</f>
        <v>0</v>
      </c>
      <c r="P64" s="238">
        <f t="shared" si="3"/>
        <v>0</v>
      </c>
      <c r="Q64" s="239" t="str">
        <f t="shared" si="4"/>
        <v>…</v>
      </c>
      <c r="R64" s="189">
        <f>'2017'!J62</f>
        <v>22911551.579999998</v>
      </c>
      <c r="S64" s="238">
        <f t="shared" si="5"/>
        <v>-22911551.579999998</v>
      </c>
      <c r="T64" s="240">
        <f t="shared" si="6"/>
        <v>-1</v>
      </c>
    </row>
    <row r="65" spans="1:20">
      <c r="A65" s="170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189">
        <f>+SUMPRODUCT(('2018'!$G64:$R64)*('2018'!$G$5:$R$5&lt;=Master!$B$3)*($A65='2018'!$A$10:$A$66))</f>
        <v>138720914.43000001</v>
      </c>
      <c r="H65" s="189">
        <f>+SUMPRODUCT(('2018'!$G159:$R159)*('2018'!$G$5:$R$5&lt;=Master!$B$3))</f>
        <v>123291666.64999999</v>
      </c>
      <c r="I65" s="238">
        <f t="shared" si="0"/>
        <v>15429247.780000016</v>
      </c>
      <c r="J65" s="239">
        <f t="shared" si="1"/>
        <v>0.12514428751945195</v>
      </c>
      <c r="K65" s="189">
        <f>+SUMPRODUCT(('2017'!$G63:$R63)*('2017'!$G$5:$R$5&lt;=Master!$B$3))</f>
        <v>90398750.629999995</v>
      </c>
      <c r="L65" s="238">
        <f t="shared" si="7"/>
        <v>48322163.800000012</v>
      </c>
      <c r="M65" s="240">
        <f t="shared" si="2"/>
        <v>0.53454459783168362</v>
      </c>
      <c r="N65" s="189">
        <f>+'2018'!K64</f>
        <v>7673073.0999999996</v>
      </c>
      <c r="O65" s="189">
        <f>+INDEX('2018'!$1:$1048576,MATCH(CONCATENATE('Analitika - 2018'!$A65,"p"),'2018'!$A:$A,0),MATCH('Analitika - 2018'!$O$6,'2018'!$101:$101,0))</f>
        <v>24658333.329999998</v>
      </c>
      <c r="P65" s="238">
        <f t="shared" si="3"/>
        <v>-16985260.229999997</v>
      </c>
      <c r="Q65" s="239">
        <f t="shared" si="4"/>
        <v>-0.6888243419653699</v>
      </c>
      <c r="R65" s="189">
        <f>'2017'!J63</f>
        <v>84125996.959999993</v>
      </c>
      <c r="S65" s="238">
        <f t="shared" si="5"/>
        <v>-76452923.859999999</v>
      </c>
      <c r="T65" s="240">
        <f t="shared" si="6"/>
        <v>-0.90879070231229031</v>
      </c>
    </row>
    <row r="66" spans="1:20">
      <c r="A66" s="170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189">
        <f>+SUMPRODUCT(('2018'!$G65:$R65)*('2018'!$G$5:$R$5&lt;=Master!$B$3)*($A66='2018'!$A$10:$A$66))</f>
        <v>3077093.3200000003</v>
      </c>
      <c r="H66" s="189">
        <f>+SUMPRODUCT(('2018'!$G160:$R160)*('2018'!$G$5:$R$5&lt;=Master!$B$3))</f>
        <v>0</v>
      </c>
      <c r="I66" s="238">
        <f t="shared" si="0"/>
        <v>3077093.3200000003</v>
      </c>
      <c r="J66" s="239" t="str">
        <f t="shared" si="1"/>
        <v>…</v>
      </c>
      <c r="K66" s="189">
        <f>+SUMPRODUCT(('2017'!$G64:$R64)*('2017'!$G$5:$R$5&lt;=Master!$B$3))</f>
        <v>1952528.15</v>
      </c>
      <c r="L66" s="238">
        <f t="shared" si="7"/>
        <v>1124565.1700000004</v>
      </c>
      <c r="M66" s="240">
        <f t="shared" si="2"/>
        <v>0.57595337101798028</v>
      </c>
      <c r="N66" s="189">
        <f>+'2018'!K65</f>
        <v>215845.16</v>
      </c>
      <c r="O66" s="189">
        <f>+INDEX('2018'!$1:$1048576,MATCH(CONCATENATE('Analitika - 2018'!$A66,"p"),'2018'!$A:$A,0),MATCH('Analitika - 2018'!$O$6,'2018'!$101:$101,0))</f>
        <v>0</v>
      </c>
      <c r="P66" s="238">
        <f t="shared" si="3"/>
        <v>215845.16</v>
      </c>
      <c r="Q66" s="239" t="str">
        <f t="shared" si="4"/>
        <v>…</v>
      </c>
      <c r="R66" s="189">
        <f>'2017'!J64</f>
        <v>1070298.19</v>
      </c>
      <c r="S66" s="238">
        <f t="shared" si="5"/>
        <v>-854453.02999999991</v>
      </c>
      <c r="T66" s="240">
        <f t="shared" si="6"/>
        <v>-0.7983317527613496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395">
        <f>+SUMPRODUCT(('2018'!$G66:$R66)*('2018'!$G$5:$R$5&lt;=Master!$B$3)*($A67='2018'!$A$10:$A$66))</f>
        <v>4900426.5900000781</v>
      </c>
      <c r="H67" s="399">
        <f>+SUMPRODUCT(('2018'!$G161:$R161)*('2018'!$G$5:$R$5&lt;=Master!$B$3))</f>
        <v>146051792.11090922</v>
      </c>
      <c r="I67" s="252">
        <f t="shared" si="0"/>
        <v>-141151365.52090913</v>
      </c>
      <c r="J67" s="253" t="str">
        <f>+IF(ISNUMBER(G66/H66-1),G66/H66-1,"…")</f>
        <v>…</v>
      </c>
      <c r="K67" s="395">
        <f>+SUMPRODUCT(('2017'!$G65:$R65)*('2017'!$G$5:$R$5&lt;=Master!$B$3))</f>
        <v>-2213282.560000008</v>
      </c>
      <c r="L67" s="252">
        <f t="shared" si="7"/>
        <v>7113709.1500000861</v>
      </c>
      <c r="M67" s="254">
        <f t="shared" si="2"/>
        <v>-3.2140989490289305</v>
      </c>
      <c r="N67" s="395">
        <f>+'2018'!K66</f>
        <v>78801251.270000055</v>
      </c>
      <c r="O67" s="399">
        <f>+INDEX('2018'!$1:$1048576,MATCH(CONCATENATE('Analitika - 2018'!$A67,"p"),'2018'!$A:$A,0),MATCH('Analitika - 2018'!$O$6,'2018'!$101:$101,0))</f>
        <v>77767394.633531466</v>
      </c>
      <c r="P67" s="252">
        <f t="shared" si="3"/>
        <v>1033856.6364685893</v>
      </c>
      <c r="Q67" s="253">
        <f t="shared" si="4"/>
        <v>1.3294217214560256E-2</v>
      </c>
      <c r="R67" s="395">
        <f>'2017'!J65</f>
        <v>-26398054.599999979</v>
      </c>
      <c r="S67" s="252">
        <f t="shared" si="5"/>
        <v>105199305.87000003</v>
      </c>
      <c r="T67" s="254">
        <f t="shared" si="6"/>
        <v>-3.9851158528174313</v>
      </c>
    </row>
    <row r="69" spans="1:20">
      <c r="H69" s="396"/>
    </row>
    <row r="70" spans="1:20">
      <c r="H70" s="365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S8" sqref="S8:T8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9" width="10.7109375" style="304" customWidth="1"/>
    <col min="10" max="10" width="14.42578125" style="304" customWidth="1"/>
    <col min="11" max="18" width="10.7109375" style="304" customWidth="1"/>
    <col min="19" max="19" width="11.8554687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498" t="str">
        <f>+Master!G249</f>
        <v>Ostvarenje budžeta</v>
      </c>
      <c r="C7" s="479"/>
      <c r="D7" s="479"/>
      <c r="E7" s="479"/>
      <c r="F7" s="479"/>
      <c r="G7" s="487">
        <v>2018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1" t="str">
        <f>+Master!G246</f>
        <v>BDP</v>
      </c>
      <c r="T7" s="262">
        <v>4430900000</v>
      </c>
    </row>
    <row r="8" spans="1:20" ht="16.5" customHeight="1">
      <c r="A8" s="170"/>
      <c r="B8" s="480"/>
      <c r="C8" s="481"/>
      <c r="D8" s="481"/>
      <c r="E8" s="481"/>
      <c r="F8" s="482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87" t="str">
        <f>+Master!G243</f>
        <v>Jan - Maj</v>
      </c>
      <c r="T8" s="491"/>
    </row>
    <row r="9" spans="1:20" ht="13.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f t="shared" ref="G10:R10" si="1">+G11+G19+SUM(G24:G28)</f>
        <v>81544844.829999998</v>
      </c>
      <c r="H10" s="177">
        <f t="shared" si="1"/>
        <v>107080108.15000001</v>
      </c>
      <c r="I10" s="177">
        <f t="shared" si="1"/>
        <v>138858355.53999999</v>
      </c>
      <c r="J10" s="177">
        <f t="shared" si="1"/>
        <v>156827966.73000002</v>
      </c>
      <c r="K10" s="177">
        <f t="shared" si="1"/>
        <v>138771209.79999998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623082485.04999995</v>
      </c>
      <c r="T10" s="266">
        <f>+S10/$T$7</f>
        <v>0.14062210500124128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89261850.609999985</v>
      </c>
      <c r="J11" s="183">
        <f t="shared" si="2"/>
        <v>97799793.080000013</v>
      </c>
      <c r="K11" s="183">
        <f t="shared" si="2"/>
        <v>90553351.069999993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5" si="3">+SUM(G11:R11)</f>
        <v>402708443.59999996</v>
      </c>
      <c r="T11" s="269">
        <f t="shared" ref="T11:T66" si="4">+S11/$T$7</f>
        <v>9.0886376040984887E-2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10001520.890000001</v>
      </c>
      <c r="J12" s="189">
        <f>+INDEX(DataEx!$1:$1048576,MATCH('2018'!$A12,DataEx!$D:$D,0),MATCH('2018'!J$6,DataEx!$7:$7,0))</f>
        <v>9899613.5099999998</v>
      </c>
      <c r="K12" s="189">
        <f>+INDEX(DataEx!$1:$1048576,MATCH('2018'!$A12,DataEx!$D:$D,0),MATCH('2018'!K$6,DataEx!$7:$7,0))</f>
        <v>10330673.77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42625823.950000003</v>
      </c>
      <c r="T12" s="271">
        <f t="shared" si="4"/>
        <v>9.6201277280010839E-3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22262597.649999999</v>
      </c>
      <c r="J13" s="189">
        <f>+INDEX(DataEx!$1:$1048576,MATCH('2018'!$A13,DataEx!$D:$D,0),MATCH('2018'!J$6,DataEx!$7:$7,0))</f>
        <v>18095823.48</v>
      </c>
      <c r="K13" s="189">
        <f>+INDEX(DataEx!$1:$1048576,MATCH('2018'!$A13,DataEx!$D:$D,0),MATCH('2018'!K$6,DataEx!$7:$7,0))</f>
        <v>3730435.57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46206030.119999997</v>
      </c>
      <c r="T13" s="271">
        <f t="shared" si="4"/>
        <v>1.0428136523054006E-2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203411.31</v>
      </c>
      <c r="J14" s="189">
        <f>+INDEX(DataEx!$1:$1048576,MATCH('2018'!$A14,DataEx!$D:$D,0),MATCH('2018'!J$6,DataEx!$7:$7,0))</f>
        <v>117398.62</v>
      </c>
      <c r="K14" s="189">
        <f>+INDEX(DataEx!$1:$1048576,MATCH('2018'!$A14,DataEx!$D:$D,0),MATCH('2018'!K$6,DataEx!$7:$7,0))</f>
        <v>143886.48000000001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674642.42999999993</v>
      </c>
      <c r="T14" s="271">
        <f t="shared" si="4"/>
        <v>1.5225855469543431E-4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40510183.409999996</v>
      </c>
      <c r="J15" s="189">
        <f>+INDEX(DataEx!$1:$1048576,MATCH('2018'!$A15,DataEx!$D:$D,0),MATCH('2018'!J$6,DataEx!$7:$7,0))</f>
        <v>50343037.649999999</v>
      </c>
      <c r="K15" s="189">
        <f>+INDEX(DataEx!$1:$1048576,MATCH('2018'!$A15,DataEx!$D:$D,0),MATCH('2018'!K$6,DataEx!$7:$7,0))</f>
        <v>53847636.579999998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223897848.63</v>
      </c>
      <c r="T15" s="271">
        <f t="shared" si="4"/>
        <v>5.0531009192263422E-2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13376493.630000001</v>
      </c>
      <c r="J16" s="189">
        <f>+INDEX(DataEx!$1:$1048576,MATCH('2018'!$A16,DataEx!$D:$D,0),MATCH('2018'!J$6,DataEx!$7:$7,0))</f>
        <v>16425170.310000001</v>
      </c>
      <c r="K16" s="189">
        <f>+INDEX(DataEx!$1:$1048576,MATCH('2018'!$A16,DataEx!$D:$D,0),MATCH('2018'!K$6,DataEx!$7:$7,0))</f>
        <v>19160303.329999998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75917703.420000002</v>
      </c>
      <c r="T16" s="271">
        <f t="shared" si="4"/>
        <v>1.7133698214809631E-2</v>
      </c>
    </row>
    <row r="17" spans="1:25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2228428.98</v>
      </c>
      <c r="J17" s="189">
        <f>+INDEX(DataEx!$1:$1048576,MATCH('2018'!$A17,DataEx!$D:$D,0),MATCH('2018'!J$6,DataEx!$7:$7,0))</f>
        <v>2192466.4500000002</v>
      </c>
      <c r="K17" s="189">
        <f>+INDEX(DataEx!$1:$1048576,MATCH('2018'!$A17,DataEx!$D:$D,0),MATCH('2018'!K$6,DataEx!$7:$7,0))</f>
        <v>2597651.13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9915843.2699999996</v>
      </c>
      <c r="T17" s="271">
        <f t="shared" si="4"/>
        <v>2.2378846893407658E-3</v>
      </c>
    </row>
    <row r="18" spans="1:25">
      <c r="A18" s="176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679214.74</v>
      </c>
      <c r="J18" s="189">
        <f>+INDEX(DataEx!$1:$1048576,MATCH('2018'!$A18,DataEx!$D:$D,0),MATCH('2018'!J$6,DataEx!$7:$7,0))</f>
        <v>726283.06</v>
      </c>
      <c r="K18" s="189">
        <f>+INDEX(DataEx!$1:$1048576,MATCH('2018'!$A18,DataEx!$D:$D,0),MATCH('2018'!K$6,DataEx!$7:$7,0))</f>
        <v>742764.21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3470551.7800000003</v>
      </c>
      <c r="T18" s="271">
        <f t="shared" si="4"/>
        <v>7.8326113882055569E-4</v>
      </c>
    </row>
    <row r="19" spans="1:25">
      <c r="A19" s="176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43053255.969999999</v>
      </c>
      <c r="J19" s="195">
        <f>+INDEX(DataEx!$1:$1048576,MATCH('2018'!$A19,DataEx!$D:$D,0),MATCH('2018'!J$6,DataEx!$7:$7,0))</f>
        <v>41029948</v>
      </c>
      <c r="K19" s="195">
        <f>+INDEX(DataEx!$1:$1048576,MATCH('2018'!$A19,DataEx!$D:$D,0),MATCH('2018'!K$6,DataEx!$7:$7,0))</f>
        <v>40388291.549999997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175982290.57999998</v>
      </c>
      <c r="T19" s="274">
        <f t="shared" si="4"/>
        <v>3.9717053099821702E-2</v>
      </c>
    </row>
    <row r="20" spans="1:25">
      <c r="A20" s="176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26103027.100000001</v>
      </c>
      <c r="J20" s="189">
        <f>+INDEX(DataEx!$1:$1048576,MATCH('2018'!$A20,DataEx!$D:$D,0),MATCH('2018'!J$6,DataEx!$7:$7,0))</f>
        <v>24891690.100000001</v>
      </c>
      <c r="K20" s="189">
        <f>+INDEX(DataEx!$1:$1048576,MATCH('2018'!$A20,DataEx!$D:$D,0),MATCH('2018'!K$6,DataEx!$7:$7,0))</f>
        <v>24475000.460000001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106888612.93000001</v>
      </c>
      <c r="T20" s="271">
        <f t="shared" si="4"/>
        <v>2.4123454135728636E-2</v>
      </c>
    </row>
    <row r="21" spans="1:25">
      <c r="A21" s="176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12702016.77</v>
      </c>
      <c r="I21" s="189">
        <f>+INDEX(DataEx!$1:$1048576,MATCH('2018'!$A21,DataEx!$D:$D,0),MATCH('2018'!I$6,DataEx!$7:$7,0))</f>
        <v>14741947.74</v>
      </c>
      <c r="J21" s="189">
        <f>+INDEX(DataEx!$1:$1048576,MATCH('2018'!$A21,DataEx!$D:$D,0),MATCH('2018'!J$6,DataEx!$7:$7,0))</f>
        <v>14077229.140000001</v>
      </c>
      <c r="K21" s="189">
        <f>+INDEX(DataEx!$1:$1048576,MATCH('2018'!$A21,DataEx!$D:$D,0),MATCH('2018'!K$6,DataEx!$7:$7,0))</f>
        <v>13944751.890000001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60373196.300000004</v>
      </c>
      <c r="T21" s="271">
        <f t="shared" si="4"/>
        <v>1.3625492856981652E-2</v>
      </c>
    </row>
    <row r="22" spans="1:25">
      <c r="A22" s="176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1116426.95</v>
      </c>
      <c r="J22" s="189">
        <f>+INDEX(DataEx!$1:$1048576,MATCH('2018'!$A22,DataEx!$D:$D,0),MATCH('2018'!J$6,DataEx!$7:$7,0))</f>
        <v>1036934.31</v>
      </c>
      <c r="K22" s="189">
        <f>+INDEX(DataEx!$1:$1048576,MATCH('2018'!$A22,DataEx!$D:$D,0),MATCH('2018'!K$6,DataEx!$7:$7,0))</f>
        <v>1027117.44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4507030.41</v>
      </c>
      <c r="T22" s="271">
        <f t="shared" si="4"/>
        <v>1.01718170349139E-3</v>
      </c>
    </row>
    <row r="23" spans="1:25">
      <c r="A23" s="176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1091854.18</v>
      </c>
      <c r="J23" s="189">
        <f>+INDEX(DataEx!$1:$1048576,MATCH('2018'!$A23,DataEx!$D:$D,0),MATCH('2018'!J$6,DataEx!$7:$7,0))</f>
        <v>1024094.45</v>
      </c>
      <c r="K23" s="189">
        <f>+INDEX(DataEx!$1:$1048576,MATCH('2018'!$A23,DataEx!$D:$D,0),MATCH('2018'!K$6,DataEx!$7:$7,0))</f>
        <v>941421.76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4213450.9399999995</v>
      </c>
      <c r="T23" s="271">
        <f t="shared" si="4"/>
        <v>9.5092440362003195E-4</v>
      </c>
      <c r="Y23" s="380"/>
    </row>
    <row r="24" spans="1:25">
      <c r="A24" s="176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1">
        <f>+INDEX(DataEx!$1:$1048576,MATCH('2018'!$A24,DataEx!$D:$D,0),MATCH('2018'!G$6,DataEx!$7:$7,0))</f>
        <v>785627.24</v>
      </c>
      <c r="H24" s="201">
        <f>+INDEX(DataEx!$1:$1048576,MATCH('2018'!$A24,DataEx!$D:$D,0),MATCH('2018'!H$6,DataEx!$7:$7,0))</f>
        <v>993423.94</v>
      </c>
      <c r="I24" s="201">
        <f>+INDEX(DataEx!$1:$1048576,MATCH('2018'!$A24,DataEx!$D:$D,0),MATCH('2018'!I$6,DataEx!$7:$7,0))</f>
        <v>1089343.29</v>
      </c>
      <c r="J24" s="201">
        <f>+INDEX(DataEx!$1:$1048576,MATCH('2018'!$A24,DataEx!$D:$D,0),MATCH('2018'!J$6,DataEx!$7:$7,0))</f>
        <v>1198538.77</v>
      </c>
      <c r="K24" s="201">
        <f>+INDEX(DataEx!$1:$1048576,MATCH('2018'!$A24,DataEx!$D:$D,0),MATCH('2018'!K$6,DataEx!$7:$7,0))</f>
        <v>1310260.4099999999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5377193.6499999994</v>
      </c>
      <c r="T24" s="274">
        <f t="shared" si="4"/>
        <v>1.2135669164278135E-3</v>
      </c>
      <c r="Y24" s="380"/>
    </row>
    <row r="25" spans="1:25">
      <c r="A25" s="176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2001213.06</v>
      </c>
      <c r="J25" s="201">
        <f>+INDEX(DataEx!$1:$1048576,MATCH('2018'!$A25,DataEx!$D:$D,0),MATCH('2018'!J$6,DataEx!$7:$7,0))</f>
        <v>2389766.7799999998</v>
      </c>
      <c r="K25" s="201">
        <f>+INDEX(DataEx!$1:$1048576,MATCH('2018'!$A25,DataEx!$D:$D,0),MATCH('2018'!K$6,DataEx!$7:$7,0))</f>
        <v>1530724.52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9582101.3899999987</v>
      </c>
      <c r="T25" s="274">
        <f t="shared" si="4"/>
        <v>2.1625632241756751E-3</v>
      </c>
      <c r="W25" s="367"/>
    </row>
    <row r="26" spans="1:25">
      <c r="A26" s="176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1">
        <f>+INDEX(DataEx!$1:$1048576,MATCH('2018'!$A26,DataEx!$D:$D,0),MATCH('2018'!G$6,DataEx!$7:$7,0))</f>
        <v>2425520.81</v>
      </c>
      <c r="H26" s="201">
        <f>+INDEX(DataEx!$1:$1048576,MATCH('2018'!$A26,DataEx!$D:$D,0),MATCH('2018'!H$6,DataEx!$7:$7,0))</f>
        <v>1609741.96</v>
      </c>
      <c r="I26" s="201">
        <f>+INDEX(DataEx!$1:$1048576,MATCH('2018'!$A26,DataEx!$D:$D,0),MATCH('2018'!I$6,DataEx!$7:$7,0))</f>
        <v>2046839.31</v>
      </c>
      <c r="J26" s="201">
        <f>+INDEX(DataEx!$1:$1048576,MATCH('2018'!$A26,DataEx!$D:$D,0),MATCH('2018'!J$6,DataEx!$7:$7,0))</f>
        <v>5482431.4299999997</v>
      </c>
      <c r="K26" s="201">
        <f>+INDEX(DataEx!$1:$1048576,MATCH('2018'!$A26,DataEx!$D:$D,0),MATCH('2018'!K$6,DataEx!$7:$7,0))</f>
        <v>2151437.83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13715971.34</v>
      </c>
      <c r="T26" s="274">
        <f t="shared" si="4"/>
        <v>3.0955271705522579E-3</v>
      </c>
    </row>
    <row r="27" spans="1:25">
      <c r="A27" s="176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1">
        <f>+INDEX(DataEx!$1:$1048576,MATCH('2018'!$A27,DataEx!$D:$D,0),MATCH('2018'!G$6,DataEx!$7:$7,0))</f>
        <v>172043.05</v>
      </c>
      <c r="H27" s="201">
        <f>+INDEX(DataEx!$1:$1048576,MATCH('2018'!$A27,DataEx!$D:$D,0),MATCH('2018'!H$6,DataEx!$7:$7,0))</f>
        <v>78777.210000000006</v>
      </c>
      <c r="I27" s="201">
        <f>+INDEX(DataEx!$1:$1048576,MATCH('2018'!$A27,DataEx!$D:$D,0),MATCH('2018'!I$6,DataEx!$7:$7,0))</f>
        <v>195694.06</v>
      </c>
      <c r="J27" s="201">
        <f>+INDEX(DataEx!$1:$1048576,MATCH('2018'!$A27,DataEx!$D:$D,0),MATCH('2018'!J$6,DataEx!$7:$7,0))</f>
        <v>433978.03</v>
      </c>
      <c r="K27" s="201">
        <f>+INDEX(DataEx!$1:$1048576,MATCH('2018'!$A27,DataEx!$D:$D,0),MATCH('2018'!K$6,DataEx!$7:$7,0))</f>
        <v>1090667.1299999999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1971159.48</v>
      </c>
      <c r="T27" s="274">
        <f t="shared" si="4"/>
        <v>4.4486661400618382E-4</v>
      </c>
    </row>
    <row r="28" spans="1:25" ht="13.5" thickBot="1">
      <c r="A28" s="176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1210159.24</v>
      </c>
      <c r="J28" s="201">
        <f>+INDEX(DataEx!$1:$1048576,MATCH('2018'!$A28,DataEx!$D:$D,0),MATCH('2018'!J$6,DataEx!$7:$7,0))</f>
        <v>8493510.6400000006</v>
      </c>
      <c r="K28" s="201">
        <f>+INDEX(DataEx!$1:$1048576,MATCH('2018'!$A28,DataEx!$D:$D,0),MATCH('2018'!K$6,DataEx!$7:$7,0))</f>
        <v>1746477.29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3">
        <f t="shared" si="3"/>
        <v>13745325.010000002</v>
      </c>
      <c r="T28" s="277">
        <f t="shared" si="4"/>
        <v>3.1021519352727438E-3</v>
      </c>
    </row>
    <row r="29" spans="1:25" ht="13.5" thickBot="1">
      <c r="A29" s="176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7">
        <f>+G31+G42+G48+SUM(G49:G53)</f>
        <v>106100663.53</v>
      </c>
      <c r="H29" s="177">
        <f t="shared" ref="H29:R29" si="5">+H31+H42+H48+SUM(H49:H53)</f>
        <v>119016381.51999998</v>
      </c>
      <c r="I29" s="177">
        <f t="shared" si="5"/>
        <v>172407993.90000004</v>
      </c>
      <c r="J29" s="177">
        <f t="shared" si="5"/>
        <v>147657867.89000002</v>
      </c>
      <c r="K29" s="177">
        <f t="shared" si="5"/>
        <v>141761088.21000004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686943995.05000007</v>
      </c>
      <c r="T29" s="279">
        <f t="shared" si="4"/>
        <v>0.15503486764539937</v>
      </c>
    </row>
    <row r="30" spans="1:25" ht="13.5" thickBot="1">
      <c r="A30" s="176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7">
        <f>+G29-G49</f>
        <v>104040089.26000001</v>
      </c>
      <c r="H30" s="207">
        <f t="shared" ref="H30:R30" si="6">+H29-H49</f>
        <v>116057986.02999999</v>
      </c>
      <c r="I30" s="207">
        <f t="shared" si="6"/>
        <v>161601488.23000005</v>
      </c>
      <c r="J30" s="207">
        <f t="shared" si="6"/>
        <v>118882376.41000001</v>
      </c>
      <c r="K30" s="207">
        <f t="shared" si="6"/>
        <v>129446729.29000004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436">
        <f t="shared" si="3"/>
        <v>630028669.22000015</v>
      </c>
      <c r="T30" s="281">
        <f t="shared" si="4"/>
        <v>0.14218977391049226</v>
      </c>
    </row>
    <row r="31" spans="1:25">
      <c r="A31" s="176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3">
        <f>+SUM(G32:G41)</f>
        <v>48891921.900000006</v>
      </c>
      <c r="H31" s="213">
        <f t="shared" ref="H31:R31" si="7">+SUM(H32:H41)</f>
        <v>54746975.089999989</v>
      </c>
      <c r="I31" s="213">
        <f t="shared" si="7"/>
        <v>95672779.320000023</v>
      </c>
      <c r="J31" s="213">
        <f t="shared" si="7"/>
        <v>56976242.320000008</v>
      </c>
      <c r="K31" s="213">
        <f t="shared" si="7"/>
        <v>66900183.370000012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435">
        <f t="shared" si="3"/>
        <v>323188102</v>
      </c>
      <c r="T31" s="269">
        <f t="shared" si="4"/>
        <v>7.2939606400505536E-2</v>
      </c>
    </row>
    <row r="32" spans="1:25">
      <c r="A32" s="176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36623552.420000002</v>
      </c>
      <c r="J32" s="189">
        <f>+INDEX(DataEx!$1:$1048576,MATCH('2018'!$A32,DataEx!$D:$D,0),MATCH('2018'!J$6,DataEx!$7:$7,0))</f>
        <v>38350938.119999997</v>
      </c>
      <c r="K32" s="189">
        <f>+INDEX(DataEx!$1:$1048576,MATCH('2018'!$A32,DataEx!$D:$D,0),MATCH('2018'!K$6,DataEx!$7:$7,0))</f>
        <v>38447534.82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188789132</v>
      </c>
      <c r="T32" s="271">
        <f t="shared" si="4"/>
        <v>4.2607400753797195E-2</v>
      </c>
    </row>
    <row r="33" spans="1:22">
      <c r="A33" s="176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933832.27</v>
      </c>
      <c r="J33" s="189">
        <f>+INDEX(DataEx!$1:$1048576,MATCH('2018'!$A33,DataEx!$D:$D,0),MATCH('2018'!J$6,DataEx!$7:$7,0))</f>
        <v>983620.43</v>
      </c>
      <c r="K33" s="189">
        <f>+INDEX(DataEx!$1:$1048576,MATCH('2018'!$A33,DataEx!$D:$D,0),MATCH('2018'!K$6,DataEx!$7:$7,0))</f>
        <v>835475.63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3964631.94</v>
      </c>
      <c r="T33" s="271">
        <f t="shared" si="4"/>
        <v>8.9476899501229998E-4</v>
      </c>
      <c r="U33" s="368"/>
    </row>
    <row r="34" spans="1:22">
      <c r="A34" s="176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2339456.96</v>
      </c>
      <c r="I34" s="189">
        <f>+INDEX(DataEx!$1:$1048576,MATCH('2018'!$A34,DataEx!$D:$D,0),MATCH('2018'!I$6,DataEx!$7:$7,0))</f>
        <v>3799655</v>
      </c>
      <c r="J34" s="189">
        <f>+INDEX(DataEx!$1:$1048576,MATCH('2018'!$A34,DataEx!$D:$D,0),MATCH('2018'!J$6,DataEx!$7:$7,0))</f>
        <v>2451725.77</v>
      </c>
      <c r="K34" s="189">
        <f>+INDEX(DataEx!$1:$1048576,MATCH('2018'!$A34,DataEx!$D:$D,0),MATCH('2018'!K$6,DataEx!$7:$7,0))</f>
        <v>2819164.34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12437063.07</v>
      </c>
      <c r="T34" s="271">
        <f t="shared" si="4"/>
        <v>2.8068931977702047E-3</v>
      </c>
      <c r="U34" s="386"/>
      <c r="V34" s="366"/>
    </row>
    <row r="35" spans="1:22">
      <c r="A35" s="176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9">
        <f>+INDEX(DataEx!$1:$1048576,MATCH('2018'!$A35,DataEx!$D:$D,0),MATCH('2018'!G$6,DataEx!$7:$7,0))</f>
        <v>1697528.93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4190810.86</v>
      </c>
      <c r="J35" s="189">
        <f>+INDEX(DataEx!$1:$1048576,MATCH('2018'!$A35,DataEx!$D:$D,0),MATCH('2018'!J$6,DataEx!$7:$7,0))</f>
        <v>4577692.6500000004</v>
      </c>
      <c r="K35" s="189">
        <f>+INDEX(DataEx!$1:$1048576,MATCH('2018'!$A35,DataEx!$D:$D,0),MATCH('2018'!K$6,DataEx!$7:$7,0))</f>
        <v>4902792.45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18520575.75</v>
      </c>
      <c r="T35" s="271">
        <f t="shared" si="4"/>
        <v>4.1798676905369109E-3</v>
      </c>
    </row>
    <row r="36" spans="1:22">
      <c r="A36" s="176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1932637.76</v>
      </c>
      <c r="J36" s="189">
        <f>+INDEX(DataEx!$1:$1048576,MATCH('2018'!$A36,DataEx!$D:$D,0),MATCH('2018'!J$6,DataEx!$7:$7,0))</f>
        <v>1697297.09</v>
      </c>
      <c r="K36" s="189">
        <f>+INDEX(DataEx!$1:$1048576,MATCH('2018'!$A36,DataEx!$D:$D,0),MATCH('2018'!K$6,DataEx!$7:$7,0))</f>
        <v>1674065.37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6664870.4699999997</v>
      </c>
      <c r="T36" s="271">
        <f t="shared" si="4"/>
        <v>1.5041798438240538E-3</v>
      </c>
    </row>
    <row r="37" spans="1:22">
      <c r="A37" s="176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1050801.23</v>
      </c>
      <c r="I37" s="189">
        <f>+INDEX(DataEx!$1:$1048576,MATCH('2018'!$A37,DataEx!$D:$D,0),MATCH('2018'!I$6,DataEx!$7:$7,0))</f>
        <v>39514676.710000001</v>
      </c>
      <c r="J37" s="189">
        <f>+INDEX(DataEx!$1:$1048576,MATCH('2018'!$A37,DataEx!$D:$D,0),MATCH('2018'!J$6,DataEx!$7:$7,0))</f>
        <v>1628189</v>
      </c>
      <c r="K37" s="189">
        <f>+INDEX(DataEx!$1:$1048576,MATCH('2018'!$A37,DataEx!$D:$D,0),MATCH('2018'!K$6,DataEx!$7:$7,0))</f>
        <v>10064809.060000001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56582553.550000004</v>
      </c>
      <c r="T37" s="271">
        <f t="shared" si="4"/>
        <v>1.2769991096616942E-2</v>
      </c>
    </row>
    <row r="38" spans="1:22">
      <c r="A38" s="176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523950.18</v>
      </c>
      <c r="J38" s="189">
        <f>+INDEX(DataEx!$1:$1048576,MATCH('2018'!$A38,DataEx!$D:$D,0),MATCH('2018'!J$6,DataEx!$7:$7,0))</f>
        <v>641415.42000000004</v>
      </c>
      <c r="K38" s="189">
        <f>+INDEX(DataEx!$1:$1048576,MATCH('2018'!$A38,DataEx!$D:$D,0),MATCH('2018'!K$6,DataEx!$7:$7,0))</f>
        <v>939648.68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3405080.6500000004</v>
      </c>
      <c r="T38" s="271">
        <f t="shared" si="4"/>
        <v>7.6848510460628778E-4</v>
      </c>
    </row>
    <row r="39" spans="1:22">
      <c r="A39" s="176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3600137.18</v>
      </c>
      <c r="J39" s="189">
        <f>+INDEX(DataEx!$1:$1048576,MATCH('2018'!$A39,DataEx!$D:$D,0),MATCH('2018'!J$6,DataEx!$7:$7,0))</f>
        <v>1218773.67</v>
      </c>
      <c r="K39" s="189">
        <f>+INDEX(DataEx!$1:$1048576,MATCH('2018'!$A39,DataEx!$D:$D,0),MATCH('2018'!K$6,DataEx!$7:$7,0))</f>
        <v>1488510.36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8619571.129999999</v>
      </c>
      <c r="T39" s="271">
        <f t="shared" si="4"/>
        <v>1.9453319032250783E-3</v>
      </c>
    </row>
    <row r="40" spans="1:22">
      <c r="A40" s="176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3390433.55</v>
      </c>
      <c r="I40" s="189">
        <f>+INDEX(DataEx!$1:$1048576,MATCH('2018'!$A40,DataEx!$D:$D,0),MATCH('2018'!I$6,DataEx!$7:$7,0))</f>
        <v>2155321.13</v>
      </c>
      <c r="J40" s="189">
        <f>+INDEX(DataEx!$1:$1048576,MATCH('2018'!$A40,DataEx!$D:$D,0),MATCH('2018'!J$6,DataEx!$7:$7,0))</f>
        <v>2859100.45</v>
      </c>
      <c r="K40" s="189">
        <f>+INDEX(DataEx!$1:$1048576,MATCH('2018'!$A40,DataEx!$D:$D,0),MATCH('2018'!K$6,DataEx!$7:$7,0))</f>
        <v>2637225.6800000002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11628016.01</v>
      </c>
      <c r="T40" s="271">
        <f t="shared" si="4"/>
        <v>2.6243011600352072E-3</v>
      </c>
    </row>
    <row r="41" spans="1:22">
      <c r="A41" s="176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2398205.81</v>
      </c>
      <c r="J41" s="189">
        <f>+INDEX(DataEx!$1:$1048576,MATCH('2018'!$A41,DataEx!$D:$D,0),MATCH('2018'!J$6,DataEx!$7:$7,0))</f>
        <v>2567489.7200000002</v>
      </c>
      <c r="K41" s="189">
        <f>+INDEX(DataEx!$1:$1048576,MATCH('2018'!$A41,DataEx!$D:$D,0),MATCH('2018'!K$6,DataEx!$7:$7,0))</f>
        <v>3090956.9800000042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12576607.430000005</v>
      </c>
      <c r="T41" s="271">
        <f t="shared" si="4"/>
        <v>2.8383866550813616E-3</v>
      </c>
    </row>
    <row r="42" spans="1:22">
      <c r="A42" s="176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45200709.080000006</v>
      </c>
      <c r="J42" s="201">
        <f t="shared" si="8"/>
        <v>43012361.310000002</v>
      </c>
      <c r="K42" s="219">
        <f t="shared" si="8"/>
        <v>43668965.609999999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219652293.66000003</v>
      </c>
      <c r="T42" s="274">
        <f t="shared" si="4"/>
        <v>4.9572839301270627E-2</v>
      </c>
    </row>
    <row r="43" spans="1:22">
      <c r="A43" s="176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6207886.6699999999</v>
      </c>
      <c r="J43" s="189">
        <f>+INDEX(DataEx!$1:$1048576,MATCH('2018'!$A43,DataEx!$D:$D,0),MATCH('2018'!J$6,DataEx!$7:$7,0))</f>
        <v>6327448.5300000003</v>
      </c>
      <c r="K43" s="189">
        <f>+INDEX(DataEx!$1:$1048576,MATCH('2018'!$A43,DataEx!$D:$D,0),MATCH('2018'!K$6,DataEx!$7:$7,0))</f>
        <v>6153473.4699999997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31827889.939999998</v>
      </c>
      <c r="T43" s="271">
        <f t="shared" si="4"/>
        <v>7.1831659346859545E-3</v>
      </c>
    </row>
    <row r="44" spans="1:22">
      <c r="A44" s="176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1098216.9099999999</v>
      </c>
      <c r="J44" s="189">
        <f>+INDEX(DataEx!$1:$1048576,MATCH('2018'!$A44,DataEx!$D:$D,0),MATCH('2018'!J$6,DataEx!$7:$7,0))</f>
        <v>945506.13</v>
      </c>
      <c r="K44" s="189">
        <f>+INDEX(DataEx!$1:$1048576,MATCH('2018'!$A44,DataEx!$D:$D,0),MATCH('2018'!K$6,DataEx!$7:$7,0))</f>
        <v>1061504.47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4540085.5199999996</v>
      </c>
      <c r="T44" s="271">
        <f t="shared" si="4"/>
        <v>1.0246418380013089E-3</v>
      </c>
    </row>
    <row r="45" spans="1:22">
      <c r="A45" s="176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34761880.880000003</v>
      </c>
      <c r="J45" s="189">
        <f>+INDEX(DataEx!$1:$1048576,MATCH('2018'!$A45,DataEx!$D:$D,0),MATCH('2018'!J$6,DataEx!$7:$7,0))</f>
        <v>34790406.869999997</v>
      </c>
      <c r="K45" s="189">
        <f>+INDEX(DataEx!$1:$1048576,MATCH('2018'!$A45,DataEx!$D:$D,0),MATCH('2018'!K$6,DataEx!$7:$7,0))</f>
        <v>34624926.579999998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172958523.13999999</v>
      </c>
      <c r="T45" s="271">
        <f t="shared" si="4"/>
        <v>3.9034625728407317E-2</v>
      </c>
    </row>
    <row r="46" spans="1:22">
      <c r="A46" s="176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2368731.41</v>
      </c>
      <c r="J46" s="189">
        <f>+INDEX(DataEx!$1:$1048576,MATCH('2018'!$A46,DataEx!$D:$D,0),MATCH('2018'!J$6,DataEx!$7:$7,0))</f>
        <v>425632.96</v>
      </c>
      <c r="K46" s="189">
        <f>+INDEX(DataEx!$1:$1048576,MATCH('2018'!$A46,DataEx!$D:$D,0),MATCH('2018'!K$6,DataEx!$7:$7,0))</f>
        <v>1118465.46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6881113.2400000002</v>
      </c>
      <c r="T46" s="271">
        <f t="shared" si="4"/>
        <v>1.5529831952876391E-3</v>
      </c>
    </row>
    <row r="47" spans="1:22">
      <c r="A47" s="176">
        <v>425</v>
      </c>
      <c r="B47" s="499" t="str">
        <f>+VLOOKUP($A47,Master!$D$25:$G$223,4,FALSE)</f>
        <v>Ostala prava iz zdravstvenog osiguranja</v>
      </c>
      <c r="C47" s="500"/>
      <c r="D47" s="500"/>
      <c r="E47" s="500"/>
      <c r="F47" s="500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763993.21</v>
      </c>
      <c r="J47" s="189">
        <f>+INDEX(DataEx!$1:$1048576,MATCH('2018'!$A47,DataEx!$D:$D,0),MATCH('2018'!J$6,DataEx!$7:$7,0))</f>
        <v>523366.82</v>
      </c>
      <c r="K47" s="189">
        <f>+INDEX(DataEx!$1:$1048576,MATCH('2018'!$A47,DataEx!$D:$D,0),MATCH('2018'!K$6,DataEx!$7:$7,0))</f>
        <v>710595.63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3444681.82</v>
      </c>
      <c r="T47" s="271">
        <f t="shared" si="4"/>
        <v>7.7742260488839734E-4</v>
      </c>
    </row>
    <row r="48" spans="1:22">
      <c r="A48" s="176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13096709.15</v>
      </c>
      <c r="I48" s="201">
        <f>+INDEX(DataEx!$1:$1048576,MATCH('2018'!$A48,DataEx!$D:$D,0),MATCH('2018'!I$6,DataEx!$7:$7,0))</f>
        <v>16347312.470000001</v>
      </c>
      <c r="J48" s="201">
        <f>+INDEX(DataEx!$1:$1048576,MATCH('2018'!$A48,DataEx!$D:$D,0),MATCH('2018'!J$6,DataEx!$7:$7,0))</f>
        <v>15688793.050000001</v>
      </c>
      <c r="K48" s="201">
        <f>+INDEX(DataEx!$1:$1048576,MATCH('2018'!$A48,DataEx!$D:$D,0),MATCH('2018'!K$6,DataEx!$7:$7,0))</f>
        <v>13306183.48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69475840.13000001</v>
      </c>
      <c r="T48" s="274">
        <f t="shared" si="4"/>
        <v>1.5679848367148887E-2</v>
      </c>
    </row>
    <row r="49" spans="1:22">
      <c r="A49" s="176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10806505.67</v>
      </c>
      <c r="J49" s="201">
        <f>+INDEX(DataEx!$1:$1048576,MATCH('2018'!$A49,DataEx!$D:$D,0),MATCH('2018'!J$6,DataEx!$7:$7,0))</f>
        <v>28775491.48</v>
      </c>
      <c r="K49" s="201">
        <f>+INDEX(DataEx!$1:$1048576,MATCH('2018'!$A49,DataEx!$D:$D,0),MATCH('2018'!K$6,DataEx!$7:$7,0))</f>
        <v>12314358.92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56915325.829999998</v>
      </c>
      <c r="T49" s="274">
        <f t="shared" si="4"/>
        <v>1.2845093734907128E-2</v>
      </c>
    </row>
    <row r="50" spans="1:22">
      <c r="A50" s="176">
        <v>451</v>
      </c>
      <c r="B50" s="503" t="str">
        <f>+VLOOKUP($A50,Master!$D$25:$G$223,4,FALSE)</f>
        <v>Pozajmice i krediti</v>
      </c>
      <c r="C50" s="504"/>
      <c r="D50" s="504"/>
      <c r="E50" s="504"/>
      <c r="F50" s="504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237">
        <f>+INDEX(DataEx!$1:$1048576,MATCH('2018'!$A50,DataEx!$D:$D,0),MATCH('2018'!J$6,DataEx!$7:$7,0))</f>
        <v>285264</v>
      </c>
      <c r="K50" s="189">
        <f>+INDEX(DataEx!$1:$1048576,MATCH('2018'!$A50,DataEx!$D:$D,0),MATCH('2018'!K$6,DataEx!$7:$7,0))</f>
        <v>278222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949392.62</v>
      </c>
      <c r="T50" s="271">
        <f t="shared" si="4"/>
        <v>2.1426631609830959E-4</v>
      </c>
    </row>
    <row r="51" spans="1:22">
      <c r="A51" s="176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2352909.08</v>
      </c>
      <c r="J51" s="237">
        <f>+INDEX(DataEx!$1:$1048576,MATCH('2018'!$A51,DataEx!$D:$D,0),MATCH('2018'!J$6,DataEx!$7:$7,0))</f>
        <v>460039.86</v>
      </c>
      <c r="K51" s="189">
        <f>+INDEX(DataEx!$1:$1048576,MATCH('2018'!$A51,DataEx!$D:$D,0),MATCH('2018'!K$6,DataEx!$7:$7,0))</f>
        <v>4042331.56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7137280.5</v>
      </c>
      <c r="T51" s="271">
        <f t="shared" si="4"/>
        <v>1.6107970164075018E-3</v>
      </c>
    </row>
    <row r="52" spans="1:22" ht="13.5" thickBot="1">
      <c r="A52" s="176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70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505" t="str">
        <f>+VLOOKUP($A53,Master!$D$25:$G$223,4,TRUE)</f>
        <v>Otplata obaveza iz prethodnih godina</v>
      </c>
      <c r="C53" s="506"/>
      <c r="D53" s="506"/>
      <c r="E53" s="506"/>
      <c r="F53" s="506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2215955.08</v>
      </c>
      <c r="I53" s="225">
        <f>+INDEX(DataEx!$1:$1048576,MATCH('2018'!$A53,DataEx!$D:$D,0),MATCH('2018'!I$6,DataEx!$7:$7,0))</f>
        <v>2027778.28</v>
      </c>
      <c r="J53" s="225">
        <f>+INDEX(DataEx!$1:$1048576,MATCH('2018'!$A53,DataEx!$D:$D,0),MATCH('2018'!J$6,DataEx!$7:$7,0))</f>
        <v>2459675.87</v>
      </c>
      <c r="K53" s="225">
        <f>+INDEX(DataEx!$1:$1048576,MATCH('2018'!$A53,DataEx!$D:$D,0),MATCH('2018'!K$6,DataEx!$7:$7,0))</f>
        <v>1250843.27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437">
        <f>+SUM(G53:R53)</f>
        <v>9625760.3100000005</v>
      </c>
      <c r="T53" s="285">
        <f>+S53/$T$7</f>
        <v>2.1724165090613646E-3</v>
      </c>
    </row>
    <row r="54" spans="1:22" ht="13.5" thickBot="1">
      <c r="A54" s="71">
        <v>1005</v>
      </c>
      <c r="B54" s="507" t="str">
        <f>+VLOOKUP($A54,Master!$D$25:$G$225,4,FALSE)</f>
        <v>Neto povećanje obaveza</v>
      </c>
      <c r="C54" s="508"/>
      <c r="D54" s="508"/>
      <c r="E54" s="508"/>
      <c r="F54" s="50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7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434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7">
        <f t="shared" ref="G55:R55" si="9">+G10-G29</f>
        <v>-24555818.700000003</v>
      </c>
      <c r="H55" s="177">
        <f t="shared" si="9"/>
        <v>-11936273.369999975</v>
      </c>
      <c r="I55" s="177">
        <f t="shared" si="9"/>
        <v>-33549638.360000044</v>
      </c>
      <c r="J55" s="177">
        <f t="shared" si="9"/>
        <v>9170098.8400000036</v>
      </c>
      <c r="K55" s="177">
        <f t="shared" si="9"/>
        <v>-2989878.410000056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-63861510.000000075</v>
      </c>
      <c r="T55" s="287">
        <f t="shared" si="4"/>
        <v>-1.4412762644158089E-2</v>
      </c>
    </row>
    <row r="56" spans="1:22" ht="13.5" thickBot="1">
      <c r="A56" s="170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1">
        <f>+G55+G37</f>
        <v>-20231741.150000002</v>
      </c>
      <c r="H56" s="231">
        <f t="shared" ref="H56:R56" si="10">+H55+H37</f>
        <v>-10885472.139999975</v>
      </c>
      <c r="I56" s="231">
        <f t="shared" si="10"/>
        <v>5965038.3499999568</v>
      </c>
      <c r="J56" s="231">
        <f t="shared" si="10"/>
        <v>10798287.840000004</v>
      </c>
      <c r="K56" s="231">
        <f t="shared" si="10"/>
        <v>7074930.6499999445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-7278956.4500000719</v>
      </c>
      <c r="T56" s="287">
        <f t="shared" si="4"/>
        <v>-1.6427715475411477E-3</v>
      </c>
    </row>
    <row r="57" spans="1:22">
      <c r="A57" s="170">
        <v>46</v>
      </c>
      <c r="B57" s="501" t="str">
        <f>+VLOOKUP($A57,Master!$D$25:$G$223,4,FALSE)</f>
        <v>Otplata dugova</v>
      </c>
      <c r="C57" s="502"/>
      <c r="D57" s="502"/>
      <c r="E57" s="502"/>
      <c r="F57" s="502"/>
      <c r="G57" s="219">
        <f t="shared" ref="G57:R57" si="11">+SUM(G58:G59)</f>
        <v>26200164.98</v>
      </c>
      <c r="H57" s="219">
        <f t="shared" si="11"/>
        <v>54488971.759999998</v>
      </c>
      <c r="I57" s="219">
        <f t="shared" si="11"/>
        <v>19066024.490000002</v>
      </c>
      <c r="J57" s="201">
        <f t="shared" si="11"/>
        <v>19981471.990000002</v>
      </c>
      <c r="K57" s="219">
        <f t="shared" si="11"/>
        <v>14760695.76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134497328.97999999</v>
      </c>
      <c r="T57" s="289">
        <f t="shared" si="4"/>
        <v>3.0354404066893857E-2</v>
      </c>
      <c r="V57" s="384"/>
    </row>
    <row r="58" spans="1:22">
      <c r="A58" s="170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50952373.509999998</v>
      </c>
      <c r="I58" s="237">
        <f>+INDEX(DataEx!$1:$1048576,MATCH('2018'!$A58,DataEx!$D:$D,0),MATCH('2018'!I$6,DataEx!$7:$7,0))</f>
        <v>7051404.0099999998</v>
      </c>
      <c r="J58" s="237">
        <f>+INDEX(DataEx!$1:$1048576,MATCH('2018'!$A58,DataEx!$D:$D,0),MATCH('2018'!J$6,DataEx!$7:$7,0))</f>
        <v>2231658.5099999998</v>
      </c>
      <c r="K58" s="237">
        <f>+INDEX(DataEx!$1:$1048576,MATCH('2018'!$A58,DataEx!$D:$D,0),MATCH('2018'!K$6,DataEx!$7:$7,0))</f>
        <v>831498.83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85633681.020000011</v>
      </c>
      <c r="T58" s="291">
        <f t="shared" si="4"/>
        <v>1.9326475664086306E-2</v>
      </c>
    </row>
    <row r="59" spans="1:22">
      <c r="A59" s="170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12014620.48</v>
      </c>
      <c r="J59" s="237">
        <f>+INDEX(DataEx!$1:$1048576,MATCH('2018'!$A59,DataEx!$D:$D,0),MATCH('2018'!J$6,DataEx!$7:$7,0))</f>
        <v>17749813.48</v>
      </c>
      <c r="K59" s="237">
        <f>+INDEX(DataEx!$1:$1048576,MATCH('2018'!$A59,DataEx!$D:$D,0),MATCH('2018'!K$6,DataEx!$7:$7,0))</f>
        <v>13929196.93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48863647.960000001</v>
      </c>
      <c r="T59" s="291">
        <f t="shared" si="4"/>
        <v>1.1027928402807556E-2</v>
      </c>
      <c r="V59" s="403"/>
    </row>
    <row r="60" spans="1:22" ht="13.5" thickBot="1">
      <c r="A60" s="170">
        <v>4418</v>
      </c>
      <c r="B60" s="456" t="s">
        <v>778</v>
      </c>
      <c r="C60" s="457"/>
      <c r="D60" s="457"/>
      <c r="E60" s="457"/>
      <c r="F60" s="457"/>
      <c r="G60" s="219">
        <f>DataEx!ET169</f>
        <v>0</v>
      </c>
      <c r="H60" s="219">
        <f>DataEx!EU169</f>
        <v>0</v>
      </c>
      <c r="I60" s="219">
        <f>DataEx!EV169</f>
        <v>0</v>
      </c>
      <c r="J60" s="219">
        <f>DataEx!EW169</f>
        <v>0</v>
      </c>
      <c r="K60" s="219">
        <f>DataEx!EX169</f>
        <v>68939595.359999999</v>
      </c>
      <c r="L60" s="219">
        <f>DataEx!EY169</f>
        <v>0</v>
      </c>
      <c r="M60" s="219">
        <f>DataEx!EZ169</f>
        <v>0</v>
      </c>
      <c r="N60" s="219">
        <f>DataEx!FA169</f>
        <v>0</v>
      </c>
      <c r="O60" s="219">
        <f>DataEx!FB169</f>
        <v>0</v>
      </c>
      <c r="P60" s="219">
        <f>DataEx!FC169</f>
        <v>0</v>
      </c>
      <c r="Q60" s="219">
        <f>DataEx!FD169</f>
        <v>0</v>
      </c>
      <c r="R60" s="219">
        <f>DataEx!FE169</f>
        <v>0</v>
      </c>
      <c r="S60" s="290">
        <f>SUM(G60:R60)</f>
        <v>68939595.359999999</v>
      </c>
      <c r="T60" s="291">
        <f>+S60/$T$7</f>
        <v>1.5558824473583244E-2</v>
      </c>
      <c r="V60" s="403"/>
    </row>
    <row r="61" spans="1:22" ht="13.5" thickBot="1">
      <c r="A61" s="170">
        <v>1002</v>
      </c>
      <c r="B61" s="494" t="str">
        <f>+VLOOKUP($A61,Master!$D$25:$G$223,4,FALSE)</f>
        <v>Nedostajuća sredstva</v>
      </c>
      <c r="C61" s="495"/>
      <c r="D61" s="495"/>
      <c r="E61" s="495"/>
      <c r="F61" s="495"/>
      <c r="G61" s="243">
        <f>+G55-G57-G60</f>
        <v>-50755983.680000007</v>
      </c>
      <c r="H61" s="243">
        <f t="shared" ref="H61:R61" si="12">+H55-H57-H60</f>
        <v>-66425245.129999973</v>
      </c>
      <c r="I61" s="243">
        <f t="shared" si="12"/>
        <v>-52615662.850000046</v>
      </c>
      <c r="J61" s="243">
        <f t="shared" si="12"/>
        <v>-10811373.149999999</v>
      </c>
      <c r="K61" s="243">
        <f t="shared" si="12"/>
        <v>-86690169.530000061</v>
      </c>
      <c r="L61" s="243">
        <f t="shared" si="12"/>
        <v>0</v>
      </c>
      <c r="M61" s="243">
        <f t="shared" si="12"/>
        <v>0</v>
      </c>
      <c r="N61" s="243">
        <f t="shared" si="12"/>
        <v>0</v>
      </c>
      <c r="O61" s="243">
        <f t="shared" si="12"/>
        <v>0</v>
      </c>
      <c r="P61" s="243">
        <f t="shared" si="12"/>
        <v>0</v>
      </c>
      <c r="Q61" s="243">
        <f t="shared" si="12"/>
        <v>0</v>
      </c>
      <c r="R61" s="243">
        <f t="shared" si="12"/>
        <v>0</v>
      </c>
      <c r="S61" s="292">
        <f t="shared" si="3"/>
        <v>-267298434.34000009</v>
      </c>
      <c r="T61" s="293">
        <f t="shared" si="4"/>
        <v>-6.0325991184635198E-2</v>
      </c>
    </row>
    <row r="62" spans="1:22" ht="13.5" thickBot="1">
      <c r="A62" s="170">
        <v>1003</v>
      </c>
      <c r="B62" s="458" t="str">
        <f>+VLOOKUP($A62,Master!$D$25:$G$223,4,FALSE)</f>
        <v>Finansiranje</v>
      </c>
      <c r="C62" s="459"/>
      <c r="D62" s="459"/>
      <c r="E62" s="459"/>
      <c r="F62" s="459"/>
      <c r="G62" s="177">
        <f>+SUM(G63:G66)</f>
        <v>50755983.680000007</v>
      </c>
      <c r="H62" s="177">
        <f t="shared" ref="H62:R62" si="13">+SUM(H63:H66)</f>
        <v>66425245.129999973</v>
      </c>
      <c r="I62" s="177">
        <f t="shared" si="13"/>
        <v>52615662.850000046</v>
      </c>
      <c r="J62" s="177">
        <f t="shared" si="13"/>
        <v>10811373.149999991</v>
      </c>
      <c r="K62" s="177">
        <f t="shared" si="13"/>
        <v>86690169.530000061</v>
      </c>
      <c r="L62" s="177">
        <f t="shared" si="13"/>
        <v>0</v>
      </c>
      <c r="M62" s="177">
        <f t="shared" si="13"/>
        <v>0</v>
      </c>
      <c r="N62" s="177">
        <f t="shared" si="13"/>
        <v>0</v>
      </c>
      <c r="O62" s="177">
        <f t="shared" si="13"/>
        <v>0</v>
      </c>
      <c r="P62" s="177">
        <f t="shared" si="13"/>
        <v>0</v>
      </c>
      <c r="Q62" s="177">
        <f t="shared" si="13"/>
        <v>0</v>
      </c>
      <c r="R62" s="177">
        <f t="shared" si="13"/>
        <v>0</v>
      </c>
      <c r="S62" s="294">
        <f t="shared" si="3"/>
        <v>267298434.34000006</v>
      </c>
      <c r="T62" s="295">
        <f t="shared" si="4"/>
        <v>6.0325991184635191E-2</v>
      </c>
    </row>
    <row r="63" spans="1:22">
      <c r="A63" s="170">
        <v>7511</v>
      </c>
      <c r="B63" s="492" t="str">
        <f>+VLOOKUP($A63,Master!$D$25:$G$223,4,FALSE)</f>
        <v>Pozajmice i krediti od domaćih izvora</v>
      </c>
      <c r="C63" s="493"/>
      <c r="D63" s="493"/>
      <c r="E63" s="493"/>
      <c r="F63" s="493"/>
      <c r="G63" s="237">
        <f>+INDEX(DataEx!$1:$1048576,MATCH('2018'!$A63,DataEx!$D:$D,0),MATCH('2018'!G$6,DataEx!$7:$7,0))</f>
        <v>24535941.960000001</v>
      </c>
      <c r="H63" s="237">
        <f>+INDEX(DataEx!$1:$1048576,MATCH('2018'!$A63,DataEx!$D:$D,0),MATCH('2018'!H$6,DataEx!$7:$7,0))</f>
        <v>75357443.420000002</v>
      </c>
      <c r="I63" s="237">
        <f>+INDEX(DataEx!$1:$1048576,MATCH('2018'!$A63,DataEx!$D:$D,0),MATCH('2018'!I$6,DataEx!$7:$7,0))</f>
        <v>20706614.620000001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120600000</v>
      </c>
      <c r="T63" s="291">
        <f t="shared" si="4"/>
        <v>2.7217946692545531E-2</v>
      </c>
    </row>
    <row r="64" spans="1:22">
      <c r="A64" s="170">
        <v>7512</v>
      </c>
      <c r="B64" s="468" t="str">
        <f>+VLOOKUP($A64,Master!$D$25:$G$223,4,FALSE)</f>
        <v>Pozajmice i krediti od inostranih izvora</v>
      </c>
      <c r="C64" s="469"/>
      <c r="D64" s="469"/>
      <c r="E64" s="469"/>
      <c r="F64" s="469"/>
      <c r="G64" s="237">
        <f>+INDEX(DataEx!$1:$1048576,MATCH('2018'!$A64,DataEx!$D:$D,0),MATCH('2018'!G$6,DataEx!$7:$7,0))</f>
        <v>220322.84</v>
      </c>
      <c r="H64" s="237">
        <f>+INDEX(DataEx!$1:$1048576,MATCH('2018'!$A64,DataEx!$D:$D,0),MATCH('2018'!H$6,DataEx!$7:$7,0))</f>
        <v>191078.77</v>
      </c>
      <c r="I64" s="237">
        <f>+INDEX(DataEx!$1:$1048576,MATCH('2018'!$A64,DataEx!$D:$D,0),MATCH('2018'!I$6,DataEx!$7:$7,0))</f>
        <v>5238085.6500000004</v>
      </c>
      <c r="J64" s="237">
        <f>+INDEX(DataEx!$1:$1048576,MATCH('2018'!$A64,DataEx!$D:$D,0),MATCH('2018'!J$6,DataEx!$7:$7,0))</f>
        <v>125398354.06999999</v>
      </c>
      <c r="K64" s="237">
        <f>+INDEX(DataEx!$1:$1048576,MATCH('2018'!$A64,DataEx!$D:$D,0),MATCH('2018'!K$6,DataEx!$7:$7,0))</f>
        <v>7673073.0999999996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138720914.43000001</v>
      </c>
      <c r="T64" s="291">
        <f t="shared" si="4"/>
        <v>3.1307615705612857E-2</v>
      </c>
    </row>
    <row r="65" spans="1:20">
      <c r="A65" s="170">
        <v>72</v>
      </c>
      <c r="B65" s="468" t="str">
        <f>+VLOOKUP($A65,Master!$D$25:$G$223,4,FALSE)</f>
        <v>Primici od prodaje imovine</v>
      </c>
      <c r="C65" s="469"/>
      <c r="D65" s="469"/>
      <c r="E65" s="469"/>
      <c r="F65" s="469"/>
      <c r="G65" s="237">
        <f>+INDEX(DataEx!$1:$1048576,MATCH('2018'!$A65,DataEx!$D:$D,0),MATCH('2018'!G$6,DataEx!$7:$7,0))</f>
        <v>136671.79999999999</v>
      </c>
      <c r="H65" s="237">
        <f>+INDEX(DataEx!$1:$1048576,MATCH('2018'!$A65,DataEx!$D:$D,0),MATCH('2018'!H$6,DataEx!$7:$7,0))</f>
        <v>273046.61</v>
      </c>
      <c r="I65" s="237">
        <f>+INDEX(DataEx!$1:$1048576,MATCH('2018'!$A65,DataEx!$D:$D,0),MATCH('2018'!I$6,DataEx!$7:$7,0))</f>
        <v>2343256.64</v>
      </c>
      <c r="J65" s="237">
        <f>+INDEX(DataEx!$1:$1048576,MATCH('2018'!$A65,DataEx!$D:$D,0),MATCH('2018'!J$6,DataEx!$7:$7,0))</f>
        <v>108273.11</v>
      </c>
      <c r="K65" s="237">
        <f>+INDEX(DataEx!$1:$1048576,MATCH('2018'!$A65,DataEx!$D:$D,0),MATCH('2018'!K$6,DataEx!$7:$7,0))</f>
        <v>215845.16</v>
      </c>
      <c r="L65" s="237">
        <f>+INDEX(DataEx!$1:$1048576,MATCH('2018'!$A65,DataEx!$D:$D,0),MATCH('2018'!L$6,DataEx!$7:$7,0))</f>
        <v>0</v>
      </c>
      <c r="M65" s="237">
        <f>+INDEX(DataEx!$1:$1048576,MATCH('2018'!$A65,DataEx!$D:$D,0),MATCH('2018'!M$6,DataEx!$7:$7,0))</f>
        <v>0</v>
      </c>
      <c r="N65" s="237">
        <f>+INDEX(DataEx!$1:$1048576,MATCH('2018'!$A65,DataEx!$D:$D,0),MATCH('2018'!N$6,DataEx!$7:$7,0))</f>
        <v>0</v>
      </c>
      <c r="O65" s="237">
        <f>+INDEX(DataEx!$1:$1048576,MATCH('2018'!$A65,DataEx!$D:$D,0),MATCH('2018'!O$6,DataEx!$7:$7,0))</f>
        <v>0</v>
      </c>
      <c r="P65" s="237">
        <f>+INDEX(DataEx!$1:$1048576,MATCH('2018'!$A65,DataEx!$D:$D,0),MATCH('2018'!P$6,DataEx!$7:$7,0))</f>
        <v>0</v>
      </c>
      <c r="Q65" s="237">
        <f>+INDEX(DataEx!$1:$1048576,MATCH('2018'!$A65,DataEx!$D:$D,0),MATCH('2018'!Q$6,DataEx!$7:$7,0))</f>
        <v>0</v>
      </c>
      <c r="R65" s="237">
        <f>+INDEX(DataEx!$1:$1048576,MATCH('2018'!$A65,DataEx!$D:$D,0),MATCH('2018'!R$6,DataEx!$7:$7,0))</f>
        <v>0</v>
      </c>
      <c r="S65" s="290">
        <f t="shared" si="3"/>
        <v>3077093.3200000003</v>
      </c>
      <c r="T65" s="291">
        <f t="shared" si="4"/>
        <v>6.9446237107585371E-4</v>
      </c>
    </row>
    <row r="66" spans="1:20" ht="13.5" thickBot="1">
      <c r="A66" s="170">
        <v>1004</v>
      </c>
      <c r="B66" s="249" t="str">
        <f>+VLOOKUP($A66,Master!$D$25:$G$223,4,FALSE)</f>
        <v>Povećanje / smanjenje depozita</v>
      </c>
      <c r="C66" s="250"/>
      <c r="D66" s="250"/>
      <c r="E66" s="250"/>
      <c r="F66" s="250"/>
      <c r="G66" s="251">
        <f>-G61-SUM(G63:G65)</f>
        <v>25863047.080000006</v>
      </c>
      <c r="H66" s="251">
        <f t="shared" ref="H66:R66" si="14">-H61-SUM(H63:H65)</f>
        <v>-9396323.6700000241</v>
      </c>
      <c r="I66" s="251">
        <f t="shared" si="14"/>
        <v>24327705.940000042</v>
      </c>
      <c r="J66" s="251">
        <f t="shared" si="14"/>
        <v>-114695254.03</v>
      </c>
      <c r="K66" s="251">
        <f t="shared" si="14"/>
        <v>78801251.270000055</v>
      </c>
      <c r="L66" s="251">
        <f t="shared" si="14"/>
        <v>0</v>
      </c>
      <c r="M66" s="251">
        <f t="shared" si="14"/>
        <v>0</v>
      </c>
      <c r="N66" s="251">
        <f t="shared" si="14"/>
        <v>0</v>
      </c>
      <c r="O66" s="251">
        <f t="shared" si="14"/>
        <v>0</v>
      </c>
      <c r="P66" s="251">
        <f t="shared" si="14"/>
        <v>0</v>
      </c>
      <c r="Q66" s="251">
        <f t="shared" si="14"/>
        <v>0</v>
      </c>
      <c r="R66" s="251">
        <f t="shared" si="14"/>
        <v>0</v>
      </c>
      <c r="S66" s="296">
        <f>+SUM(G66:R66)</f>
        <v>4900426.5900000781</v>
      </c>
      <c r="T66" s="297">
        <f t="shared" si="4"/>
        <v>1.105966415400952E-3</v>
      </c>
    </row>
    <row r="67" spans="1:20">
      <c r="R67" s="389"/>
    </row>
    <row r="72" spans="1:20">
      <c r="R72" s="360"/>
    </row>
    <row r="100" spans="1:21"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17" t="str">
        <f>+Master!G250</f>
        <v>Plan ostvarenja budžeta</v>
      </c>
      <c r="C102" s="518"/>
      <c r="D102" s="518"/>
      <c r="E102" s="518"/>
      <c r="F102" s="518"/>
      <c r="G102" s="509">
        <v>2018</v>
      </c>
      <c r="H102" s="525"/>
      <c r="I102" s="525"/>
      <c r="J102" s="525"/>
      <c r="K102" s="525"/>
      <c r="L102" s="525"/>
      <c r="M102" s="525"/>
      <c r="N102" s="525"/>
      <c r="O102" s="525"/>
      <c r="P102" s="525"/>
      <c r="Q102" s="525"/>
      <c r="R102" s="510"/>
      <c r="S102" s="116" t="str">
        <f>+S7</f>
        <v>BDP</v>
      </c>
      <c r="T102" s="117">
        <f>+T7</f>
        <v>4430900000</v>
      </c>
    </row>
    <row r="103" spans="1:21" ht="15.75" customHeight="1">
      <c r="B103" s="519"/>
      <c r="C103" s="520"/>
      <c r="D103" s="520"/>
      <c r="E103" s="520"/>
      <c r="F103" s="521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09" t="str">
        <f>+Master!G244</f>
        <v>Jan - Dec</v>
      </c>
      <c r="T103" s="510">
        <f>+T8</f>
        <v>0</v>
      </c>
    </row>
    <row r="104" spans="1:21" ht="13.5" thickBot="1">
      <c r="B104" s="522"/>
      <c r="C104" s="523"/>
      <c r="D104" s="523"/>
      <c r="E104" s="523"/>
      <c r="F104" s="52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8" t="str">
        <f t="shared" ref="A105:A147" si="17">+CONCATENATE(A10,"p")</f>
        <v>7p</v>
      </c>
      <c r="B105" s="511" t="str">
        <f>+VLOOKUP(LEFT($A105,LEN(A105)-1)*1,Master!$D$25:$G$223,4,FALSE)</f>
        <v>Prihodi budžeta</v>
      </c>
      <c r="C105" s="512"/>
      <c r="D105" s="512"/>
      <c r="E105" s="512"/>
      <c r="F105" s="512"/>
      <c r="G105" s="97">
        <f t="shared" ref="G105:R105" si="18">+G106+G114+SUM(G119:G123)</f>
        <v>81452722.769545287</v>
      </c>
      <c r="H105" s="97">
        <f t="shared" si="18"/>
        <v>107089778.65808436</v>
      </c>
      <c r="I105" s="97">
        <f t="shared" si="18"/>
        <v>146725666.82751563</v>
      </c>
      <c r="J105" s="97">
        <f t="shared" si="18"/>
        <v>139657100.24302021</v>
      </c>
      <c r="K105" s="97">
        <f t="shared" si="18"/>
        <v>137080240.952337</v>
      </c>
      <c r="L105" s="97">
        <f t="shared" si="18"/>
        <v>147166759.04162213</v>
      </c>
      <c r="M105" s="97">
        <f t="shared" si="18"/>
        <v>194218626.54930359</v>
      </c>
      <c r="N105" s="97">
        <f t="shared" si="18"/>
        <v>167980284.49475008</v>
      </c>
      <c r="O105" s="97">
        <f t="shared" si="18"/>
        <v>156536999.59161776</v>
      </c>
      <c r="P105" s="97">
        <f t="shared" si="18"/>
        <v>151655169.29846382</v>
      </c>
      <c r="Q105" s="97">
        <f t="shared" si="18"/>
        <v>137707738.88505581</v>
      </c>
      <c r="R105" s="97">
        <f t="shared" si="18"/>
        <v>197975004.10197231</v>
      </c>
      <c r="S105" s="122">
        <f>+SUM(G105:R105)</f>
        <v>1765246091.4132881</v>
      </c>
      <c r="T105" s="123">
        <f>+S105/$T$7</f>
        <v>0.39839447773889913</v>
      </c>
    </row>
    <row r="106" spans="1:21">
      <c r="A106" s="138" t="str">
        <f t="shared" si="17"/>
        <v>711p</v>
      </c>
      <c r="B106" s="513" t="str">
        <f>+VLOOKUP(LEFT($A106,LEN(A106)-1)*1,Master!$D$25:$G$223,4,FALSE)</f>
        <v>Porezi</v>
      </c>
      <c r="C106" s="514"/>
      <c r="D106" s="514"/>
      <c r="E106" s="514"/>
      <c r="F106" s="514"/>
      <c r="G106" s="81">
        <f t="shared" ref="G106:R106" si="19">+SUM(G107:G113)</f>
        <v>60203729.449545287</v>
      </c>
      <c r="H106" s="81">
        <f t="shared" si="19"/>
        <v>64843710.358084358</v>
      </c>
      <c r="I106" s="81">
        <f t="shared" si="19"/>
        <v>99795007.214553386</v>
      </c>
      <c r="J106" s="81">
        <f t="shared" si="19"/>
        <v>90117605.258240208</v>
      </c>
      <c r="K106" s="81">
        <f t="shared" si="19"/>
        <v>86553600.036061302</v>
      </c>
      <c r="L106" s="81">
        <f t="shared" si="19"/>
        <v>94954923.140407905</v>
      </c>
      <c r="M106" s="81">
        <f t="shared" si="19"/>
        <v>99367696.161034286</v>
      </c>
      <c r="N106" s="81">
        <f t="shared" si="19"/>
        <v>110457863.00623669</v>
      </c>
      <c r="O106" s="81">
        <f t="shared" si="19"/>
        <v>102405679.34406348</v>
      </c>
      <c r="P106" s="81">
        <f t="shared" si="19"/>
        <v>95794499.228549376</v>
      </c>
      <c r="Q106" s="81">
        <f t="shared" si="19"/>
        <v>82607921.300175518</v>
      </c>
      <c r="R106" s="82">
        <f t="shared" si="19"/>
        <v>98219823.262677118</v>
      </c>
      <c r="S106" s="124">
        <f t="shared" ref="S106:S161" si="20">+SUM(G106:R106)</f>
        <v>1085322057.759629</v>
      </c>
      <c r="T106" s="125">
        <f t="shared" ref="T106:T161" si="21">+S106/$T$7</f>
        <v>0.24494392962143785</v>
      </c>
      <c r="U106" s="303"/>
    </row>
    <row r="107" spans="1:21">
      <c r="A107" s="138" t="str">
        <f t="shared" si="17"/>
        <v>7111p</v>
      </c>
      <c r="B107" s="515" t="str">
        <f>+VLOOKUP(LEFT($A107,LEN(A107)-1)*1,Master!$D$25:$G$223,4,FALSE)</f>
        <v>Porez na dohodak fizičkih lica</v>
      </c>
      <c r="C107" s="516"/>
      <c r="D107" s="516"/>
      <c r="E107" s="516"/>
      <c r="F107" s="516"/>
      <c r="G107" s="91">
        <f>+SUM(DataEx!ET221)</f>
        <v>3496624.83</v>
      </c>
      <c r="H107" s="91">
        <f>+SUM(DataEx!EU221)</f>
        <v>8897390.9499999993</v>
      </c>
      <c r="I107" s="91">
        <f>+SUM(DataEx!EV221)</f>
        <v>9851190.0684044715</v>
      </c>
      <c r="J107" s="91">
        <f>+SUM(DataEx!EW221)</f>
        <v>9456522.7919898443</v>
      </c>
      <c r="K107" s="91">
        <f>+SUM(DataEx!EX221)</f>
        <v>10644686.280068103</v>
      </c>
      <c r="L107" s="91">
        <f>+SUM(DataEx!EY221)</f>
        <v>10529536.439230289</v>
      </c>
      <c r="M107" s="91">
        <f>+SUM(DataEx!EZ221)</f>
        <v>11459377.222866835</v>
      </c>
      <c r="N107" s="91">
        <f>+SUM(DataEx!FA221)</f>
        <v>11349599.062734554</v>
      </c>
      <c r="O107" s="91">
        <f>+SUM(DataEx!FB221)</f>
        <v>10410490.432834331</v>
      </c>
      <c r="P107" s="91">
        <f>+SUM(DataEx!FC221)</f>
        <v>11079108.171049241</v>
      </c>
      <c r="Q107" s="91">
        <f>+SUM(DataEx!FD221)</f>
        <v>8309878.0236359257</v>
      </c>
      <c r="R107" s="91">
        <f>+SUM(DataEx!FE221)</f>
        <v>15650000.315266687</v>
      </c>
      <c r="S107" s="126">
        <f t="shared" si="20"/>
        <v>121134404.58808027</v>
      </c>
      <c r="T107" s="127">
        <f t="shared" si="21"/>
        <v>2.7338555279532436E-2</v>
      </c>
    </row>
    <row r="108" spans="1:21">
      <c r="A108" s="138" t="str">
        <f t="shared" si="17"/>
        <v>7112p</v>
      </c>
      <c r="B108" s="515" t="str">
        <f>+VLOOKUP(LEFT($A108,LEN(A108)-1)*1,Master!$D$25:$G$223,4,FALSE)</f>
        <v>Porez na dobit pravnih lica</v>
      </c>
      <c r="C108" s="516"/>
      <c r="D108" s="516"/>
      <c r="E108" s="516"/>
      <c r="F108" s="516"/>
      <c r="G108" s="91">
        <f>+SUM(DataEx!ET222)</f>
        <v>475602.8</v>
      </c>
      <c r="H108" s="91">
        <f>+SUM(DataEx!EU222)</f>
        <v>1641570.62</v>
      </c>
      <c r="I108" s="91">
        <f>+SUM(DataEx!EV222)</f>
        <v>18508918.148864955</v>
      </c>
      <c r="J108" s="91">
        <f>+SUM(DataEx!EW222)</f>
        <v>15245006.927149141</v>
      </c>
      <c r="K108" s="91">
        <f>+SUM(DataEx!EX222)</f>
        <v>2819722.624497789</v>
      </c>
      <c r="L108" s="91">
        <f>+SUM(DataEx!EY222)</f>
        <v>2620262.7727349945</v>
      </c>
      <c r="M108" s="91">
        <f>+SUM(DataEx!EZ222)</f>
        <v>2545870.4530727412</v>
      </c>
      <c r="N108" s="91">
        <f>+SUM(DataEx!FA222)</f>
        <v>2639127.1473694532</v>
      </c>
      <c r="O108" s="91">
        <f>+SUM(DataEx!FB222)</f>
        <v>1159823.8439063106</v>
      </c>
      <c r="P108" s="91">
        <f>+SUM(DataEx!FC222)</f>
        <v>1773979.57478168</v>
      </c>
      <c r="Q108" s="91">
        <f>+SUM(DataEx!FD222)</f>
        <v>701543.77928087593</v>
      </c>
      <c r="R108" s="91">
        <f>+SUM(DataEx!FE222)</f>
        <v>1749607.0819956034</v>
      </c>
      <c r="S108" s="126">
        <f t="shared" si="20"/>
        <v>51881035.773653544</v>
      </c>
      <c r="T108" s="127">
        <f t="shared" si="21"/>
        <v>1.1708915970492123E-2</v>
      </c>
    </row>
    <row r="109" spans="1:21">
      <c r="A109" s="138" t="str">
        <f t="shared" si="17"/>
        <v>7113p</v>
      </c>
      <c r="B109" s="515" t="str">
        <f>+VLOOKUP(LEFT($A109,LEN(A109)-1)*1,Master!$D$25:$G$223,4,FALSE)</f>
        <v>Porez na promet nepokretnosti</v>
      </c>
      <c r="C109" s="516"/>
      <c r="D109" s="516"/>
      <c r="E109" s="516"/>
      <c r="F109" s="516"/>
      <c r="G109" s="91">
        <f>+SUM(DataEx!ET223)</f>
        <v>93380.49</v>
      </c>
      <c r="H109" s="91">
        <f>+SUM(DataEx!EU223)</f>
        <v>116565.53</v>
      </c>
      <c r="I109" s="91">
        <f>+SUM(DataEx!EV223)</f>
        <v>104047.95602937166</v>
      </c>
      <c r="J109" s="91">
        <f>+SUM(DataEx!EW223)</f>
        <v>110349.59462185318</v>
      </c>
      <c r="K109" s="91">
        <f>+SUM(DataEx!EX223)</f>
        <v>210034.05441915779</v>
      </c>
      <c r="L109" s="91">
        <f>+SUM(DataEx!EY223)</f>
        <v>112881.03363916301</v>
      </c>
      <c r="M109" s="91">
        <f>+SUM(DataEx!EZ223)</f>
        <v>165237.90094273287</v>
      </c>
      <c r="N109" s="91">
        <f>+SUM(DataEx!FA223)</f>
        <v>179232.92735336185</v>
      </c>
      <c r="O109" s="91">
        <f>+SUM(DataEx!FB223)</f>
        <v>136199.31001440389</v>
      </c>
      <c r="P109" s="91">
        <f>+SUM(DataEx!FC223)</f>
        <v>229977.20409803133</v>
      </c>
      <c r="Q109" s="91">
        <f>+SUM(DataEx!FD223)</f>
        <v>194711.60663450463</v>
      </c>
      <c r="R109" s="91">
        <f>+SUM(DataEx!FE223)</f>
        <v>152772.0914955248</v>
      </c>
      <c r="S109" s="126">
        <f t="shared" si="20"/>
        <v>1805389.6992481051</v>
      </c>
      <c r="T109" s="127">
        <f t="shared" si="21"/>
        <v>4.0745439961364623E-4</v>
      </c>
    </row>
    <row r="110" spans="1:21">
      <c r="A110" s="138" t="str">
        <f t="shared" si="17"/>
        <v>7114p</v>
      </c>
      <c r="B110" s="515" t="str">
        <f>+VLOOKUP(LEFT($A110,LEN(A110)-1)*1,Master!$D$25:$G$223,4,FALSE)</f>
        <v>Porez na dodatu vrijednost</v>
      </c>
      <c r="C110" s="516"/>
      <c r="D110" s="516"/>
      <c r="E110" s="516"/>
      <c r="F110" s="516"/>
      <c r="G110" s="91">
        <f>+SUM(DataEx!ET224)</f>
        <v>40926868.810000002</v>
      </c>
      <c r="H110" s="91">
        <f>+SUM(DataEx!EU224)</f>
        <v>38270122.18</v>
      </c>
      <c r="I110" s="91">
        <f>+SUM(DataEx!EV224)</f>
        <v>51505849.984329924</v>
      </c>
      <c r="J110" s="91">
        <f>+SUM(DataEx!EW224)</f>
        <v>44717067.964572787</v>
      </c>
      <c r="K110" s="91">
        <f>+SUM(DataEx!EX224)</f>
        <v>49751840.238490134</v>
      </c>
      <c r="L110" s="91">
        <f>+SUM(DataEx!EY224)</f>
        <v>57304012.959073536</v>
      </c>
      <c r="M110" s="91">
        <f>+SUM(DataEx!EZ224)</f>
        <v>58128176.583145849</v>
      </c>
      <c r="N110" s="91">
        <f>+SUM(DataEx!FA224)</f>
        <v>63799253.340618283</v>
      </c>
      <c r="O110" s="91">
        <f>+SUM(DataEx!FB224)</f>
        <v>59973292.027199574</v>
      </c>
      <c r="P110" s="91">
        <f>+SUM(DataEx!FC224)</f>
        <v>56182097.926777624</v>
      </c>
      <c r="Q110" s="91">
        <f>+SUM(DataEx!FD224)</f>
        <v>50439907.871926405</v>
      </c>
      <c r="R110" s="91">
        <f>+SUM(DataEx!FE224)</f>
        <v>56341106.351527147</v>
      </c>
      <c r="S110" s="126">
        <f t="shared" si="20"/>
        <v>627339596.23766112</v>
      </c>
      <c r="T110" s="127">
        <f t="shared" si="21"/>
        <v>0.1415828829893839</v>
      </c>
    </row>
    <row r="111" spans="1:21">
      <c r="A111" s="138" t="str">
        <f t="shared" si="17"/>
        <v>7115p</v>
      </c>
      <c r="B111" s="515" t="str">
        <f>+VLOOKUP(LEFT($A111,LEN(A111)-1)*1,Master!$D$25:$G$223,4,FALSE)</f>
        <v>Akcize</v>
      </c>
      <c r="C111" s="516"/>
      <c r="D111" s="516"/>
      <c r="E111" s="516"/>
      <c r="F111" s="516"/>
      <c r="G111" s="91">
        <f>+SUM(DataEx!ET225)</f>
        <v>13370061.67</v>
      </c>
      <c r="H111" s="91">
        <f>+SUM(DataEx!EU225)</f>
        <v>13585674.48</v>
      </c>
      <c r="I111" s="91">
        <f>+SUM(DataEx!EV225)</f>
        <v>16615528.16120209</v>
      </c>
      <c r="J111" s="91">
        <f>+SUM(DataEx!EW225)</f>
        <v>17556372.154467821</v>
      </c>
      <c r="K111" s="91">
        <f>+SUM(DataEx!EX225)</f>
        <v>19907775.745794021</v>
      </c>
      <c r="L111" s="91">
        <f>+SUM(DataEx!EY225)</f>
        <v>20967411.446635</v>
      </c>
      <c r="M111" s="91">
        <f>+SUM(DataEx!EZ225)</f>
        <v>23494454.438663479</v>
      </c>
      <c r="N111" s="91">
        <f>+SUM(DataEx!FA225)</f>
        <v>28618280.907139812</v>
      </c>
      <c r="O111" s="91">
        <f>+SUM(DataEx!FB225)</f>
        <v>27608607.426119331</v>
      </c>
      <c r="P111" s="91">
        <f>+SUM(DataEx!FC225)</f>
        <v>23366507.59216639</v>
      </c>
      <c r="Q111" s="91">
        <f>+SUM(DataEx!FD225)</f>
        <v>20212469.544035491</v>
      </c>
      <c r="R111" s="91">
        <f>+SUM(DataEx!FE225)</f>
        <v>21069062.373790596</v>
      </c>
      <c r="S111" s="126">
        <f t="shared" si="20"/>
        <v>246372205.94001403</v>
      </c>
      <c r="T111" s="127">
        <f t="shared" si="21"/>
        <v>5.5603197079603248E-2</v>
      </c>
    </row>
    <row r="112" spans="1:21">
      <c r="A112" s="138" t="str">
        <f t="shared" si="17"/>
        <v>7116p</v>
      </c>
      <c r="B112" s="515" t="str">
        <f>+VLOOKUP(LEFT($A112,LEN(A112)-1)*1,Master!$D$25:$G$223,4,FALSE)</f>
        <v>Porez na međunarodnu trgovinu i transakcije</v>
      </c>
      <c r="C112" s="516"/>
      <c r="D112" s="516"/>
      <c r="E112" s="516"/>
      <c r="F112" s="516"/>
      <c r="G112" s="91">
        <f>+SUM(DataEx!ET226)</f>
        <v>1218936.71</v>
      </c>
      <c r="H112" s="91">
        <f>+SUM(DataEx!EU226)</f>
        <v>1678360</v>
      </c>
      <c r="I112" s="91">
        <f>+SUM(DataEx!EV226)</f>
        <v>2333208.4438380604</v>
      </c>
      <c r="J112" s="91">
        <f>+SUM(DataEx!EW226)</f>
        <v>2103438.3700065464</v>
      </c>
      <c r="K112" s="91">
        <f>+SUM(DataEx!EX226)</f>
        <v>2392101.4273314034</v>
      </c>
      <c r="L112" s="91">
        <f>+SUM(DataEx!EY226)</f>
        <v>2474300.1004540911</v>
      </c>
      <c r="M112" s="91">
        <f>+SUM(DataEx!EZ226)</f>
        <v>2642207.3072099253</v>
      </c>
      <c r="N112" s="91">
        <f>+SUM(DataEx!FA226)</f>
        <v>2998374.8777813497</v>
      </c>
      <c r="O112" s="91">
        <f>+SUM(DataEx!FB226)</f>
        <v>2253516.7615488064</v>
      </c>
      <c r="P112" s="91">
        <f>+SUM(DataEx!FC226)</f>
        <v>2271028.6797934445</v>
      </c>
      <c r="Q112" s="91">
        <f>+SUM(DataEx!FD226)</f>
        <v>1980658.6013352112</v>
      </c>
      <c r="R112" s="91">
        <f>+SUM(DataEx!FE226)</f>
        <v>2394724.0287171667</v>
      </c>
      <c r="S112" s="126">
        <f t="shared" si="20"/>
        <v>26740855.308016006</v>
      </c>
      <c r="T112" s="127">
        <f t="shared" si="21"/>
        <v>6.0350843639025943E-3</v>
      </c>
    </row>
    <row r="113" spans="1:20">
      <c r="A113" s="138" t="str">
        <f t="shared" si="17"/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+SUM(DataEx!ET228)</f>
        <v>622254.13954528561</v>
      </c>
      <c r="H113" s="91">
        <f>+SUM(DataEx!EU228)</f>
        <v>654026.59808434988</v>
      </c>
      <c r="I113" s="91">
        <f>+SUM(DataEx!EV228)</f>
        <v>876264.45188452152</v>
      </c>
      <c r="J113" s="91">
        <f>+SUM(DataEx!EW228)</f>
        <v>928847.45543220767</v>
      </c>
      <c r="K113" s="91">
        <f>+SUM(DataEx!EX228)</f>
        <v>827439.66546069668</v>
      </c>
      <c r="L113" s="91">
        <f>+SUM(DataEx!EY228)</f>
        <v>946518.38864083635</v>
      </c>
      <c r="M113" s="91">
        <f>+SUM(DataEx!EZ228)</f>
        <v>932372.255132725</v>
      </c>
      <c r="N113" s="91">
        <f>+SUM(DataEx!FA228)</f>
        <v>873994.74323988287</v>
      </c>
      <c r="O113" s="91">
        <f>+SUM(DataEx!FB228)</f>
        <v>863749.54244072409</v>
      </c>
      <c r="P113" s="91">
        <f>+SUM(DataEx!FC228)</f>
        <v>891800.07988296391</v>
      </c>
      <c r="Q113" s="91">
        <f>+SUM(DataEx!FD228)</f>
        <v>768751.87332710018</v>
      </c>
      <c r="R113" s="91">
        <f>+SUM(DataEx!FE228)</f>
        <v>862551.01988440065</v>
      </c>
      <c r="S113" s="126">
        <f t="shared" si="20"/>
        <v>10048570.212955695</v>
      </c>
      <c r="T113" s="127">
        <f t="shared" si="21"/>
        <v>2.2678395389098592E-3</v>
      </c>
    </row>
    <row r="114" spans="1:20">
      <c r="A114" s="138" t="str">
        <f t="shared" si="17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39514509.178451218</v>
      </c>
      <c r="J114" s="83">
        <f t="shared" si="22"/>
        <v>37910256.538797826</v>
      </c>
      <c r="K114" s="83">
        <f t="shared" si="22"/>
        <v>42763487.772590324</v>
      </c>
      <c r="L114" s="83">
        <f t="shared" si="22"/>
        <v>42792327.10322699</v>
      </c>
      <c r="M114" s="83">
        <f t="shared" si="22"/>
        <v>46921719.679339595</v>
      </c>
      <c r="N114" s="83">
        <f t="shared" si="22"/>
        <v>46273566.346314959</v>
      </c>
      <c r="O114" s="83">
        <f t="shared" si="22"/>
        <v>42432994.444399171</v>
      </c>
      <c r="P114" s="83">
        <f t="shared" si="22"/>
        <v>44988379.58037632</v>
      </c>
      <c r="Q114" s="83">
        <f t="shared" si="22"/>
        <v>46439891.107192069</v>
      </c>
      <c r="R114" s="84">
        <f t="shared" si="22"/>
        <v>81000468.221336052</v>
      </c>
      <c r="S114" s="128">
        <f t="shared" si="20"/>
        <v>522548395.03202456</v>
      </c>
      <c r="T114" s="129">
        <f t="shared" si="21"/>
        <v>0.11793278905685629</v>
      </c>
    </row>
    <row r="115" spans="1:20">
      <c r="A115" s="138" t="str">
        <f t="shared" si="17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+SUM(DataEx!ET230)</f>
        <v>8994145.9900000002</v>
      </c>
      <c r="H115" s="91">
        <f>+SUM(DataEx!EU230)</f>
        <v>22424749.280000001</v>
      </c>
      <c r="I115" s="91">
        <f>+SUM(DataEx!EV230)</f>
        <v>23365365.124011513</v>
      </c>
      <c r="J115" s="91">
        <f>+SUM(DataEx!EW230)</f>
        <v>22345094.772705231</v>
      </c>
      <c r="K115" s="91">
        <f>+SUM(DataEx!EX230)</f>
        <v>25181449.621492796</v>
      </c>
      <c r="L115" s="91">
        <f>+SUM(DataEx!EY230)</f>
        <v>25103820.774740268</v>
      </c>
      <c r="M115" s="91">
        <f>+SUM(DataEx!EZ230)</f>
        <v>27904136.750176284</v>
      </c>
      <c r="N115" s="91">
        <f>+SUM(DataEx!FA230)</f>
        <v>27444585.567905214</v>
      </c>
      <c r="O115" s="91">
        <f>+SUM(DataEx!FB230)</f>
        <v>24835286.371805832</v>
      </c>
      <c r="P115" s="91">
        <f>+SUM(DataEx!FC230)</f>
        <v>26846713.827655204</v>
      </c>
      <c r="Q115" s="91">
        <f>+SUM(DataEx!FD230)</f>
        <v>30176111.349047177</v>
      </c>
      <c r="R115" s="91">
        <f>+SUM(DataEx!FE230)</f>
        <v>49874655.533011168</v>
      </c>
      <c r="S115" s="126">
        <f t="shared" si="20"/>
        <v>314496114.96255064</v>
      </c>
      <c r="T115" s="127">
        <f t="shared" si="21"/>
        <v>7.0977931111636611E-2</v>
      </c>
    </row>
    <row r="116" spans="1:20">
      <c r="A116" s="138" t="str">
        <f t="shared" si="17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+SUM(DataEx!ET231)</f>
        <v>4907250.76</v>
      </c>
      <c r="H116" s="91">
        <f>+SUM(DataEx!EU231)</f>
        <v>12702016.77</v>
      </c>
      <c r="I116" s="91">
        <f>+SUM(DataEx!EV231)</f>
        <v>14123196.061495384</v>
      </c>
      <c r="J116" s="91">
        <f>+SUM(DataEx!EW231)</f>
        <v>13479819.286998</v>
      </c>
      <c r="K116" s="91">
        <f>+SUM(DataEx!EX231)</f>
        <v>15202549.555480573</v>
      </c>
      <c r="L116" s="91">
        <f>+SUM(DataEx!EY231)</f>
        <v>15112176.785213545</v>
      </c>
      <c r="M116" s="91">
        <f>+SUM(DataEx!EZ231)</f>
        <v>16317942.270240625</v>
      </c>
      <c r="N116" s="91">
        <f>+SUM(DataEx!FA231)</f>
        <v>16148082.088868527</v>
      </c>
      <c r="O116" s="91">
        <f>+SUM(DataEx!FB231)</f>
        <v>14931344.202533228</v>
      </c>
      <c r="P116" s="91">
        <f>+SUM(DataEx!FC231)</f>
        <v>15915846.876421463</v>
      </c>
      <c r="Q116" s="91">
        <f>+SUM(DataEx!FD231)</f>
        <v>14543340.427429322</v>
      </c>
      <c r="R116" s="91">
        <f>+SUM(DataEx!FE231)</f>
        <v>27554145.495885469</v>
      </c>
      <c r="S116" s="126">
        <f t="shared" si="20"/>
        <v>180937710.58056611</v>
      </c>
      <c r="T116" s="127">
        <f t="shared" si="21"/>
        <v>4.083543085616153E-2</v>
      </c>
    </row>
    <row r="117" spans="1:20">
      <c r="A117" s="138" t="str">
        <f t="shared" si="17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+SUM(DataEx!ET232)</f>
        <v>365962.97</v>
      </c>
      <c r="H117" s="91">
        <f>+SUM(DataEx!EU232)</f>
        <v>960588.74</v>
      </c>
      <c r="I117" s="91">
        <f>+SUM(DataEx!EV232)</f>
        <v>988122.34359266201</v>
      </c>
      <c r="J117" s="91">
        <f>+SUM(DataEx!EW232)</f>
        <v>1096195.1509071102</v>
      </c>
      <c r="K117" s="91">
        <f>+SUM(DataEx!EX232)</f>
        <v>1260180.935030153</v>
      </c>
      <c r="L117" s="91">
        <f>+SUM(DataEx!EY232)</f>
        <v>1467089.8435203447</v>
      </c>
      <c r="M117" s="91">
        <f>+SUM(DataEx!EZ232)</f>
        <v>1507057.6202343714</v>
      </c>
      <c r="N117" s="91">
        <f>+SUM(DataEx!FA232)</f>
        <v>1489600.3728872528</v>
      </c>
      <c r="O117" s="91">
        <f>+SUM(DataEx!FB232)</f>
        <v>1581435.7501726148</v>
      </c>
      <c r="P117" s="91">
        <f>+SUM(DataEx!FC232)</f>
        <v>1083098.6791097028</v>
      </c>
      <c r="Q117" s="91">
        <f>+SUM(DataEx!FD232)</f>
        <v>1113083.9028196863</v>
      </c>
      <c r="R117" s="91">
        <f>+SUM(DataEx!FE232)</f>
        <v>1400755.0445958641</v>
      </c>
      <c r="S117" s="126">
        <f t="shared" si="20"/>
        <v>14313171.35286976</v>
      </c>
      <c r="T117" s="127">
        <f t="shared" si="21"/>
        <v>3.2303079177751159E-3</v>
      </c>
    </row>
    <row r="118" spans="1:20">
      <c r="A118" s="138" t="str">
        <f t="shared" si="17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+SUM(DataEx!ET233)</f>
        <v>305317.27</v>
      </c>
      <c r="H118" s="91">
        <f>+SUM(DataEx!EU233)</f>
        <v>850763.28</v>
      </c>
      <c r="I118" s="91">
        <f>+SUM(DataEx!EV233)</f>
        <v>1037825.6493516645</v>
      </c>
      <c r="J118" s="91">
        <f>+SUM(DataEx!EW233)</f>
        <v>989147.32818748779</v>
      </c>
      <c r="K118" s="91">
        <f>+SUM(DataEx!EX233)</f>
        <v>1119307.6605867953</v>
      </c>
      <c r="L118" s="91">
        <f>+SUM(DataEx!EY233)</f>
        <v>1109239.6997528379</v>
      </c>
      <c r="M118" s="91">
        <f>+SUM(DataEx!EZ233)</f>
        <v>1192583.0386883139</v>
      </c>
      <c r="N118" s="91">
        <f>+SUM(DataEx!FA233)</f>
        <v>1191298.3166539699</v>
      </c>
      <c r="O118" s="91">
        <f>+SUM(DataEx!FB233)</f>
        <v>1084928.1198874905</v>
      </c>
      <c r="P118" s="91">
        <f>+SUM(DataEx!FC233)</f>
        <v>1142720.1971899595</v>
      </c>
      <c r="Q118" s="91">
        <f>+SUM(DataEx!FD233)</f>
        <v>607355.42789588484</v>
      </c>
      <c r="R118" s="91">
        <f>+SUM(DataEx!FE233)</f>
        <v>2170912.1478435569</v>
      </c>
      <c r="S118" s="126">
        <f t="shared" si="20"/>
        <v>12801398.136037959</v>
      </c>
      <c r="T118" s="127">
        <f t="shared" si="21"/>
        <v>2.8891191712830258E-3</v>
      </c>
    </row>
    <row r="119" spans="1:20">
      <c r="A119" s="138" t="str">
        <f t="shared" si="17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+SUM(DataEx!ET234)</f>
        <v>725562.24</v>
      </c>
      <c r="H119" s="85">
        <f>+SUM(DataEx!EU234)</f>
        <v>930915.02999999991</v>
      </c>
      <c r="I119" s="85">
        <f>+SUM(DataEx!EV234)</f>
        <v>1478055.9886604978</v>
      </c>
      <c r="J119" s="85">
        <f>+SUM(DataEx!EW234)</f>
        <v>1310324.9067236972</v>
      </c>
      <c r="K119" s="85">
        <f>+SUM(DataEx!EX234)</f>
        <v>1516721.2364768749</v>
      </c>
      <c r="L119" s="85">
        <f>+SUM(DataEx!EY234)</f>
        <v>1934611.5967205677</v>
      </c>
      <c r="M119" s="85">
        <f>+SUM(DataEx!EZ234)</f>
        <v>2006573.8890331213</v>
      </c>
      <c r="N119" s="85">
        <f>+SUM(DataEx!FA234)</f>
        <v>2107162.0760087203</v>
      </c>
      <c r="O119" s="85">
        <f>+SUM(DataEx!FB234)</f>
        <v>1770373.1150840893</v>
      </c>
      <c r="P119" s="85">
        <f>+SUM(DataEx!FC234)</f>
        <v>1768509.5534105706</v>
      </c>
      <c r="Q119" s="85">
        <f>+SUM(DataEx!FD234)</f>
        <v>1548897.2115143323</v>
      </c>
      <c r="R119" s="85">
        <f>+SUM(DataEx!FE234)</f>
        <v>1581985.8731730294</v>
      </c>
      <c r="S119" s="128">
        <f t="shared" si="20"/>
        <v>18679692.716805503</v>
      </c>
      <c r="T119" s="129">
        <f t="shared" si="21"/>
        <v>4.2157784460957149E-3</v>
      </c>
    </row>
    <row r="120" spans="1:20">
      <c r="A120" s="138" t="str">
        <f t="shared" si="17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+SUM(DataEx!ET241)</f>
        <v>1774503.5699999998</v>
      </c>
      <c r="H120" s="85">
        <f>+SUM(DataEx!EU241)</f>
        <v>1435893.46</v>
      </c>
      <c r="I120" s="85">
        <f>+SUM(DataEx!EV241)</f>
        <v>1493293.5585805762</v>
      </c>
      <c r="J120" s="85">
        <f>+SUM(DataEx!EW241)</f>
        <v>2221665.9925666279</v>
      </c>
      <c r="K120" s="85">
        <f>+SUM(DataEx!EX241)</f>
        <v>1600994.4152378035</v>
      </c>
      <c r="L120" s="85">
        <f>+SUM(DataEx!EY241)</f>
        <v>1759003.5114608184</v>
      </c>
      <c r="M120" s="85">
        <f>+SUM(DataEx!EZ241)</f>
        <v>2768982.89609381</v>
      </c>
      <c r="N120" s="85">
        <f>+SUM(DataEx!FA241)</f>
        <v>1878964.846878767</v>
      </c>
      <c r="O120" s="85">
        <f>+SUM(DataEx!FB241)</f>
        <v>2453431.0919642458</v>
      </c>
      <c r="P120" s="85">
        <f>+SUM(DataEx!FC241)</f>
        <v>3062621.0292725526</v>
      </c>
      <c r="Q120" s="85">
        <f>+SUM(DataEx!FD241)</f>
        <v>2157522.0205821833</v>
      </c>
      <c r="R120" s="85">
        <f>+SUM(DataEx!FE241)</f>
        <v>3364455.4723437326</v>
      </c>
      <c r="S120" s="128">
        <f t="shared" si="20"/>
        <v>25971331.864981115</v>
      </c>
      <c r="T120" s="129">
        <f t="shared" si="21"/>
        <v>5.861412323677157E-3</v>
      </c>
    </row>
    <row r="121" spans="1:20">
      <c r="A121" s="138" t="str">
        <f t="shared" si="17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+SUM(DataEx!ET251)</f>
        <v>2486753.54</v>
      </c>
      <c r="H121" s="85">
        <f>+SUM(DataEx!EU251)</f>
        <v>2087518.1099999999</v>
      </c>
      <c r="I121" s="85">
        <f>+SUM(DataEx!EV251)</f>
        <v>2355602.4630320384</v>
      </c>
      <c r="J121" s="85">
        <f>+SUM(DataEx!EW251)</f>
        <v>3298254.427910096</v>
      </c>
      <c r="K121" s="85">
        <f>+SUM(DataEx!EX251)</f>
        <v>2621799.4151039477</v>
      </c>
      <c r="L121" s="85">
        <f>+SUM(DataEx!EY251)</f>
        <v>3669790.935121492</v>
      </c>
      <c r="M121" s="85">
        <f>+SUM(DataEx!EZ251)</f>
        <v>40239322.121180184</v>
      </c>
      <c r="N121" s="85">
        <f>+SUM(DataEx!FA251)</f>
        <v>6556432.7673175065</v>
      </c>
      <c r="O121" s="85">
        <f>+SUM(DataEx!FB251)</f>
        <v>5955444.0638419371</v>
      </c>
      <c r="P121" s="85">
        <f>+SUM(DataEx!FC251)</f>
        <v>3080614.3453884441</v>
      </c>
      <c r="Q121" s="85">
        <f>+SUM(DataEx!FD251)</f>
        <v>2054798.3756645597</v>
      </c>
      <c r="R121" s="85">
        <f>+SUM(DataEx!FE251)</f>
        <v>4981072.0471647922</v>
      </c>
      <c r="S121" s="128">
        <f t="shared" si="20"/>
        <v>79387402.611725003</v>
      </c>
      <c r="T121" s="129">
        <f t="shared" si="21"/>
        <v>1.7916766934872149E-2</v>
      </c>
    </row>
    <row r="122" spans="1:20">
      <c r="A122" s="138" t="str">
        <f t="shared" si="17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+SUM(DataEx!ET260)</f>
        <v>170875.32</v>
      </c>
      <c r="H122" s="85">
        <f>+SUM(DataEx!EU260)</f>
        <v>72092.639999999999</v>
      </c>
      <c r="I122" s="85">
        <f>+SUM(DataEx!EV260)</f>
        <v>122723.60855213084</v>
      </c>
      <c r="J122" s="85">
        <f>+SUM(DataEx!EW260)</f>
        <v>77400.581818860912</v>
      </c>
      <c r="K122" s="85">
        <f>+SUM(DataEx!EX260)</f>
        <v>287457.35036751837</v>
      </c>
      <c r="L122" s="85">
        <f>+SUM(DataEx!EY260)</f>
        <v>1127348.4167469807</v>
      </c>
      <c r="M122" s="85">
        <f>+SUM(DataEx!EZ260)</f>
        <v>478781.26200871647</v>
      </c>
      <c r="N122" s="85">
        <f>+SUM(DataEx!FA260)</f>
        <v>135623.91601735391</v>
      </c>
      <c r="O122" s="85">
        <f>+SUM(DataEx!FB260)</f>
        <v>165878.65208433714</v>
      </c>
      <c r="P122" s="85">
        <f>+SUM(DataEx!FC260)</f>
        <v>490320.35892417241</v>
      </c>
      <c r="Q122" s="85">
        <f>+SUM(DataEx!FD260)</f>
        <v>785775.49666312477</v>
      </c>
      <c r="R122" s="85">
        <f>+SUM(DataEx!FE260)</f>
        <v>912933.8249398045</v>
      </c>
      <c r="S122" s="128">
        <f t="shared" si="20"/>
        <v>4827211.4281230001</v>
      </c>
      <c r="T122" s="129">
        <f t="shared" si="21"/>
        <v>1.0894426477968358E-3</v>
      </c>
    </row>
    <row r="123" spans="1:20" ht="13.5" thickBot="1">
      <c r="A123" s="138" t="str">
        <f t="shared" si="17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+SUM(DataEx!ET263)</f>
        <v>1518621.66</v>
      </c>
      <c r="H123" s="85">
        <f>+SUM(DataEx!EU263)</f>
        <v>781530.99</v>
      </c>
      <c r="I123" s="85">
        <f>+SUM(DataEx!EV263)</f>
        <v>1966474.8156858</v>
      </c>
      <c r="J123" s="85">
        <f>+SUM(DataEx!EW263)</f>
        <v>4721592.536962891</v>
      </c>
      <c r="K123" s="85">
        <f>+SUM(DataEx!EX263)</f>
        <v>1736180.726499218</v>
      </c>
      <c r="L123" s="85">
        <f>+SUM(DataEx!EY263)</f>
        <v>928754.33793739846</v>
      </c>
      <c r="M123" s="85">
        <f>+SUM(DataEx!EZ263)</f>
        <v>2435550.5406138748</v>
      </c>
      <c r="N123" s="85">
        <f>+SUM(DataEx!FA263)</f>
        <v>570671.53597611003</v>
      </c>
      <c r="O123" s="85">
        <f>+SUM(DataEx!FB263)</f>
        <v>1353198.8801805205</v>
      </c>
      <c r="P123" s="85">
        <f>+SUM(DataEx!FC263)</f>
        <v>2470225.2025423776</v>
      </c>
      <c r="Q123" s="85">
        <f>+SUM(DataEx!FD263)</f>
        <v>2112933.3732640138</v>
      </c>
      <c r="R123" s="85">
        <f>+SUM(DataEx!FE263)</f>
        <v>7914265.4003377939</v>
      </c>
      <c r="S123" s="130">
        <f t="shared" si="20"/>
        <v>28510000</v>
      </c>
      <c r="T123" s="131">
        <f t="shared" si="21"/>
        <v>6.4343587081631274E-3</v>
      </c>
    </row>
    <row r="124" spans="1:20" ht="13.5" thickBot="1">
      <c r="A124" s="138" t="str">
        <f t="shared" si="17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158107547.35211113</v>
      </c>
      <c r="P124" s="97">
        <f t="shared" si="23"/>
        <v>158107547.35211113</v>
      </c>
      <c r="Q124" s="97">
        <f t="shared" si="23"/>
        <v>158607547.35544446</v>
      </c>
      <c r="R124" s="97">
        <f t="shared" si="23"/>
        <v>158607547.34544447</v>
      </c>
      <c r="S124" s="132">
        <f>+SUM(G124:R124)</f>
        <v>1834390469.142</v>
      </c>
      <c r="T124" s="133">
        <f t="shared" si="21"/>
        <v>0.413999519091381</v>
      </c>
    </row>
    <row r="125" spans="1:20" ht="13.5" thickBot="1">
      <c r="A125" s="138" t="str">
        <f t="shared" si="17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131117130.68544447</v>
      </c>
      <c r="P125" s="80">
        <f t="shared" si="24"/>
        <v>131117130.68544447</v>
      </c>
      <c r="Q125" s="80">
        <f t="shared" si="24"/>
        <v>131117130.68544446</v>
      </c>
      <c r="R125" s="80">
        <f t="shared" si="24"/>
        <v>131117130.68544447</v>
      </c>
      <c r="S125" s="134">
        <f t="shared" si="20"/>
        <v>1542615469.1453333</v>
      </c>
      <c r="T125" s="135">
        <f t="shared" si="21"/>
        <v>0.34814946605550412</v>
      </c>
    </row>
    <row r="126" spans="1:20">
      <c r="A126" s="138" t="str">
        <f t="shared" si="17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68385342.175944448</v>
      </c>
      <c r="P126" s="89">
        <f t="shared" si="25"/>
        <v>68385342.175944448</v>
      </c>
      <c r="Q126" s="89">
        <f t="shared" si="25"/>
        <v>68385342.175944448</v>
      </c>
      <c r="R126" s="90">
        <f t="shared" si="25"/>
        <v>68385342.175944448</v>
      </c>
      <c r="S126" s="124">
        <f t="shared" si="20"/>
        <v>783131546.35533345</v>
      </c>
      <c r="T126" s="125">
        <f t="shared" si="21"/>
        <v>0.17674322290174307</v>
      </c>
    </row>
    <row r="127" spans="1:20">
      <c r="A127" s="138" t="str">
        <f t="shared" si="17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+SUM(DataEx!ET272)</f>
        <v>36581480.009166665</v>
      </c>
      <c r="H127" s="91">
        <f>+SUM(DataEx!EU272)</f>
        <v>36581480.009166665</v>
      </c>
      <c r="I127" s="91">
        <f>+SUM(DataEx!EV272)</f>
        <v>36581480.009166665</v>
      </c>
      <c r="J127" s="91">
        <f>+SUM(DataEx!EW272)</f>
        <v>36581480.009166665</v>
      </c>
      <c r="K127" s="91">
        <f>+SUM(DataEx!EX272)</f>
        <v>36581480.009166665</v>
      </c>
      <c r="L127" s="91">
        <f>+SUM(DataEx!EY272)</f>
        <v>36581480.009166665</v>
      </c>
      <c r="M127" s="91">
        <f>+SUM(DataEx!EZ272)</f>
        <v>36581480.009166665</v>
      </c>
      <c r="N127" s="91">
        <f>+SUM(DataEx!FA272)</f>
        <v>36581480.009166665</v>
      </c>
      <c r="O127" s="91">
        <f>+SUM(DataEx!FB272)</f>
        <v>36581480.009166665</v>
      </c>
      <c r="P127" s="91">
        <f>+SUM(DataEx!FC272)</f>
        <v>36581480.009166665</v>
      </c>
      <c r="Q127" s="91">
        <f>+SUM(DataEx!FD272)</f>
        <v>36581480.009166665</v>
      </c>
      <c r="R127" s="91">
        <f>+SUM(DataEx!FE272)</f>
        <v>36581480.009166665</v>
      </c>
      <c r="S127" s="126">
        <f t="shared" si="20"/>
        <v>438977760.10999995</v>
      </c>
      <c r="T127" s="127">
        <f t="shared" si="21"/>
        <v>9.9071917693922221E-2</v>
      </c>
    </row>
    <row r="128" spans="1:20">
      <c r="A128" s="138" t="str">
        <f t="shared" si="17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+SUM(DataEx!ET278)</f>
        <v>1045765.8483333333</v>
      </c>
      <c r="H128" s="91">
        <f>+SUM(DataEx!EU278)</f>
        <v>1045765.8483333333</v>
      </c>
      <c r="I128" s="91">
        <f>+SUM(DataEx!EV278)</f>
        <v>1045765.8483333333</v>
      </c>
      <c r="J128" s="91">
        <f>+SUM(DataEx!EW278)</f>
        <v>1064654.7372222226</v>
      </c>
      <c r="K128" s="91">
        <f>+SUM(DataEx!EX278)</f>
        <v>1064654.7372222226</v>
      </c>
      <c r="L128" s="91">
        <f>+SUM(DataEx!EY278)</f>
        <v>1064654.7372222226</v>
      </c>
      <c r="M128" s="91">
        <f>+SUM(DataEx!EZ278)</f>
        <v>1064654.7372222226</v>
      </c>
      <c r="N128" s="91">
        <f>+SUM(DataEx!FA278)</f>
        <v>1064654.7372222226</v>
      </c>
      <c r="O128" s="91">
        <f>+SUM(DataEx!FB278)</f>
        <v>1064654.7372222226</v>
      </c>
      <c r="P128" s="91">
        <f>+SUM(DataEx!FC278)</f>
        <v>1064654.7372222226</v>
      </c>
      <c r="Q128" s="91">
        <f>+SUM(DataEx!FD278)</f>
        <v>1064654.7372222226</v>
      </c>
      <c r="R128" s="91">
        <f>+SUM(DataEx!FE278)</f>
        <v>1064654.7372222226</v>
      </c>
      <c r="S128" s="126">
        <f t="shared" si="20"/>
        <v>12719190.180000003</v>
      </c>
      <c r="T128" s="127">
        <f t="shared" si="21"/>
        <v>2.870565839897087E-3</v>
      </c>
    </row>
    <row r="129" spans="1:20">
      <c r="A129" s="138" t="str">
        <f t="shared" si="17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+SUM(DataEx!ET286)</f>
        <v>2429373.3213333334</v>
      </c>
      <c r="H129" s="91">
        <f>+SUM(DataEx!EU286)</f>
        <v>2429373.3213333334</v>
      </c>
      <c r="I129" s="91">
        <f>+SUM(DataEx!EV286)</f>
        <v>2429373.3213333334</v>
      </c>
      <c r="J129" s="91">
        <f>+SUM(DataEx!EW286)</f>
        <v>2429373.3213333334</v>
      </c>
      <c r="K129" s="91">
        <f>+SUM(DataEx!EX286)</f>
        <v>2429373.3213333334</v>
      </c>
      <c r="L129" s="91">
        <f>+SUM(DataEx!EY286)</f>
        <v>2429373.3213333334</v>
      </c>
      <c r="M129" s="91">
        <f>+SUM(DataEx!EZ286)</f>
        <v>3644059.9819999994</v>
      </c>
      <c r="N129" s="91">
        <f>+SUM(DataEx!FA286)</f>
        <v>3644059.9819999994</v>
      </c>
      <c r="O129" s="91">
        <f>+SUM(DataEx!FB286)</f>
        <v>3644059.9819999994</v>
      </c>
      <c r="P129" s="91">
        <f>+SUM(DataEx!FC286)</f>
        <v>3644059.9819999994</v>
      </c>
      <c r="Q129" s="91">
        <f>+SUM(DataEx!FD286)</f>
        <v>3644059.9819999994</v>
      </c>
      <c r="R129" s="91">
        <f>+SUM(DataEx!FE286)</f>
        <v>3644059.9819999994</v>
      </c>
      <c r="S129" s="126">
        <f t="shared" si="20"/>
        <v>36440599.82</v>
      </c>
      <c r="T129" s="127">
        <f t="shared" si="21"/>
        <v>8.2241982035252438E-3</v>
      </c>
    </row>
    <row r="130" spans="1:20">
      <c r="A130" s="138" t="str">
        <f t="shared" si="17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+SUM(DataEx!ET293)</f>
        <v>3986420.5893333331</v>
      </c>
      <c r="H130" s="91">
        <f>+SUM(DataEx!EU293)</f>
        <v>3986420.5893333331</v>
      </c>
      <c r="I130" s="91">
        <f>+SUM(DataEx!EV293)</f>
        <v>3986420.5893333331</v>
      </c>
      <c r="J130" s="91">
        <f>+SUM(DataEx!EW293)</f>
        <v>4097531.7004444432</v>
      </c>
      <c r="K130" s="91">
        <f>+SUM(DataEx!EX293)</f>
        <v>4097531.7004444432</v>
      </c>
      <c r="L130" s="91">
        <f>+SUM(DataEx!EY293)</f>
        <v>4097531.7004444432</v>
      </c>
      <c r="M130" s="91">
        <f>+SUM(DataEx!EZ293)</f>
        <v>6090741.9951111097</v>
      </c>
      <c r="N130" s="91">
        <f>+SUM(DataEx!FA293)</f>
        <v>6090741.9951111097</v>
      </c>
      <c r="O130" s="91">
        <f>+SUM(DataEx!FB293)</f>
        <v>6090741.9951111097</v>
      </c>
      <c r="P130" s="91">
        <f>+SUM(DataEx!FC293)</f>
        <v>6090741.9951111097</v>
      </c>
      <c r="Q130" s="91">
        <f>+SUM(DataEx!FD293)</f>
        <v>6090741.9951111097</v>
      </c>
      <c r="R130" s="91">
        <f>+SUM(DataEx!FE293)</f>
        <v>6090741.9951111097</v>
      </c>
      <c r="S130" s="126">
        <f t="shared" si="20"/>
        <v>60796308.839999974</v>
      </c>
      <c r="T130" s="127">
        <f t="shared" si="21"/>
        <v>1.372098418831388E-2</v>
      </c>
    </row>
    <row r="131" spans="1:20">
      <c r="A131" s="138" t="str">
        <f t="shared" si="17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+SUM(DataEx!ET303)</f>
        <v>1860319.3983333334</v>
      </c>
      <c r="H131" s="91">
        <f>+SUM(DataEx!EU303)</f>
        <v>1860319.3983333334</v>
      </c>
      <c r="I131" s="91">
        <f>+SUM(DataEx!EV303)</f>
        <v>1860319.3983333334</v>
      </c>
      <c r="J131" s="91">
        <f>+SUM(DataEx!EW303)</f>
        <v>1860319.3983333334</v>
      </c>
      <c r="K131" s="91">
        <f>+SUM(DataEx!EX303)</f>
        <v>1860319.3983333334</v>
      </c>
      <c r="L131" s="91">
        <f>+SUM(DataEx!EY303)</f>
        <v>1860319.3983333334</v>
      </c>
      <c r="M131" s="91">
        <f>+SUM(DataEx!EZ303)</f>
        <v>1860319.3983333334</v>
      </c>
      <c r="N131" s="91">
        <f>+SUM(DataEx!FA303)</f>
        <v>1860319.3983333334</v>
      </c>
      <c r="O131" s="91">
        <f>+SUM(DataEx!FB303)</f>
        <v>1860319.3983333334</v>
      </c>
      <c r="P131" s="91">
        <f>+SUM(DataEx!FC303)</f>
        <v>1860319.3983333334</v>
      </c>
      <c r="Q131" s="91">
        <f>+SUM(DataEx!FD303)</f>
        <v>1860319.3983333334</v>
      </c>
      <c r="R131" s="91">
        <f>+SUM(DataEx!FE303)</f>
        <v>1860319.3983333334</v>
      </c>
      <c r="S131" s="126">
        <f t="shared" si="20"/>
        <v>22323832.780000001</v>
      </c>
      <c r="T131" s="127">
        <f t="shared" si="21"/>
        <v>5.0382163397955275E-3</v>
      </c>
    </row>
    <row r="132" spans="1:20">
      <c r="A132" s="138" t="str">
        <f t="shared" si="17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+SUM(DataEx!ET307)</f>
        <v>7122725</v>
      </c>
      <c r="H132" s="91">
        <f>+SUM(DataEx!EU307)</f>
        <v>7122725</v>
      </c>
      <c r="I132" s="91">
        <f>+SUM(DataEx!EV307)</f>
        <v>7122725</v>
      </c>
      <c r="J132" s="91">
        <f>+SUM(DataEx!EW307)</f>
        <v>7122725</v>
      </c>
      <c r="K132" s="91">
        <f>+SUM(DataEx!EX307)</f>
        <v>7122725</v>
      </c>
      <c r="L132" s="91">
        <f>+SUM(DataEx!EY307)</f>
        <v>7122725</v>
      </c>
      <c r="M132" s="91">
        <f>+SUM(DataEx!EZ307)</f>
        <v>7122725</v>
      </c>
      <c r="N132" s="91">
        <f>+SUM(DataEx!FA307)</f>
        <v>7122725</v>
      </c>
      <c r="O132" s="91">
        <f>+SUM(DataEx!FB307)</f>
        <v>7122725</v>
      </c>
      <c r="P132" s="91">
        <f>+SUM(DataEx!FC307)</f>
        <v>7122725</v>
      </c>
      <c r="Q132" s="91">
        <f>+SUM(DataEx!FD307)</f>
        <v>7122725</v>
      </c>
      <c r="R132" s="91">
        <f>+SUM(DataEx!FE307)</f>
        <v>7122725</v>
      </c>
      <c r="S132" s="126">
        <f t="shared" si="20"/>
        <v>85472700</v>
      </c>
      <c r="T132" s="127">
        <f t="shared" si="21"/>
        <v>1.9290144214493668E-2</v>
      </c>
    </row>
    <row r="133" spans="1:20">
      <c r="A133" s="138" t="str">
        <f t="shared" si="17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+SUM(DataEx!ET310)</f>
        <v>800010.93333333347</v>
      </c>
      <c r="H133" s="91">
        <f>+SUM(DataEx!EU310)</f>
        <v>800010.93333333347</v>
      </c>
      <c r="I133" s="91">
        <f>+SUM(DataEx!EV310)</f>
        <v>800010.93333333347</v>
      </c>
      <c r="J133" s="91">
        <f>+SUM(DataEx!EW310)</f>
        <v>800010.93333333347</v>
      </c>
      <c r="K133" s="91">
        <f>+SUM(DataEx!EX310)</f>
        <v>800010.93333333347</v>
      </c>
      <c r="L133" s="91">
        <f>+SUM(DataEx!EY310)</f>
        <v>800010.93333333347</v>
      </c>
      <c r="M133" s="91">
        <f>+SUM(DataEx!EZ310)</f>
        <v>800010.93333333347</v>
      </c>
      <c r="N133" s="91">
        <f>+SUM(DataEx!FA310)</f>
        <v>800010.93333333347</v>
      </c>
      <c r="O133" s="91">
        <f>+SUM(DataEx!FB310)</f>
        <v>800010.93333333347</v>
      </c>
      <c r="P133" s="91">
        <f>+SUM(DataEx!FC310)</f>
        <v>800010.93333333347</v>
      </c>
      <c r="Q133" s="91">
        <f>+SUM(DataEx!FD310)</f>
        <v>800010.93333333347</v>
      </c>
      <c r="R133" s="91">
        <f>+SUM(DataEx!FE310)</f>
        <v>800010.93333333347</v>
      </c>
      <c r="S133" s="126">
        <f t="shared" si="20"/>
        <v>9600131.2000000011</v>
      </c>
      <c r="T133" s="127">
        <f t="shared" si="21"/>
        <v>2.1666323320318672E-3</v>
      </c>
    </row>
    <row r="134" spans="1:20">
      <c r="A134" s="138" t="str">
        <f t="shared" si="17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+SUM(DataEx!ET314)</f>
        <v>2250983.3333333335</v>
      </c>
      <c r="H134" s="91">
        <f>+SUM(DataEx!EU314)</f>
        <v>2250983.3333333335</v>
      </c>
      <c r="I134" s="91">
        <f>+SUM(DataEx!EV314)</f>
        <v>2250983.3333333335</v>
      </c>
      <c r="J134" s="91">
        <f>+SUM(DataEx!EW314)</f>
        <v>2250983.3333333335</v>
      </c>
      <c r="K134" s="91">
        <f>+SUM(DataEx!EX314)</f>
        <v>2250983.3333333335</v>
      </c>
      <c r="L134" s="91">
        <f>+SUM(DataEx!EY314)</f>
        <v>2250983.3333333335</v>
      </c>
      <c r="M134" s="91">
        <f>+SUM(DataEx!EZ314)</f>
        <v>2250983.3333333335</v>
      </c>
      <c r="N134" s="91">
        <f>+SUM(DataEx!FA314)</f>
        <v>2250983.3333333335</v>
      </c>
      <c r="O134" s="91">
        <f>+SUM(DataEx!FB314)</f>
        <v>2250983.3333333335</v>
      </c>
      <c r="P134" s="91">
        <f>+SUM(DataEx!FC314)</f>
        <v>2250983.3333333335</v>
      </c>
      <c r="Q134" s="91">
        <f>+SUM(DataEx!FD314)</f>
        <v>2250983.3333333335</v>
      </c>
      <c r="R134" s="91">
        <f>+SUM(DataEx!FE314)</f>
        <v>2250983.3333333335</v>
      </c>
      <c r="S134" s="126">
        <f t="shared" si="20"/>
        <v>27011799.999999996</v>
      </c>
      <c r="T134" s="127">
        <f t="shared" si="21"/>
        <v>6.0962332708930454E-3</v>
      </c>
    </row>
    <row r="135" spans="1:20">
      <c r="A135" s="138" t="str">
        <f t="shared" si="17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+SUM(DataEx!ET318)</f>
        <v>2581823.9339999999</v>
      </c>
      <c r="H135" s="91">
        <f>+SUM(DataEx!EU318)</f>
        <v>2581823.9339999999</v>
      </c>
      <c r="I135" s="91">
        <f>+SUM(DataEx!EV318)</f>
        <v>2581823.9339999999</v>
      </c>
      <c r="J135" s="91">
        <f>+SUM(DataEx!EW318)</f>
        <v>2696268.3784444444</v>
      </c>
      <c r="K135" s="91">
        <f>+SUM(DataEx!EX318)</f>
        <v>2696268.3784444444</v>
      </c>
      <c r="L135" s="91">
        <f>+SUM(DataEx!EY318)</f>
        <v>2696268.3784444444</v>
      </c>
      <c r="M135" s="91">
        <f>+SUM(DataEx!EZ318)</f>
        <v>3987180.345444445</v>
      </c>
      <c r="N135" s="91">
        <f>+SUM(DataEx!FA318)</f>
        <v>3987180.345444445</v>
      </c>
      <c r="O135" s="91">
        <f>+SUM(DataEx!FB318)</f>
        <v>3987180.345444445</v>
      </c>
      <c r="P135" s="91">
        <f>+SUM(DataEx!FC318)</f>
        <v>3987180.345444445</v>
      </c>
      <c r="Q135" s="91">
        <f>+SUM(DataEx!FD318)</f>
        <v>3987180.345444445</v>
      </c>
      <c r="R135" s="91">
        <f>+SUM(DataEx!FE318)</f>
        <v>3987180.345444445</v>
      </c>
      <c r="S135" s="126">
        <f t="shared" si="20"/>
        <v>39757359.010000005</v>
      </c>
      <c r="T135" s="127">
        <f t="shared" si="21"/>
        <v>8.972750233586858E-3</v>
      </c>
    </row>
    <row r="136" spans="1:20">
      <c r="A136" s="138" t="str">
        <f t="shared" si="17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+SUM(DataEx!ET376)</f>
        <v>3322124.294666667</v>
      </c>
      <c r="H136" s="91">
        <f>+SUM(DataEx!EU376)</f>
        <v>3322124.294666667</v>
      </c>
      <c r="I136" s="91">
        <f>+SUM(DataEx!EV376)</f>
        <v>3322124.294666667</v>
      </c>
      <c r="J136" s="91">
        <f>+SUM(DataEx!EW376)</f>
        <v>3322124.294666667</v>
      </c>
      <c r="K136" s="91">
        <f>+SUM(DataEx!EX376)</f>
        <v>3522124.2900000066</v>
      </c>
      <c r="L136" s="91">
        <f>+SUM(DataEx!EY376)</f>
        <v>3322124.294666667</v>
      </c>
      <c r="M136" s="91">
        <f>+SUM(DataEx!EZ376)</f>
        <v>4983186.4420000007</v>
      </c>
      <c r="N136" s="91">
        <f>+SUM(DataEx!FA376)</f>
        <v>4983186.4420000007</v>
      </c>
      <c r="O136" s="91">
        <f>+SUM(DataEx!FB376)</f>
        <v>4983186.4420000007</v>
      </c>
      <c r="P136" s="91">
        <f>+SUM(DataEx!FC376)</f>
        <v>4983186.4420000007</v>
      </c>
      <c r="Q136" s="91">
        <f>+SUM(DataEx!FD376)</f>
        <v>4983186.4420000007</v>
      </c>
      <c r="R136" s="91">
        <f>+SUM(DataEx!FE376)</f>
        <v>4983186.4420000007</v>
      </c>
      <c r="S136" s="126">
        <f t="shared" si="20"/>
        <v>50031864.415333346</v>
      </c>
      <c r="T136" s="127">
        <f t="shared" si="21"/>
        <v>1.1291580585283654E-2</v>
      </c>
    </row>
    <row r="137" spans="1:20">
      <c r="A137" s="138" t="str">
        <f t="shared" si="17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45950724.162500009</v>
      </c>
      <c r="P137" s="87">
        <f t="shared" si="26"/>
        <v>45950724.162500009</v>
      </c>
      <c r="Q137" s="87">
        <f t="shared" si="26"/>
        <v>45950724.162500009</v>
      </c>
      <c r="R137" s="87">
        <f t="shared" si="26"/>
        <v>45950724.162500009</v>
      </c>
      <c r="S137" s="128">
        <f t="shared" si="20"/>
        <v>551408689.95000017</v>
      </c>
      <c r="T137" s="129">
        <f t="shared" si="21"/>
        <v>0.12444620504863575</v>
      </c>
    </row>
    <row r="138" spans="1:20">
      <c r="A138" s="138" t="str">
        <f t="shared" si="17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SUM(DataEx!ET329)</f>
        <v>6651000</v>
      </c>
      <c r="H138" s="91">
        <f>SUM(DataEx!EU329)</f>
        <v>6651000</v>
      </c>
      <c r="I138" s="91">
        <f>SUM(DataEx!EV329)</f>
        <v>6651000</v>
      </c>
      <c r="J138" s="91">
        <f>SUM(DataEx!EW329)</f>
        <v>6651000</v>
      </c>
      <c r="K138" s="91">
        <f>SUM(DataEx!EX329)</f>
        <v>6651000</v>
      </c>
      <c r="L138" s="91">
        <f>SUM(DataEx!EY329)</f>
        <v>6651000</v>
      </c>
      <c r="M138" s="91">
        <f>SUM(DataEx!EZ329)</f>
        <v>6651000</v>
      </c>
      <c r="N138" s="91">
        <f>SUM(DataEx!FA329)</f>
        <v>6651000</v>
      </c>
      <c r="O138" s="91">
        <f>SUM(DataEx!FB329)</f>
        <v>6651000</v>
      </c>
      <c r="P138" s="91">
        <f>SUM(DataEx!FC329)</f>
        <v>6651000</v>
      </c>
      <c r="Q138" s="91">
        <f>SUM(DataEx!FD329)</f>
        <v>6651000</v>
      </c>
      <c r="R138" s="91">
        <f>SUM(DataEx!FE329)</f>
        <v>6651000</v>
      </c>
      <c r="S138" s="126">
        <f t="shared" si="20"/>
        <v>79812000</v>
      </c>
      <c r="T138" s="127">
        <f t="shared" si="21"/>
        <v>1.8012593378320431E-2</v>
      </c>
    </row>
    <row r="139" spans="1:20">
      <c r="A139" s="138" t="str">
        <f t="shared" si="17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SUM(DataEx!ET337)</f>
        <v>1699899.96</v>
      </c>
      <c r="H139" s="91">
        <f>SUM(DataEx!EU337)</f>
        <v>1699899.96</v>
      </c>
      <c r="I139" s="91">
        <f>SUM(DataEx!EV337)</f>
        <v>1699899.96</v>
      </c>
      <c r="J139" s="91">
        <f>SUM(DataEx!EW337)</f>
        <v>1699899.96</v>
      </c>
      <c r="K139" s="91">
        <f>SUM(DataEx!EX337)</f>
        <v>1699899.96</v>
      </c>
      <c r="L139" s="91">
        <f>SUM(DataEx!EY337)</f>
        <v>1699899.96</v>
      </c>
      <c r="M139" s="91">
        <f>SUM(DataEx!EZ337)</f>
        <v>1699899.96</v>
      </c>
      <c r="N139" s="91">
        <f>SUM(DataEx!FA337)</f>
        <v>1699899.96</v>
      </c>
      <c r="O139" s="91">
        <f>SUM(DataEx!FB337)</f>
        <v>1699899.96</v>
      </c>
      <c r="P139" s="91">
        <f>SUM(DataEx!FC337)</f>
        <v>1699899.96</v>
      </c>
      <c r="Q139" s="91">
        <f>SUM(DataEx!FD337)</f>
        <v>1699899.96</v>
      </c>
      <c r="R139" s="91">
        <f>SUM(DataEx!FE337)</f>
        <v>1699899.96</v>
      </c>
      <c r="S139" s="126">
        <f t="shared" si="20"/>
        <v>20398799.520000007</v>
      </c>
      <c r="T139" s="127">
        <f t="shared" si="21"/>
        <v>4.6037598501433132E-3</v>
      </c>
    </row>
    <row r="140" spans="1:20">
      <c r="A140" s="138" t="str">
        <f t="shared" si="17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SUM(DataEx!ET343)</f>
        <v>35472732.535833336</v>
      </c>
      <c r="H140" s="91">
        <f>SUM(DataEx!EU343)</f>
        <v>35472732.535833336</v>
      </c>
      <c r="I140" s="91">
        <f>SUM(DataEx!EV343)</f>
        <v>35472732.535833336</v>
      </c>
      <c r="J140" s="91">
        <f>SUM(DataEx!EW343)</f>
        <v>35472732.535833336</v>
      </c>
      <c r="K140" s="91">
        <f>SUM(DataEx!EX343)</f>
        <v>35472732.535833336</v>
      </c>
      <c r="L140" s="91">
        <f>SUM(DataEx!EY343)</f>
        <v>35472732.535833336</v>
      </c>
      <c r="M140" s="91">
        <f>SUM(DataEx!EZ343)</f>
        <v>35472732.535833336</v>
      </c>
      <c r="N140" s="91">
        <f>SUM(DataEx!FA343)</f>
        <v>35472732.535833336</v>
      </c>
      <c r="O140" s="91">
        <f>SUM(DataEx!FB343)</f>
        <v>35472732.535833336</v>
      </c>
      <c r="P140" s="91">
        <f>SUM(DataEx!FC343)</f>
        <v>35472732.535833336</v>
      </c>
      <c r="Q140" s="91">
        <f>SUM(DataEx!FD343)</f>
        <v>35472732.535833336</v>
      </c>
      <c r="R140" s="91">
        <f>SUM(DataEx!FE343)</f>
        <v>35472732.535833336</v>
      </c>
      <c r="S140" s="126">
        <f t="shared" si="20"/>
        <v>425672790.43000013</v>
      </c>
      <c r="T140" s="127">
        <f t="shared" si="21"/>
        <v>9.6069148577038549E-2</v>
      </c>
    </row>
    <row r="141" spans="1:20">
      <c r="A141" s="138" t="str">
        <f t="shared" si="17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SUM(DataEx!ET351)</f>
        <v>1375008.3333333333</v>
      </c>
      <c r="H141" s="91">
        <f>SUM(DataEx!EU351)</f>
        <v>1375008.3333333333</v>
      </c>
      <c r="I141" s="91">
        <f>SUM(DataEx!EV351)</f>
        <v>1375008.3333333333</v>
      </c>
      <c r="J141" s="91">
        <f>SUM(DataEx!EW351)</f>
        <v>1375008.3333333333</v>
      </c>
      <c r="K141" s="91">
        <f>SUM(DataEx!EX351)</f>
        <v>1375008.3333333333</v>
      </c>
      <c r="L141" s="91">
        <f>SUM(DataEx!EY351)</f>
        <v>1375008.3333333333</v>
      </c>
      <c r="M141" s="91">
        <f>SUM(DataEx!EZ351)</f>
        <v>1375008.3333333333</v>
      </c>
      <c r="N141" s="91">
        <f>SUM(DataEx!FA351)</f>
        <v>1375008.3333333333</v>
      </c>
      <c r="O141" s="91">
        <f>SUM(DataEx!FB351)</f>
        <v>1375008.3333333333</v>
      </c>
      <c r="P141" s="91">
        <f>SUM(DataEx!FC351)</f>
        <v>1375008.3333333333</v>
      </c>
      <c r="Q141" s="91">
        <f>SUM(DataEx!FD351)</f>
        <v>1375008.3333333333</v>
      </c>
      <c r="R141" s="91">
        <f>SUM(DataEx!FE351)</f>
        <v>1375008.3333333333</v>
      </c>
      <c r="S141" s="126">
        <f t="shared" si="20"/>
        <v>16500100.000000002</v>
      </c>
      <c r="T141" s="127">
        <f t="shared" si="21"/>
        <v>3.7238709968629401E-3</v>
      </c>
    </row>
    <row r="142" spans="1:20">
      <c r="A142" s="138" t="str">
        <f t="shared" si="17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SUM(DataEx!ET353)</f>
        <v>752083.33333333337</v>
      </c>
      <c r="H142" s="91">
        <f>SUM(DataEx!EU353)</f>
        <v>752083.33333333337</v>
      </c>
      <c r="I142" s="91">
        <f>SUM(DataEx!EV353)</f>
        <v>752083.33333333337</v>
      </c>
      <c r="J142" s="91">
        <f>SUM(DataEx!EW353)</f>
        <v>752083.33333333337</v>
      </c>
      <c r="K142" s="91">
        <f>SUM(DataEx!EX353)</f>
        <v>752083.33333333337</v>
      </c>
      <c r="L142" s="91">
        <f>SUM(DataEx!EY353)</f>
        <v>752083.33333333337</v>
      </c>
      <c r="M142" s="91">
        <f>SUM(DataEx!EZ353)</f>
        <v>752083.33333333337</v>
      </c>
      <c r="N142" s="91">
        <f>SUM(DataEx!FA353)</f>
        <v>752083.33333333337</v>
      </c>
      <c r="O142" s="91">
        <f>SUM(DataEx!FB353)</f>
        <v>752083.33333333337</v>
      </c>
      <c r="P142" s="91">
        <f>SUM(DataEx!FC353)</f>
        <v>752083.33333333337</v>
      </c>
      <c r="Q142" s="91">
        <f>SUM(DataEx!FD353)</f>
        <v>752083.33333333337</v>
      </c>
      <c r="R142" s="91">
        <f>SUM(DataEx!FE353)</f>
        <v>752083.33333333337</v>
      </c>
      <c r="S142" s="126">
        <f t="shared" si="20"/>
        <v>9024999.9999999981</v>
      </c>
      <c r="T142" s="127">
        <f t="shared" si="21"/>
        <v>2.0368322462705089E-3</v>
      </c>
    </row>
    <row r="143" spans="1:20">
      <c r="A143" s="138" t="str">
        <f t="shared" si="17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SUM(DataEx!ET357)</f>
        <v>15295211.558333334</v>
      </c>
      <c r="H143" s="85">
        <f>SUM(DataEx!EU357)</f>
        <v>15295211.558333334</v>
      </c>
      <c r="I143" s="85">
        <f>SUM(DataEx!EV357)</f>
        <v>15295211.558333334</v>
      </c>
      <c r="J143" s="85">
        <f>SUM(DataEx!EW357)</f>
        <v>18161878.224999998</v>
      </c>
      <c r="K143" s="85">
        <f>SUM(DataEx!EX357)</f>
        <v>18161878.224999998</v>
      </c>
      <c r="L143" s="85">
        <f>SUM(DataEx!EY357)</f>
        <v>18161878.224999998</v>
      </c>
      <c r="M143" s="85">
        <f>SUM(DataEx!EZ357)</f>
        <v>15295211.558333334</v>
      </c>
      <c r="N143" s="85">
        <f>SUM(DataEx!FA357)</f>
        <v>15295211.558333334</v>
      </c>
      <c r="O143" s="85">
        <f>SUM(DataEx!FB357)</f>
        <v>15295211.558333334</v>
      </c>
      <c r="P143" s="85">
        <f>SUM(DataEx!FC357)</f>
        <v>15295211.558333334</v>
      </c>
      <c r="Q143" s="85">
        <f>SUM(DataEx!FD357)</f>
        <v>15295211.558333334</v>
      </c>
      <c r="R143" s="85">
        <f>SUM(DataEx!FE357)</f>
        <v>15295211.558333334</v>
      </c>
      <c r="S143" s="128">
        <f>+SUM(G143:R143)</f>
        <v>192142538.69999999</v>
      </c>
      <c r="T143" s="129">
        <f t="shared" si="21"/>
        <v>4.3364223679162248E-2</v>
      </c>
    </row>
    <row r="144" spans="1:20">
      <c r="A144" s="138" t="str">
        <f t="shared" si="17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SUM(DataEx!ET375)</f>
        <v>21472083.333333332</v>
      </c>
      <c r="H144" s="85">
        <f>SUM(DataEx!EU375)</f>
        <v>21472083.333333332</v>
      </c>
      <c r="I144" s="85">
        <f>SUM(DataEx!EV375)</f>
        <v>21472083.333333332</v>
      </c>
      <c r="J144" s="85">
        <f>SUM(DataEx!EW375)</f>
        <v>21472083.333333332</v>
      </c>
      <c r="K144" s="85">
        <f>SUM(DataEx!EX375)</f>
        <v>21472083.333333332</v>
      </c>
      <c r="L144" s="85">
        <f>SUM(DataEx!EY375)</f>
        <v>21472083.333333332</v>
      </c>
      <c r="M144" s="85">
        <f>SUM(DataEx!EZ375)</f>
        <v>26990416.666666664</v>
      </c>
      <c r="N144" s="85">
        <f>SUM(DataEx!FA375)</f>
        <v>26990416.666666664</v>
      </c>
      <c r="O144" s="85">
        <f>SUM(DataEx!FB375)</f>
        <v>26990416.666666664</v>
      </c>
      <c r="P144" s="85">
        <f>SUM(DataEx!FC375)</f>
        <v>26990416.666666664</v>
      </c>
      <c r="Q144" s="85">
        <f>SUM(DataEx!FD375)</f>
        <v>27490416.670000002</v>
      </c>
      <c r="R144" s="85">
        <f>SUM(DataEx!FE375)</f>
        <v>27490416.66</v>
      </c>
      <c r="S144" s="128">
        <f t="shared" si="20"/>
        <v>291774999.99666667</v>
      </c>
      <c r="T144" s="129">
        <f t="shared" si="21"/>
        <v>6.5850053035876835E-2</v>
      </c>
    </row>
    <row r="145" spans="1:20">
      <c r="A145" s="138" t="str">
        <f t="shared" si="17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SUM(DataEx!ET386)</f>
        <v>239583.41666666666</v>
      </c>
      <c r="H145" s="91">
        <f>SUM(DataEx!EU386)</f>
        <v>239583.41666666666</v>
      </c>
      <c r="I145" s="91">
        <f>SUM(DataEx!EV386)</f>
        <v>239583.41666666666</v>
      </c>
      <c r="J145" s="91">
        <f>SUM(DataEx!EW386)</f>
        <v>239583.41666666666</v>
      </c>
      <c r="K145" s="91">
        <f>SUM(DataEx!EX386)</f>
        <v>239583.41666666666</v>
      </c>
      <c r="L145" s="91">
        <f>SUM(DataEx!EY386)</f>
        <v>239583.41666666666</v>
      </c>
      <c r="M145" s="91">
        <f>SUM(DataEx!EZ386)</f>
        <v>239583.41666666666</v>
      </c>
      <c r="N145" s="91">
        <f>SUM(DataEx!FA386)</f>
        <v>239583.41666666666</v>
      </c>
      <c r="O145" s="91">
        <f>SUM(DataEx!FB386)</f>
        <v>239583.41666666666</v>
      </c>
      <c r="P145" s="91">
        <f>SUM(DataEx!FC386)</f>
        <v>239583.41666666666</v>
      </c>
      <c r="Q145" s="91">
        <f>SUM(DataEx!FD386)</f>
        <v>239583.41666666666</v>
      </c>
      <c r="R145" s="91">
        <f>SUM(DataEx!FE386)</f>
        <v>239583.41666666666</v>
      </c>
      <c r="S145" s="126">
        <f t="shared" si="20"/>
        <v>2875000.9999999995</v>
      </c>
      <c r="T145" s="127">
        <f t="shared" si="21"/>
        <v>6.4885260330858278E-4</v>
      </c>
    </row>
    <row r="146" spans="1:20">
      <c r="A146" s="138" t="str">
        <f t="shared" si="17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SUM(DataEx!ET401)</f>
        <v>830846.24800000002</v>
      </c>
      <c r="H146" s="91">
        <f>SUM(DataEx!EU401)</f>
        <v>830846.24800000002</v>
      </c>
      <c r="I146" s="91">
        <f>SUM(DataEx!EV401)</f>
        <v>830846.24800000002</v>
      </c>
      <c r="J146" s="91">
        <f>SUM(DataEx!EW401)</f>
        <v>949846.13199999998</v>
      </c>
      <c r="K146" s="91">
        <f>SUM(DataEx!EX401)</f>
        <v>1306845.784</v>
      </c>
      <c r="L146" s="91">
        <f>SUM(DataEx!EY401)</f>
        <v>830846.24800000002</v>
      </c>
      <c r="M146" s="91">
        <f>SUM(DataEx!EZ401)</f>
        <v>1246269.3720000002</v>
      </c>
      <c r="N146" s="91">
        <f>SUM(DataEx!FA401)</f>
        <v>1246269.3720000002</v>
      </c>
      <c r="O146" s="91">
        <f>SUM(DataEx!FB401)</f>
        <v>1246269.3720000002</v>
      </c>
      <c r="P146" s="91">
        <f>SUM(DataEx!FC401)</f>
        <v>1246269.3720000002</v>
      </c>
      <c r="Q146" s="91">
        <f>SUM(DataEx!FD401)</f>
        <v>1246269.3720000002</v>
      </c>
      <c r="R146" s="91">
        <f>SUM(DataEx!FE401)</f>
        <v>1246269.3720000002</v>
      </c>
      <c r="S146" s="126">
        <f t="shared" si="20"/>
        <v>13057693.139999999</v>
      </c>
      <c r="T146" s="127">
        <f t="shared" si="21"/>
        <v>2.9469618226545392E-3</v>
      </c>
    </row>
    <row r="147" spans="1:20">
      <c r="A147" s="138" t="str">
        <f t="shared" si="17"/>
        <v>462p</v>
      </c>
      <c r="B147" s="540" t="str">
        <f>+VLOOKUP(LEFT($A147,LEN(A147)-1)*1,Master!$D$25:$G$223,4,FALSE)</f>
        <v>Otplata garancija</v>
      </c>
      <c r="C147" s="541"/>
      <c r="D147" s="541"/>
      <c r="E147" s="541"/>
      <c r="F147" s="541"/>
      <c r="G147" s="91">
        <f>SUM(DataEx!ET388)</f>
        <v>0</v>
      </c>
      <c r="H147" s="91">
        <f>SUM(DataEx!EU388)</f>
        <v>0</v>
      </c>
      <c r="I147" s="91">
        <f>SUM(DataEx!EV388)</f>
        <v>0</v>
      </c>
      <c r="J147" s="91">
        <f>SUM(DataEx!EW388)</f>
        <v>0</v>
      </c>
      <c r="K147" s="91">
        <f>SUM(DataEx!EX388)</f>
        <v>0</v>
      </c>
      <c r="L147" s="91">
        <f>SUM(DataEx!EY388)</f>
        <v>0</v>
      </c>
      <c r="M147" s="91">
        <f>SUM(DataEx!EZ388)</f>
        <v>0</v>
      </c>
      <c r="N147" s="91">
        <f>SUM(DataEx!FA388)</f>
        <v>0</v>
      </c>
      <c r="O147" s="91">
        <f>SUM(DataEx!FB388)</f>
        <v>0</v>
      </c>
      <c r="P147" s="91">
        <f>SUM(DataEx!FC388)</f>
        <v>0</v>
      </c>
      <c r="Q147" s="91">
        <f>SUM(DataEx!FD388)</f>
        <v>0</v>
      </c>
      <c r="R147" s="91">
        <f>SUM(DataEx!FE388)</f>
        <v>0</v>
      </c>
      <c r="S147" s="126">
        <f t="shared" si="20"/>
        <v>0</v>
      </c>
      <c r="T147" s="127">
        <f t="shared" si="21"/>
        <v>0</v>
      </c>
    </row>
    <row r="148" spans="1:20" ht="13.5" thickBot="1">
      <c r="A148" s="138"/>
      <c r="B148" s="387" t="s">
        <v>700</v>
      </c>
      <c r="C148" s="388"/>
      <c r="D148" s="388"/>
      <c r="E148" s="388"/>
      <c r="F148" s="388"/>
      <c r="G148" s="91">
        <f>SUM(DataEx!ET389)</f>
        <v>0</v>
      </c>
      <c r="H148" s="91">
        <f>SUM(DataEx!EU389)</f>
        <v>0</v>
      </c>
      <c r="I148" s="91">
        <f>SUM(DataEx!EV389)</f>
        <v>0</v>
      </c>
      <c r="J148" s="91">
        <f>SUM(DataEx!EW389)</f>
        <v>0</v>
      </c>
      <c r="K148" s="91">
        <f>SUM(DataEx!EX389)</f>
        <v>0</v>
      </c>
      <c r="L148" s="91">
        <f>SUM(DataEx!EY389)</f>
        <v>0</v>
      </c>
      <c r="M148" s="91">
        <f>SUM(DataEx!EZ389)</f>
        <v>0</v>
      </c>
      <c r="N148" s="91">
        <f>SUM(DataEx!FA389)</f>
        <v>0</v>
      </c>
      <c r="O148" s="91">
        <f>SUM(DataEx!FB389)</f>
        <v>0</v>
      </c>
      <c r="P148" s="91">
        <f>SUM(DataEx!FC389)</f>
        <v>0</v>
      </c>
      <c r="Q148" s="91">
        <f>SUM(DataEx!FD389)</f>
        <v>0</v>
      </c>
      <c r="R148" s="91">
        <f>SUM(DataEx!FE389)</f>
        <v>0</v>
      </c>
      <c r="S148" s="136">
        <f>SUM(G148:R148)</f>
        <v>0</v>
      </c>
      <c r="T148" s="137">
        <f t="shared" si="21"/>
        <v>0</v>
      </c>
    </row>
    <row r="149" spans="1:20" ht="13.5" thickBot="1">
      <c r="A149" s="139" t="str">
        <f>+CONCATENATE(A55,"p")</f>
        <v>1000p</v>
      </c>
      <c r="B149" s="548" t="str">
        <f>+VLOOKUP(LEFT($A149,LEN(A149)-1)*1,Master!$D$25:$G$223,4,FALSE)</f>
        <v>Suficit / deficit</v>
      </c>
      <c r="C149" s="549"/>
      <c r="D149" s="549"/>
      <c r="E149" s="549"/>
      <c r="F149" s="549"/>
      <c r="G149" s="97">
        <f t="shared" ref="G149:R149" si="27">+G105-G124</f>
        <v>-64316752.611121386</v>
      </c>
      <c r="H149" s="97">
        <f t="shared" si="27"/>
        <v>-38679696.72258231</v>
      </c>
      <c r="I149" s="97">
        <f t="shared" si="27"/>
        <v>956191.44684895873</v>
      </c>
      <c r="J149" s="97">
        <f t="shared" si="27"/>
        <v>-9342486.1327575743</v>
      </c>
      <c r="K149" s="97">
        <f t="shared" si="27"/>
        <v>-12476345.070774138</v>
      </c>
      <c r="L149" s="97">
        <f t="shared" si="27"/>
        <v>-1713827.4501556456</v>
      </c>
      <c r="M149" s="97">
        <f t="shared" si="27"/>
        <v>36111079.19719246</v>
      </c>
      <c r="N149" s="97">
        <f t="shared" si="27"/>
        <v>9872737.1426389515</v>
      </c>
      <c r="O149" s="97">
        <f t="shared" si="27"/>
        <v>-1570547.7604933679</v>
      </c>
      <c r="P149" s="97">
        <f t="shared" si="27"/>
        <v>-6452378.0536473095</v>
      </c>
      <c r="Q149" s="97">
        <f t="shared" si="27"/>
        <v>-20899808.470388651</v>
      </c>
      <c r="R149" s="97">
        <f t="shared" si="27"/>
        <v>39367456.756527841</v>
      </c>
      <c r="S149" s="114">
        <f t="shared" si="20"/>
        <v>-69144377.728712171</v>
      </c>
      <c r="T149" s="115">
        <f t="shared" si="21"/>
        <v>-1.5605041352481927E-2</v>
      </c>
    </row>
    <row r="150" spans="1:20" ht="13.5" thickBot="1">
      <c r="A150" s="139" t="str">
        <f>+CONCATENATE(A56,"p")</f>
        <v>1001p</v>
      </c>
      <c r="B150" s="550" t="str">
        <f>+VLOOKUP(LEFT($A150,LEN(A150)-1)*1,Master!$D$25:$G$223,4,FALSE)</f>
        <v>Primarni bilans</v>
      </c>
      <c r="C150" s="551"/>
      <c r="D150" s="551"/>
      <c r="E150" s="551"/>
      <c r="F150" s="551"/>
      <c r="G150" s="98">
        <f t="shared" ref="G150:R150" si="28">+G149+G132</f>
        <v>-57194027.611121386</v>
      </c>
      <c r="H150" s="98">
        <f t="shared" si="28"/>
        <v>-31556971.72258231</v>
      </c>
      <c r="I150" s="98">
        <f t="shared" si="28"/>
        <v>8078916.4468489587</v>
      </c>
      <c r="J150" s="98">
        <f t="shared" si="28"/>
        <v>-2219761.1327575743</v>
      </c>
      <c r="K150" s="98">
        <f t="shared" si="28"/>
        <v>-5353620.070774138</v>
      </c>
      <c r="L150" s="98">
        <f t="shared" si="28"/>
        <v>5408897.5498443544</v>
      </c>
      <c r="M150" s="98">
        <f t="shared" si="28"/>
        <v>43233804.19719246</v>
      </c>
      <c r="N150" s="98">
        <f t="shared" si="28"/>
        <v>16995462.142638952</v>
      </c>
      <c r="O150" s="98">
        <f t="shared" si="28"/>
        <v>5552177.2395066321</v>
      </c>
      <c r="P150" s="98">
        <f t="shared" si="28"/>
        <v>670346.94635269046</v>
      </c>
      <c r="Q150" s="98">
        <f t="shared" si="28"/>
        <v>-13777083.470388651</v>
      </c>
      <c r="R150" s="98">
        <f t="shared" si="28"/>
        <v>46490181.756527841</v>
      </c>
      <c r="S150" s="114">
        <f t="shared" si="20"/>
        <v>16328322.271287829</v>
      </c>
      <c r="T150" s="115">
        <f t="shared" si="21"/>
        <v>3.6851028620117424E-3</v>
      </c>
    </row>
    <row r="151" spans="1:20">
      <c r="A151" s="139" t="str">
        <f>+CONCATENATE(A57,"p")</f>
        <v>46p</v>
      </c>
      <c r="B151" s="542" t="str">
        <f>+VLOOKUP(LEFT($A151,LEN(A151)-1)*1,Master!$D$25:$G$223,4,FALSE)</f>
        <v>Otplata dugova</v>
      </c>
      <c r="C151" s="543"/>
      <c r="D151" s="543"/>
      <c r="E151" s="543"/>
      <c r="F151" s="543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21341585.159562141</v>
      </c>
      <c r="P151" s="87">
        <f t="shared" si="29"/>
        <v>8527904.0295741875</v>
      </c>
      <c r="Q151" s="87">
        <f t="shared" si="29"/>
        <v>10654232.024569688</v>
      </c>
      <c r="R151" s="87">
        <f t="shared" si="29"/>
        <v>24552542.391243692</v>
      </c>
      <c r="S151" s="110">
        <f t="shared" si="20"/>
        <v>181752774.81000003</v>
      </c>
      <c r="T151" s="111">
        <f t="shared" si="21"/>
        <v>4.1019380895529131E-2</v>
      </c>
    </row>
    <row r="152" spans="1:20">
      <c r="A152" s="139" t="str">
        <f>+CONCATENATE(A58,"p")</f>
        <v>4611p</v>
      </c>
      <c r="B152" s="546" t="str">
        <f>+VLOOKUP(LEFT($A152,LEN(A152)-1)*1,Master!$D$25:$G$223,4,FALSE)</f>
        <v>Otplata hartija od vrijednosti i kredita rezidentima</v>
      </c>
      <c r="C152" s="547"/>
      <c r="D152" s="547"/>
      <c r="E152" s="547"/>
      <c r="F152" s="547"/>
      <c r="G152" s="100">
        <f>SUM(DataEx!ET395)</f>
        <v>116701.86</v>
      </c>
      <c r="H152" s="100">
        <f>SUM(DataEx!EU395)</f>
        <v>867332.36</v>
      </c>
      <c r="I152" s="100">
        <f>SUM(DataEx!EV395)</f>
        <v>7801367.0199999996</v>
      </c>
      <c r="J152" s="100">
        <f>SUM(DataEx!EW395)</f>
        <v>4481623.79</v>
      </c>
      <c r="K152" s="100">
        <f>SUM(DataEx!EX395)</f>
        <v>2831467.37</v>
      </c>
      <c r="L152" s="100">
        <f>SUM(DataEx!EY395)</f>
        <v>7170000.0800000001</v>
      </c>
      <c r="M152" s="100">
        <f>SUM(DataEx!EZ395)</f>
        <v>82322.3</v>
      </c>
      <c r="N152" s="100">
        <f>SUM(DataEx!FA395)</f>
        <v>10832753.109999999</v>
      </c>
      <c r="O152" s="100">
        <f>SUM(DataEx!FB395)</f>
        <v>1958366.01</v>
      </c>
      <c r="P152" s="100">
        <f>SUM(DataEx!FC395)</f>
        <v>1510132.11</v>
      </c>
      <c r="Q152" s="100">
        <f>SUM(DataEx!FD395)</f>
        <v>834059.15</v>
      </c>
      <c r="R152" s="100">
        <f>SUM(DataEx!FE395)</f>
        <v>12202154.65</v>
      </c>
      <c r="S152" s="108">
        <f t="shared" si="20"/>
        <v>50688279.809999995</v>
      </c>
      <c r="T152" s="109">
        <f t="shared" si="21"/>
        <v>1.143972552077456E-2</v>
      </c>
    </row>
    <row r="153" spans="1:20">
      <c r="A153" s="139" t="str">
        <f>+CONCATENATE(A59,"p")</f>
        <v>4612p</v>
      </c>
      <c r="B153" s="540" t="str">
        <f>+VLOOKUP(LEFT($A153,LEN(A153)-1)*1,Master!$D$25:$G$223,4,FALSE)</f>
        <v>Otplata hartija od vrijednosti i kredita nerezidentima</v>
      </c>
      <c r="C153" s="541"/>
      <c r="D153" s="541"/>
      <c r="E153" s="541"/>
      <c r="F153" s="541"/>
      <c r="G153" s="100">
        <f>SUM(DataEx!ET396)</f>
        <v>2071825.5645770216</v>
      </c>
      <c r="H153" s="100">
        <f>SUM(DataEx!EU396)</f>
        <v>2862393.2253735214</v>
      </c>
      <c r="I153" s="100">
        <f>SUM(DataEx!EV396)</f>
        <v>12467636.918240691</v>
      </c>
      <c r="J153" s="100">
        <f>SUM(DataEx!EW396)</f>
        <v>17326274.372907523</v>
      </c>
      <c r="K153" s="100">
        <f>SUM(DataEx!EX396)</f>
        <v>15150457.606090657</v>
      </c>
      <c r="L153" s="100">
        <f>SUM(DataEx!EY396)</f>
        <v>8947929.7645770218</v>
      </c>
      <c r="M153" s="100">
        <f>SUM(DataEx!EZ396)</f>
        <v>2071825.5545770216</v>
      </c>
      <c r="N153" s="100">
        <f>SUM(DataEx!FA396)</f>
        <v>2989936.9753735219</v>
      </c>
      <c r="O153" s="100">
        <f>SUM(DataEx!FB396)</f>
        <v>16625761.232895471</v>
      </c>
      <c r="P153" s="100">
        <f>SUM(DataEx!FC396)</f>
        <v>4165314.0029075216</v>
      </c>
      <c r="Q153" s="100">
        <f>SUM(DataEx!FD396)</f>
        <v>6972714.957903021</v>
      </c>
      <c r="R153" s="100">
        <f>SUM(DataEx!FE396)</f>
        <v>8947929.8245770223</v>
      </c>
      <c r="S153" s="108">
        <f t="shared" si="20"/>
        <v>100600000.00000001</v>
      </c>
      <c r="T153" s="109">
        <f t="shared" si="21"/>
        <v>2.2704191022139976E-2</v>
      </c>
    </row>
    <row r="154" spans="1:20">
      <c r="A154" s="139" t="str">
        <f>+CONCATENATE(A53,"p")</f>
        <v>4630p</v>
      </c>
      <c r="B154" s="540" t="str">
        <f>+VLOOKUP(LEFT($A154,LEN(A154)-1)*1,Master!$D$25:$G$223,4,FALSE)</f>
        <v>Otplata obaveza iz prethodnih godina</v>
      </c>
      <c r="C154" s="541"/>
      <c r="D154" s="541"/>
      <c r="E154" s="541"/>
      <c r="F154" s="541"/>
      <c r="G154" s="100">
        <f>SUM(DataEx!ET400)</f>
        <v>1807457.9166666667</v>
      </c>
      <c r="H154" s="100">
        <f>SUM(DataEx!EU400)</f>
        <v>1882457.9166666667</v>
      </c>
      <c r="I154" s="100">
        <f>SUM(DataEx!EV400)</f>
        <v>1937457.9166666667</v>
      </c>
      <c r="J154" s="100">
        <f>SUM(DataEx!EW400)</f>
        <v>1912457.9166666667</v>
      </c>
      <c r="K154" s="100">
        <f>SUM(DataEx!EX400)</f>
        <v>1967457.9166666667</v>
      </c>
      <c r="L154" s="100">
        <f>SUM(DataEx!EY400)</f>
        <v>1907457.9166666667</v>
      </c>
      <c r="M154" s="100">
        <f>SUM(DataEx!EZ400)</f>
        <v>3852457.9166666665</v>
      </c>
      <c r="N154" s="100">
        <f>SUM(DataEx!FA400)</f>
        <v>3337457.9166666665</v>
      </c>
      <c r="O154" s="100">
        <f>SUM(DataEx!FB400)</f>
        <v>2757457.9166666665</v>
      </c>
      <c r="P154" s="100">
        <f>SUM(DataEx!FC400)</f>
        <v>2852457.9166666665</v>
      </c>
      <c r="Q154" s="100">
        <f>SUM(DataEx!FD400)</f>
        <v>2847457.9166666665</v>
      </c>
      <c r="R154" s="100">
        <f>SUM(DataEx!FE400)</f>
        <v>3402457.9166666665</v>
      </c>
      <c r="S154" s="108">
        <f t="shared" si="20"/>
        <v>30464495.000000004</v>
      </c>
      <c r="T154" s="109">
        <f t="shared" si="21"/>
        <v>6.8754643526145942E-3</v>
      </c>
    </row>
    <row r="155" spans="1:20" ht="13.5" thickBot="1">
      <c r="A155" s="139"/>
      <c r="B155" s="438" t="s">
        <v>340</v>
      </c>
      <c r="C155" s="439"/>
      <c r="D155" s="439"/>
      <c r="E155" s="439"/>
      <c r="F155" s="439"/>
      <c r="G155" s="445">
        <f>+DataEx!ET384</f>
        <v>0</v>
      </c>
      <c r="H155" s="445">
        <f>+DataEx!EU384</f>
        <v>0</v>
      </c>
      <c r="I155" s="445">
        <f>+DataEx!EV384</f>
        <v>0</v>
      </c>
      <c r="J155" s="445">
        <f>+DataEx!EW384</f>
        <v>0</v>
      </c>
      <c r="K155" s="445">
        <f>+DataEx!EX384</f>
        <v>70000000</v>
      </c>
      <c r="L155" s="445">
        <f>+DataEx!EY384</f>
        <v>0</v>
      </c>
      <c r="M155" s="445">
        <f>+DataEx!EZ384</f>
        <v>0</v>
      </c>
      <c r="N155" s="445">
        <f>+DataEx!FA384</f>
        <v>0</v>
      </c>
      <c r="O155" s="445">
        <f>+DataEx!FB384</f>
        <v>0</v>
      </c>
      <c r="P155" s="445">
        <f>+DataEx!FC384</f>
        <v>0</v>
      </c>
      <c r="Q155" s="445">
        <f>+DataEx!FD384</f>
        <v>0</v>
      </c>
      <c r="R155" s="445">
        <f>+DataEx!FE384</f>
        <v>0</v>
      </c>
      <c r="S155" s="108">
        <f t="shared" si="20"/>
        <v>70000000</v>
      </c>
      <c r="T155" s="109">
        <f t="shared" si="21"/>
        <v>1.5798144846419462E-2</v>
      </c>
    </row>
    <row r="156" spans="1:20" ht="13.5" thickBot="1">
      <c r="A156" s="139" t="str">
        <f t="shared" ref="A156:A161" si="30">+CONCATENATE(A61,"p")</f>
        <v>1002p</v>
      </c>
      <c r="B156" s="544" t="str">
        <f>+VLOOKUP(LEFT($A156,LEN(A156)-1)*1,Master!$D$25:$G$223,4,FALSE)</f>
        <v>Nedostajuća sredstva</v>
      </c>
      <c r="C156" s="545"/>
      <c r="D156" s="545"/>
      <c r="E156" s="545"/>
      <c r="F156" s="545"/>
      <c r="G156" s="79">
        <f>+G149-G151-G155</f>
        <v>-68312737.952365071</v>
      </c>
      <c r="H156" s="79">
        <f t="shared" ref="H156:R156" si="31">+H149-H151-H155</f>
        <v>-44291880.224622495</v>
      </c>
      <c r="I156" s="79">
        <f t="shared" si="31"/>
        <v>-21250270.408058401</v>
      </c>
      <c r="J156" s="79">
        <f t="shared" si="31"/>
        <v>-33062842.212331764</v>
      </c>
      <c r="K156" s="79">
        <f t="shared" si="31"/>
        <v>-102425727.96353146</v>
      </c>
      <c r="L156" s="79">
        <f t="shared" si="31"/>
        <v>-19739215.211399335</v>
      </c>
      <c r="M156" s="79">
        <f t="shared" si="31"/>
        <v>30104473.425948773</v>
      </c>
      <c r="N156" s="79">
        <f t="shared" si="31"/>
        <v>-7287410.8594012372</v>
      </c>
      <c r="O156" s="79">
        <f t="shared" si="31"/>
        <v>-22912132.920055509</v>
      </c>
      <c r="P156" s="79">
        <f t="shared" si="31"/>
        <v>-14980282.083221497</v>
      </c>
      <c r="Q156" s="79">
        <f t="shared" si="31"/>
        <v>-31554040.494958341</v>
      </c>
      <c r="R156" s="79">
        <f t="shared" si="31"/>
        <v>14814914.365284149</v>
      </c>
      <c r="S156" s="118">
        <f t="shared" si="20"/>
        <v>-320897152.5387122</v>
      </c>
      <c r="T156" s="119">
        <f t="shared" si="21"/>
        <v>-7.2422567094430526E-2</v>
      </c>
    </row>
    <row r="157" spans="1:20" ht="13.5" thickBot="1">
      <c r="A157" s="139" t="str">
        <f t="shared" si="30"/>
        <v>1003p</v>
      </c>
      <c r="B157" s="532" t="str">
        <f>+VLOOKUP(LEFT($A157,LEN(A157)-1)*1,Master!$D$25:$G$223,4,FALSE)</f>
        <v>Finansiranje</v>
      </c>
      <c r="C157" s="533"/>
      <c r="D157" s="533"/>
      <c r="E157" s="533"/>
      <c r="F157" s="533"/>
      <c r="G157" s="97">
        <f t="shared" ref="G157:R157" si="32">+SUM(G158:G161)</f>
        <v>68312737.952365071</v>
      </c>
      <c r="H157" s="97">
        <f t="shared" si="32"/>
        <v>44291880.224622495</v>
      </c>
      <c r="I157" s="97">
        <f t="shared" si="32"/>
        <v>21250270.408058401</v>
      </c>
      <c r="J157" s="97">
        <f t="shared" si="32"/>
        <v>33062842.212331764</v>
      </c>
      <c r="K157" s="97">
        <f t="shared" si="32"/>
        <v>102425727.96353146</v>
      </c>
      <c r="L157" s="97">
        <f t="shared" si="32"/>
        <v>19739215.211399335</v>
      </c>
      <c r="M157" s="97">
        <f t="shared" si="32"/>
        <v>-30104473.425948769</v>
      </c>
      <c r="N157" s="97">
        <f t="shared" si="32"/>
        <v>7287410.8594012372</v>
      </c>
      <c r="O157" s="97">
        <f t="shared" si="32"/>
        <v>22912132.920055509</v>
      </c>
      <c r="P157" s="97">
        <f t="shared" si="32"/>
        <v>14980282.083221497</v>
      </c>
      <c r="Q157" s="97">
        <f t="shared" si="32"/>
        <v>31554040.494958341</v>
      </c>
      <c r="R157" s="97">
        <f t="shared" si="32"/>
        <v>-14814914.365284145</v>
      </c>
      <c r="S157" s="120">
        <f t="shared" si="20"/>
        <v>320897152.5387122</v>
      </c>
      <c r="T157" s="121">
        <f t="shared" si="21"/>
        <v>7.2422567094430526E-2</v>
      </c>
    </row>
    <row r="158" spans="1:20">
      <c r="A158" s="139" t="str">
        <f t="shared" si="30"/>
        <v>7511p</v>
      </c>
      <c r="B158" s="546" t="str">
        <f>+VLOOKUP(LEFT($A158,LEN(A158)-1)*1,Master!$D$25:$G$223,4,FALSE)</f>
        <v>Pozajmice i krediti od domaćih izvora</v>
      </c>
      <c r="C158" s="547"/>
      <c r="D158" s="547"/>
      <c r="E158" s="547"/>
      <c r="F158" s="547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>
      <c r="A159" s="139" t="str">
        <f t="shared" si="30"/>
        <v>7512p</v>
      </c>
      <c r="B159" s="540" t="str">
        <f>+VLOOKUP(LEFT($A159,LEN(A159)-1)*1,Master!$D$25:$G$223,4,FALSE)</f>
        <v>Pozajmice i krediti od inostranih izvora</v>
      </c>
      <c r="C159" s="541"/>
      <c r="D159" s="541"/>
      <c r="E159" s="541"/>
      <c r="F159" s="541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24658333.329999998</v>
      </c>
      <c r="S159" s="108">
        <f t="shared" si="20"/>
        <v>295899999.95999992</v>
      </c>
      <c r="T159" s="109">
        <f t="shared" si="21"/>
        <v>6.6781015134622743E-2</v>
      </c>
    </row>
    <row r="160" spans="1:20">
      <c r="A160" s="139" t="str">
        <f t="shared" si="30"/>
        <v>72p</v>
      </c>
      <c r="B160" s="540" t="str">
        <f>+VLOOKUP(LEFT($A160,LEN(A160)-1)*1,Master!$D$25:$G$223,4,FALSE)</f>
        <v>Primici od prodaje imovine</v>
      </c>
      <c r="C160" s="541"/>
      <c r="D160" s="541"/>
      <c r="E160" s="541"/>
      <c r="F160" s="541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0</v>
      </c>
      <c r="S160" s="108">
        <f t="shared" si="20"/>
        <v>0</v>
      </c>
      <c r="T160" s="109">
        <f t="shared" si="21"/>
        <v>0</v>
      </c>
    </row>
    <row r="161" spans="1:20" ht="13.5" thickBot="1">
      <c r="A161" s="139" t="str">
        <f t="shared" si="30"/>
        <v>1004p</v>
      </c>
      <c r="B161" s="102" t="str">
        <f>+VLOOKUP(LEFT($A161,LEN(A161)-1)*1,Master!$D$25:$G$223,4,FALSE)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43654404.622365072</v>
      </c>
      <c r="H161" s="101">
        <f t="shared" si="33"/>
        <v>19633546.894622497</v>
      </c>
      <c r="I161" s="101">
        <f t="shared" si="33"/>
        <v>-3408062.921941597</v>
      </c>
      <c r="J161" s="101">
        <f t="shared" si="33"/>
        <v>8404508.8823317662</v>
      </c>
      <c r="K161" s="101">
        <f t="shared" si="33"/>
        <v>77767394.633531466</v>
      </c>
      <c r="L161" s="101">
        <f t="shared" si="33"/>
        <v>-4919118.1186006628</v>
      </c>
      <c r="M161" s="101">
        <f t="shared" si="33"/>
        <v>-54762806.755948767</v>
      </c>
      <c r="N161" s="101">
        <f t="shared" si="33"/>
        <v>-17370922.470598761</v>
      </c>
      <c r="O161" s="101">
        <f t="shared" si="33"/>
        <v>-1746200.4099444896</v>
      </c>
      <c r="P161" s="101">
        <f t="shared" si="33"/>
        <v>-9678051.2467785012</v>
      </c>
      <c r="Q161" s="101">
        <f t="shared" si="33"/>
        <v>6895707.1649583429</v>
      </c>
      <c r="R161" s="101">
        <f t="shared" si="33"/>
        <v>-39473247.695284143</v>
      </c>
      <c r="S161" s="112">
        <f t="shared" si="20"/>
        <v>24997152.57871224</v>
      </c>
      <c r="T161" s="113">
        <f t="shared" si="21"/>
        <v>5.6415519598077678E-3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S46" sqref="S46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85546875" style="304" customWidth="1"/>
    <col min="6" max="6" width="0.42578125" style="304" customWidth="1"/>
    <col min="7" max="7" width="12.5703125" style="304" customWidth="1"/>
    <col min="8" max="8" width="14.28515625" style="304" customWidth="1"/>
    <col min="9" max="9" width="14.5703125" style="304" customWidth="1"/>
    <col min="10" max="10" width="16.5703125" style="304" customWidth="1"/>
    <col min="11" max="11" width="17.140625" style="304" customWidth="1"/>
    <col min="12" max="12" width="14.85546875" style="304" customWidth="1"/>
    <col min="13" max="13" width="15.7109375" style="304" customWidth="1"/>
    <col min="14" max="14" width="14" style="304" customWidth="1"/>
    <col min="15" max="15" width="15" style="304" customWidth="1"/>
    <col min="16" max="16" width="13.85546875" style="304" customWidth="1"/>
    <col min="17" max="17" width="14.28515625" style="304" customWidth="1"/>
    <col min="18" max="18" width="19.140625" style="304" customWidth="1"/>
    <col min="19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498" t="str">
        <f>+[1]Master!G249</f>
        <v>Budget Execution</v>
      </c>
      <c r="C7" s="479"/>
      <c r="D7" s="479"/>
      <c r="E7" s="479"/>
      <c r="F7" s="479"/>
      <c r="G7" s="487">
        <v>2017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1" t="str">
        <f>+[1]Master!G246</f>
        <v>GDP</v>
      </c>
      <c r="T7" s="262">
        <v>4236600000</v>
      </c>
    </row>
    <row r="8" spans="1:20" ht="16.5" customHeight="1">
      <c r="A8" s="170"/>
      <c r="B8" s="480"/>
      <c r="C8" s="481"/>
      <c r="D8" s="481"/>
      <c r="E8" s="481"/>
      <c r="F8" s="482"/>
      <c r="G8" s="171" t="str">
        <f>+[1]Master!G229</f>
        <v>January</v>
      </c>
      <c r="H8" s="171" t="str">
        <f>+[1]Master!G230</f>
        <v>February</v>
      </c>
      <c r="I8" s="171" t="str">
        <f>+[1]Master!G231</f>
        <v>March</v>
      </c>
      <c r="J8" s="171" t="str">
        <f>+[1]Master!G232</f>
        <v>April</v>
      </c>
      <c r="K8" s="171" t="str">
        <f>+[1]Master!G233</f>
        <v>May</v>
      </c>
      <c r="L8" s="171" t="str">
        <f>+[1]Master!G234</f>
        <v>June</v>
      </c>
      <c r="M8" s="171" t="str">
        <f>+[1]Master!G235</f>
        <v>July</v>
      </c>
      <c r="N8" s="171" t="str">
        <f>+[1]Master!G236</f>
        <v>August</v>
      </c>
      <c r="O8" s="171" t="str">
        <f>+[1]Master!G237</f>
        <v>September</v>
      </c>
      <c r="P8" s="171" t="str">
        <f>+[1]Master!G238</f>
        <v>October</v>
      </c>
      <c r="Q8" s="171" t="str">
        <f>+[1]Master!G239</f>
        <v>November</v>
      </c>
      <c r="R8" s="171" t="str">
        <f>+[1]Master!G240</f>
        <v>December</v>
      </c>
      <c r="S8" s="487" t="str">
        <f>+[1]Master!G243</f>
        <v>Jan - 12</v>
      </c>
      <c r="T8" s="491"/>
    </row>
    <row r="9" spans="1:20" ht="13.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GDP</v>
      </c>
    </row>
    <row r="10" spans="1:20" ht="13.5" thickBot="1">
      <c r="A10" s="176">
        <v>7</v>
      </c>
      <c r="B10" s="446" t="str">
        <f>+VLOOKUP($A10,[1]Master!$D$25:$G$223,4,FALSE)</f>
        <v>Total Revenues</v>
      </c>
      <c r="C10" s="447"/>
      <c r="D10" s="447"/>
      <c r="E10" s="447"/>
      <c r="F10" s="447"/>
      <c r="G10" s="42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135181723.15000001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138865322.25999999</v>
      </c>
      <c r="Q10" s="177">
        <f t="shared" si="1"/>
        <v>125487638.99000001</v>
      </c>
      <c r="R10" s="177">
        <f t="shared" si="1"/>
        <v>185889054.22</v>
      </c>
      <c r="S10" s="265">
        <f>+SUM(G10:R10)</f>
        <v>1566273677.4000001</v>
      </c>
      <c r="T10" s="266">
        <f>+S10/$T$7</f>
        <v>0.36970062724826513</v>
      </c>
    </row>
    <row r="11" spans="1:20">
      <c r="A11" s="176">
        <v>711</v>
      </c>
      <c r="B11" s="448" t="str">
        <f>+VLOOKUP($A11,[1]Master!$D$25:$G$223,4,FALSE)</f>
        <v>Taxes</v>
      </c>
      <c r="C11" s="449"/>
      <c r="D11" s="449"/>
      <c r="E11" s="449"/>
      <c r="F11" s="449"/>
      <c r="G11" s="429">
        <f t="shared" ref="G11:R11" si="2">+SUM(G12:G18)</f>
        <v>53512170.450000003</v>
      </c>
      <c r="H11" s="428">
        <f t="shared" si="2"/>
        <v>50615120.200000003</v>
      </c>
      <c r="I11" s="428">
        <f t="shared" si="2"/>
        <v>90524246.909999996</v>
      </c>
      <c r="J11" s="428">
        <f t="shared" si="2"/>
        <v>81677988.170000002</v>
      </c>
      <c r="K11" s="428">
        <f t="shared" si="2"/>
        <v>77800336.479999989</v>
      </c>
      <c r="L11" s="428">
        <f t="shared" si="2"/>
        <v>85282444.409999996</v>
      </c>
      <c r="M11" s="428">
        <f t="shared" si="2"/>
        <v>89248400.649999991</v>
      </c>
      <c r="N11" s="428">
        <f t="shared" si="2"/>
        <v>99153787.180000007</v>
      </c>
      <c r="O11" s="428">
        <f t="shared" si="2"/>
        <v>92913520.620000005</v>
      </c>
      <c r="P11" s="428">
        <f t="shared" si="2"/>
        <v>86378572.320000008</v>
      </c>
      <c r="Q11" s="428">
        <f t="shared" si="2"/>
        <v>74654697.830000013</v>
      </c>
      <c r="R11" s="428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0.22922994247273762</v>
      </c>
    </row>
    <row r="12" spans="1:20">
      <c r="A12" s="176">
        <v>7111</v>
      </c>
      <c r="B12" s="450" t="str">
        <f>+VLOOKUP($A12,[1]Master!$D$25:$G$223,4,FALSE)</f>
        <v>Personal Income Tax</v>
      </c>
      <c r="C12" s="451"/>
      <c r="D12" s="451"/>
      <c r="E12" s="451"/>
      <c r="F12" s="451"/>
      <c r="G12" s="430">
        <v>3855468.97</v>
      </c>
      <c r="H12" s="430">
        <v>7751521.5300000003</v>
      </c>
      <c r="I12" s="430">
        <v>9093379.6300000008</v>
      </c>
      <c r="J12" s="430">
        <v>8729072.4399999995</v>
      </c>
      <c r="K12" s="430">
        <v>9825835.5299999993</v>
      </c>
      <c r="L12" s="430">
        <v>9719543.6799999997</v>
      </c>
      <c r="M12" s="430">
        <v>10577855.74</v>
      </c>
      <c r="N12" s="430">
        <v>10476522.35</v>
      </c>
      <c r="O12" s="430">
        <v>9609655.3800000008</v>
      </c>
      <c r="P12" s="430">
        <v>10226839.18</v>
      </c>
      <c r="Q12" s="430">
        <v>7670634.21</v>
      </c>
      <c r="R12" s="430">
        <v>14446111.9</v>
      </c>
      <c r="S12" s="270">
        <f t="shared" si="3"/>
        <v>111982440.54000001</v>
      </c>
      <c r="T12" s="271">
        <f t="shared" si="4"/>
        <v>2.6432148548364256E-2</v>
      </c>
    </row>
    <row r="13" spans="1:20">
      <c r="A13" s="176">
        <v>7112</v>
      </c>
      <c r="B13" s="450" t="str">
        <f>+VLOOKUP($A13,[1]Master!$D$25:$G$223,4,FALSE)</f>
        <v>Corporate Income Tax</v>
      </c>
      <c r="C13" s="451"/>
      <c r="D13" s="451"/>
      <c r="E13" s="451"/>
      <c r="F13" s="451"/>
      <c r="G13" s="189">
        <v>632316.18999999994</v>
      </c>
      <c r="H13" s="189">
        <v>1242026.04</v>
      </c>
      <c r="I13" s="189">
        <v>17612665.690000001</v>
      </c>
      <c r="J13" s="189">
        <v>14506801.98</v>
      </c>
      <c r="K13" s="189">
        <v>2683183.94</v>
      </c>
      <c r="L13" s="189">
        <v>2493382.48</v>
      </c>
      <c r="M13" s="189">
        <v>2422592.44</v>
      </c>
      <c r="N13" s="189">
        <v>2511333.39</v>
      </c>
      <c r="O13" s="189">
        <v>1103662</v>
      </c>
      <c r="P13" s="189">
        <v>1688078.63</v>
      </c>
      <c r="Q13" s="189">
        <v>667573.11</v>
      </c>
      <c r="R13" s="189">
        <v>1664886.32</v>
      </c>
      <c r="S13" s="270">
        <f t="shared" si="3"/>
        <v>49228502.210000001</v>
      </c>
      <c r="T13" s="271">
        <f t="shared" si="4"/>
        <v>1.1619813579285276E-2</v>
      </c>
    </row>
    <row r="14" spans="1:20">
      <c r="A14" s="176">
        <v>7113</v>
      </c>
      <c r="B14" s="450" t="str">
        <f>+VLOOKUP($A14,[1]Master!$D$25:$G$223,4,FALSE)</f>
        <v xml:space="preserve">Taxes on Sales of Property </v>
      </c>
      <c r="C14" s="451"/>
      <c r="D14" s="451"/>
      <c r="E14" s="451"/>
      <c r="F14" s="451"/>
      <c r="G14" s="189">
        <v>58790.3</v>
      </c>
      <c r="H14" s="189">
        <v>107978.26</v>
      </c>
      <c r="I14" s="189">
        <v>88556.13</v>
      </c>
      <c r="J14" s="189">
        <v>93919.51</v>
      </c>
      <c r="K14" s="189">
        <v>178761.83</v>
      </c>
      <c r="L14" s="189">
        <v>96074.04</v>
      </c>
      <c r="M14" s="189">
        <v>140635.43</v>
      </c>
      <c r="N14" s="189">
        <v>152546.72</v>
      </c>
      <c r="O14" s="189">
        <v>115920.43</v>
      </c>
      <c r="P14" s="189">
        <v>195735.62</v>
      </c>
      <c r="Q14" s="189">
        <v>165720.76</v>
      </c>
      <c r="R14" s="189">
        <v>130025.67</v>
      </c>
      <c r="S14" s="270">
        <f t="shared" si="3"/>
        <v>1524664.7</v>
      </c>
      <c r="T14" s="271">
        <f t="shared" si="4"/>
        <v>3.598793136005287E-4</v>
      </c>
    </row>
    <row r="15" spans="1:20">
      <c r="A15" s="176">
        <v>7114</v>
      </c>
      <c r="B15" s="450" t="str">
        <f>+VLOOKUP($A15,[1]Master!$D$25:$G$223,4,FALSE)</f>
        <v>Value Added Tax</v>
      </c>
      <c r="C15" s="451"/>
      <c r="D15" s="451"/>
      <c r="E15" s="451"/>
      <c r="F15" s="451"/>
      <c r="G15" s="189">
        <v>33352018.879999999</v>
      </c>
      <c r="H15" s="189">
        <v>26961493.609999999</v>
      </c>
      <c r="I15" s="189">
        <v>45891894.880000003</v>
      </c>
      <c r="J15" s="189">
        <v>39843066.039999999</v>
      </c>
      <c r="K15" s="189">
        <v>44329065.979999997</v>
      </c>
      <c r="L15" s="189">
        <v>51058078.640000001</v>
      </c>
      <c r="M15" s="189">
        <v>51792411.350000001</v>
      </c>
      <c r="N15" s="189">
        <v>56845360.840000004</v>
      </c>
      <c r="O15" s="189">
        <v>53436415.75</v>
      </c>
      <c r="P15" s="189">
        <v>50058448.369999997</v>
      </c>
      <c r="Q15" s="189">
        <v>44942136.68</v>
      </c>
      <c r="R15" s="189">
        <v>50200125.439999998</v>
      </c>
      <c r="S15" s="270">
        <f t="shared" si="3"/>
        <v>548710516.46000004</v>
      </c>
      <c r="T15" s="271">
        <f t="shared" si="4"/>
        <v>0.12951671539914084</v>
      </c>
    </row>
    <row r="16" spans="1:20">
      <c r="A16" s="176">
        <v>7115</v>
      </c>
      <c r="B16" s="450" t="str">
        <f>+VLOOKUP($A16,[1]Master!$D$25:$G$223,4,FALSE)</f>
        <v>Excises</v>
      </c>
      <c r="C16" s="451"/>
      <c r="D16" s="451"/>
      <c r="E16" s="451"/>
      <c r="F16" s="451"/>
      <c r="G16" s="189">
        <v>13972593.029999999</v>
      </c>
      <c r="H16" s="189">
        <v>12356371.449999999</v>
      </c>
      <c r="I16" s="189">
        <v>14808666.49</v>
      </c>
      <c r="J16" s="189">
        <v>15647198.060000001</v>
      </c>
      <c r="K16" s="189">
        <v>17742897.41</v>
      </c>
      <c r="L16" s="189">
        <v>18687302.640000001</v>
      </c>
      <c r="M16" s="189">
        <v>20939541.420000002</v>
      </c>
      <c r="N16" s="189">
        <v>25506175.510000002</v>
      </c>
      <c r="O16" s="189">
        <v>25706299.34</v>
      </c>
      <c r="P16" s="189">
        <v>21225508.199999999</v>
      </c>
      <c r="Q16" s="189">
        <v>18614457.170000002</v>
      </c>
      <c r="R16" s="189">
        <v>19877899.5</v>
      </c>
      <c r="S16" s="270">
        <f t="shared" si="3"/>
        <v>225084910.21999997</v>
      </c>
      <c r="T16" s="271">
        <f t="shared" si="4"/>
        <v>5.3128666907425758E-2</v>
      </c>
    </row>
    <row r="17" spans="1:25">
      <c r="A17" s="176">
        <v>7116</v>
      </c>
      <c r="B17" s="450" t="str">
        <f>+VLOOKUP($A17,[1]Master!$D$25:$G$223,4,FALSE)</f>
        <v>Tax on International Trade and Transactions</v>
      </c>
      <c r="C17" s="451"/>
      <c r="D17" s="451"/>
      <c r="E17" s="451"/>
      <c r="F17" s="451"/>
      <c r="G17" s="189">
        <v>1071292.49</v>
      </c>
      <c r="H17" s="189">
        <v>1596950.17</v>
      </c>
      <c r="I17" s="189">
        <v>2226840.15</v>
      </c>
      <c r="J17" s="189">
        <v>2007545.03</v>
      </c>
      <c r="K17" s="189">
        <v>2283048.27</v>
      </c>
      <c r="L17" s="189">
        <v>2361499.6</v>
      </c>
      <c r="M17" s="189">
        <v>2521752.11</v>
      </c>
      <c r="N17" s="189">
        <v>2861682.41</v>
      </c>
      <c r="O17" s="189">
        <v>2150781.52</v>
      </c>
      <c r="P17" s="189">
        <v>2167495.09</v>
      </c>
      <c r="Q17" s="189">
        <v>1890362.65</v>
      </c>
      <c r="R17" s="189">
        <v>2285551.31</v>
      </c>
      <c r="S17" s="270">
        <f t="shared" si="3"/>
        <v>25424800.799999997</v>
      </c>
      <c r="T17" s="271">
        <f t="shared" si="4"/>
        <v>6.0012275881603169E-3</v>
      </c>
    </row>
    <row r="18" spans="1:25">
      <c r="A18" s="176">
        <v>7118</v>
      </c>
      <c r="B18" s="450" t="str">
        <f>+VLOOKUP($A18,[1]Master!$D$25:$G$223,4,FALSE)</f>
        <v>Other Republic Taxes</v>
      </c>
      <c r="C18" s="451"/>
      <c r="D18" s="451"/>
      <c r="E18" s="451"/>
      <c r="F18" s="451"/>
      <c r="G18" s="189">
        <v>569690.59</v>
      </c>
      <c r="H18" s="189">
        <v>598779.14</v>
      </c>
      <c r="I18" s="189">
        <v>802243.94</v>
      </c>
      <c r="J18" s="189">
        <v>850385.11</v>
      </c>
      <c r="K18" s="189">
        <v>757543.52</v>
      </c>
      <c r="L18" s="189">
        <v>866563.33</v>
      </c>
      <c r="M18" s="189">
        <v>853612.16</v>
      </c>
      <c r="N18" s="189">
        <v>800165.96</v>
      </c>
      <c r="O18" s="189">
        <v>790786.2</v>
      </c>
      <c r="P18" s="189">
        <v>816467.23</v>
      </c>
      <c r="Q18" s="189">
        <v>703813.25</v>
      </c>
      <c r="R18" s="189">
        <v>789688.92</v>
      </c>
      <c r="S18" s="270">
        <f t="shared" si="3"/>
        <v>9199739.3499999996</v>
      </c>
      <c r="T18" s="271">
        <f t="shared" si="4"/>
        <v>2.17149113676061E-3</v>
      </c>
    </row>
    <row r="19" spans="1:25">
      <c r="A19" s="176">
        <v>712</v>
      </c>
      <c r="B19" s="454" t="str">
        <f>+VLOOKUP($A19,[1]Master!$D$25:$G$223,4,FALSE)</f>
        <v>Contributions</v>
      </c>
      <c r="C19" s="455"/>
      <c r="D19" s="455"/>
      <c r="E19" s="455"/>
      <c r="F19" s="455"/>
      <c r="G19" s="431">
        <f>+INDEX([1]DataEx!$1:$1048576,MATCH('2017'!$A19,[1]DataEx!$D:$D,0),MATCH('2017'!G$6,[1]DataEx!$7:$7,0))</f>
        <v>15942566.910000002</v>
      </c>
      <c r="H19" s="431">
        <f>+INDEX([1]DataEx!$1:$1048576,MATCH('2017'!$A19,[1]DataEx!$D:$D,0),MATCH('2017'!H$6,[1]DataEx!$7:$7,0))</f>
        <v>32105522.039999999</v>
      </c>
      <c r="I19" s="431">
        <f>+INDEX([1]DataEx!$1:$1048576,MATCH('2017'!$A19,[1]DataEx!$D:$D,0),MATCH('2017'!I$6,[1]DataEx!$7:$7,0))</f>
        <v>37652066.75</v>
      </c>
      <c r="J19" s="431">
        <f>+INDEX([1]DataEx!$1:$1048576,MATCH('2017'!$A19,[1]DataEx!$D:$D,0),MATCH('2017'!J$6,[1]DataEx!$7:$7,0))</f>
        <v>35977730.460000001</v>
      </c>
      <c r="K19" s="431">
        <f>+INDEX([1]DataEx!$1:$1048576,MATCH('2017'!$A19,[1]DataEx!$D:$D,0),MATCH('2017'!K$6,[1]DataEx!$7:$7,0))</f>
        <v>40567246.729999997</v>
      </c>
      <c r="L19" s="431">
        <f>+INDEX([1]DataEx!$1:$1048576,MATCH('2017'!$A19,[1]DataEx!$D:$D,0),MATCH('2017'!L$6,[1]DataEx!$7:$7,0))</f>
        <v>40389805.469999999</v>
      </c>
      <c r="M19" s="431">
        <f>+INDEX([1]DataEx!$1:$1048576,MATCH('2017'!$A19,[1]DataEx!$D:$D,0),MATCH('2017'!M$6,[1]DataEx!$7:$7,0))</f>
        <v>44393326.049999997</v>
      </c>
      <c r="N19" s="431">
        <f>+INDEX([1]DataEx!$1:$1048576,MATCH('2017'!$A19,[1]DataEx!$D:$D,0),MATCH('2017'!N$6,[1]DataEx!$7:$7,0))</f>
        <v>43764113.43</v>
      </c>
      <c r="O19" s="431">
        <f>+INDEX([1]DataEx!$1:$1048576,MATCH('2017'!$A19,[1]DataEx!$D:$D,0),MATCH('2017'!O$6,[1]DataEx!$7:$7,0))</f>
        <v>39922755.840000004</v>
      </c>
      <c r="P19" s="431">
        <f>+INDEX([1]DataEx!$1:$1048576,MATCH('2017'!$A19,[1]DataEx!$D:$D,0),MATCH('2017'!P$6,[1]DataEx!$7:$7,0))</f>
        <v>42882136.189999998</v>
      </c>
      <c r="Q19" s="431">
        <f>+INDEX([1]DataEx!$1:$1048576,MATCH('2017'!$A19,[1]DataEx!$D:$D,0),MATCH('2017'!Q$6,[1]DataEx!$7:$7,0))</f>
        <v>43774643.869999997</v>
      </c>
      <c r="R19" s="431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0.11682779408487938</v>
      </c>
    </row>
    <row r="20" spans="1:25">
      <c r="A20" s="176">
        <v>7121</v>
      </c>
      <c r="B20" s="450" t="str">
        <f>+VLOOKUP($A20,[1]Master!$D$25:$G$223,4,FALSE)</f>
        <v>Contributions for Pension and Disability Insurance</v>
      </c>
      <c r="C20" s="451"/>
      <c r="D20" s="451"/>
      <c r="E20" s="451"/>
      <c r="F20" s="451"/>
      <c r="G20" s="189">
        <v>9612063.3000000007</v>
      </c>
      <c r="H20" s="189">
        <v>19294210.57</v>
      </c>
      <c r="I20" s="189">
        <v>22627334.059999999</v>
      </c>
      <c r="J20" s="189">
        <v>21639290.52</v>
      </c>
      <c r="K20" s="189">
        <v>24386054.73</v>
      </c>
      <c r="L20" s="189">
        <v>24310877.91</v>
      </c>
      <c r="M20" s="189">
        <v>27022741.59</v>
      </c>
      <c r="N20" s="189">
        <v>26577706.039999999</v>
      </c>
      <c r="O20" s="189">
        <v>24050825.579999998</v>
      </c>
      <c r="P20" s="189">
        <v>25998719</v>
      </c>
      <c r="Q20" s="189">
        <v>29222952.370000001</v>
      </c>
      <c r="R20" s="189">
        <v>48299287.68</v>
      </c>
      <c r="S20" s="270">
        <f t="shared" si="3"/>
        <v>303042063.35000002</v>
      </c>
      <c r="T20" s="271">
        <f t="shared" si="4"/>
        <v>7.1529543348439792E-2</v>
      </c>
    </row>
    <row r="21" spans="1:25">
      <c r="A21" s="176">
        <v>7122</v>
      </c>
      <c r="B21" s="450" t="str">
        <f>+VLOOKUP($A21,[1]Master!$D$25:$G$223,4,FALSE)</f>
        <v>Contributions for Health Insurance</v>
      </c>
      <c r="C21" s="451"/>
      <c r="D21" s="451"/>
      <c r="E21" s="451"/>
      <c r="F21" s="451"/>
      <c r="G21" s="189">
        <v>5487815.8700000001</v>
      </c>
      <c r="H21" s="189">
        <v>11136277.539999999</v>
      </c>
      <c r="I21" s="189">
        <v>13033326.75</v>
      </c>
      <c r="J21" s="189">
        <v>12438084.859999999</v>
      </c>
      <c r="K21" s="189">
        <v>14031927.32</v>
      </c>
      <c r="L21" s="189">
        <v>13948315.880000001</v>
      </c>
      <c r="M21" s="189">
        <v>15063870.800000001</v>
      </c>
      <c r="N21" s="189">
        <v>14906718.880000001</v>
      </c>
      <c r="O21" s="189">
        <v>13781012.470000001</v>
      </c>
      <c r="P21" s="189">
        <v>14691858.58</v>
      </c>
      <c r="Q21" s="189">
        <v>13422037.59</v>
      </c>
      <c r="R21" s="189">
        <v>25459426.109999999</v>
      </c>
      <c r="S21" s="270">
        <f t="shared" si="3"/>
        <v>167400672.64999998</v>
      </c>
      <c r="T21" s="271">
        <f t="shared" si="4"/>
        <v>3.9512975652645985E-2</v>
      </c>
    </row>
    <row r="22" spans="1:25">
      <c r="A22" s="176">
        <v>7123</v>
      </c>
      <c r="B22" s="450" t="str">
        <f>+VLOOKUP($A22,[1]Master!$D$25:$G$223,4,FALSE)</f>
        <v>Contributions for  Unemployment Insurance</v>
      </c>
      <c r="C22" s="451"/>
      <c r="D22" s="451"/>
      <c r="E22" s="451"/>
      <c r="F22" s="451"/>
      <c r="G22" s="189">
        <v>436423.06</v>
      </c>
      <c r="H22" s="189">
        <v>884778.14</v>
      </c>
      <c r="I22" s="189">
        <v>1037531.02</v>
      </c>
      <c r="J22" s="189">
        <v>991786.18</v>
      </c>
      <c r="K22" s="189">
        <v>1119552.6000000001</v>
      </c>
      <c r="L22" s="189">
        <v>1110270.08</v>
      </c>
      <c r="M22" s="189">
        <v>1208802.52</v>
      </c>
      <c r="N22" s="189">
        <v>1182973.0900000001</v>
      </c>
      <c r="O22" s="189">
        <v>1093203.53</v>
      </c>
      <c r="P22" s="189">
        <v>1140055.95</v>
      </c>
      <c r="Q22" s="189">
        <v>576427.41</v>
      </c>
      <c r="R22" s="189">
        <v>1813540.61</v>
      </c>
      <c r="S22" s="270">
        <f t="shared" si="3"/>
        <v>12595344.189999998</v>
      </c>
      <c r="T22" s="271">
        <f t="shared" si="4"/>
        <v>2.9729840414483306E-3</v>
      </c>
    </row>
    <row r="23" spans="1:25">
      <c r="A23" s="176">
        <v>7124</v>
      </c>
      <c r="B23" s="450" t="str">
        <f>+VLOOKUP($A23,[1]Master!$D$25:$G$223,4,FALSE)</f>
        <v>Other contributions</v>
      </c>
      <c r="C23" s="451"/>
      <c r="D23" s="451"/>
      <c r="E23" s="451"/>
      <c r="F23" s="451"/>
      <c r="G23" s="189">
        <v>406264.68</v>
      </c>
      <c r="H23" s="189">
        <v>790255.79</v>
      </c>
      <c r="I23" s="189">
        <v>953874.92</v>
      </c>
      <c r="J23" s="189">
        <v>908568.9</v>
      </c>
      <c r="K23" s="189">
        <v>1029712.08</v>
      </c>
      <c r="L23" s="189">
        <v>1020341.6</v>
      </c>
      <c r="M23" s="189">
        <v>1097911.1399999999</v>
      </c>
      <c r="N23" s="189">
        <v>1096715.42</v>
      </c>
      <c r="O23" s="189">
        <v>997714.26</v>
      </c>
      <c r="P23" s="189">
        <v>1051502.6599999999</v>
      </c>
      <c r="Q23" s="189">
        <v>553226.5</v>
      </c>
      <c r="R23" s="189">
        <v>2008464.28</v>
      </c>
      <c r="S23" s="270">
        <f t="shared" si="3"/>
        <v>11914552.229999999</v>
      </c>
      <c r="T23" s="271">
        <f t="shared" si="4"/>
        <v>2.8122910423452763E-3</v>
      </c>
      <c r="Y23" s="380"/>
    </row>
    <row r="24" spans="1:25">
      <c r="A24" s="176">
        <v>713</v>
      </c>
      <c r="B24" s="452" t="str">
        <f>+VLOOKUP($A24,[1]Master!$D$25:$G$223,4,FALSE)</f>
        <v>Duties</v>
      </c>
      <c r="C24" s="453"/>
      <c r="D24" s="453"/>
      <c r="E24" s="453"/>
      <c r="F24" s="453"/>
      <c r="G24" s="431">
        <v>579949.69999999995</v>
      </c>
      <c r="H24" s="431">
        <v>799058.78</v>
      </c>
      <c r="I24" s="431">
        <v>1000001.89</v>
      </c>
      <c r="J24" s="431">
        <v>900446.92</v>
      </c>
      <c r="K24" s="431">
        <v>1044119.04</v>
      </c>
      <c r="L24" s="431">
        <v>1380660.13</v>
      </c>
      <c r="M24" s="431">
        <v>1483988.38</v>
      </c>
      <c r="N24" s="431">
        <v>1598254.37</v>
      </c>
      <c r="O24" s="431">
        <v>1300121.74</v>
      </c>
      <c r="P24" s="431">
        <v>1269238.77</v>
      </c>
      <c r="Q24" s="431">
        <v>1101076.77</v>
      </c>
      <c r="R24" s="431">
        <v>1156088.19</v>
      </c>
      <c r="S24" s="273">
        <f t="shared" si="3"/>
        <v>13613004.68</v>
      </c>
      <c r="T24" s="274">
        <f t="shared" si="4"/>
        <v>3.2131909266864939E-3</v>
      </c>
      <c r="Y24" s="380"/>
    </row>
    <row r="25" spans="1:25">
      <c r="A25" s="176">
        <v>714</v>
      </c>
      <c r="B25" s="452" t="str">
        <f>+VLOOKUP($A25,[1]Master!$D$25:$G$223,4,FALSE)</f>
        <v>Fees</v>
      </c>
      <c r="C25" s="453"/>
      <c r="D25" s="453"/>
      <c r="E25" s="453"/>
      <c r="F25" s="453"/>
      <c r="G25" s="431">
        <v>1745843.13</v>
      </c>
      <c r="H25" s="431">
        <v>1266650.8400000001</v>
      </c>
      <c r="I25" s="431">
        <v>1508161.35</v>
      </c>
      <c r="J25" s="431">
        <v>1901163.79</v>
      </c>
      <c r="K25" s="431">
        <v>1513570.26</v>
      </c>
      <c r="L25" s="431">
        <v>830213.16</v>
      </c>
      <c r="M25" s="431">
        <v>1705945.14</v>
      </c>
      <c r="N25" s="431">
        <v>1608311.46</v>
      </c>
      <c r="O25" s="431">
        <v>1107710.8999999999</v>
      </c>
      <c r="P25" s="431">
        <v>1997706.83</v>
      </c>
      <c r="Q25" s="431">
        <v>793640.92</v>
      </c>
      <c r="R25" s="431">
        <v>2988857.35</v>
      </c>
      <c r="S25" s="273">
        <f t="shared" si="3"/>
        <v>18967775.129999999</v>
      </c>
      <c r="T25" s="274">
        <f t="shared" si="4"/>
        <v>4.4771220152952833E-3</v>
      </c>
    </row>
    <row r="26" spans="1:25">
      <c r="A26" s="176">
        <v>715</v>
      </c>
      <c r="B26" s="452" t="str">
        <f>+VLOOKUP($A26,[1]Master!$D$25:$G$223,4,FALSE)</f>
        <v>Other revenues</v>
      </c>
      <c r="C26" s="453"/>
      <c r="D26" s="453"/>
      <c r="E26" s="453"/>
      <c r="F26" s="453"/>
      <c r="G26" s="431">
        <v>1549598.76</v>
      </c>
      <c r="H26" s="431">
        <v>2362534.5499999998</v>
      </c>
      <c r="I26" s="431">
        <v>2237749.3199999998</v>
      </c>
      <c r="J26" s="431">
        <v>3537625.59</v>
      </c>
      <c r="K26" s="431">
        <v>2195275.86</v>
      </c>
      <c r="L26" s="431">
        <v>3677729.73</v>
      </c>
      <c r="M26" s="431">
        <v>5924157.2800000003</v>
      </c>
      <c r="N26" s="431">
        <v>2465692.11</v>
      </c>
      <c r="O26" s="431">
        <v>1761653.61</v>
      </c>
      <c r="P26" s="431">
        <v>3080830.83</v>
      </c>
      <c r="Q26" s="431">
        <v>1891187.54</v>
      </c>
      <c r="R26" s="431">
        <v>5038974.07</v>
      </c>
      <c r="S26" s="273">
        <f t="shared" si="3"/>
        <v>35723009.25</v>
      </c>
      <c r="T26" s="274">
        <f t="shared" si="4"/>
        <v>8.4319995397252514E-3</v>
      </c>
    </row>
    <row r="27" spans="1:25">
      <c r="A27" s="176">
        <v>73</v>
      </c>
      <c r="B27" s="452" t="str">
        <f>+VLOOKUP($A27,[1]Master!$D$25:$G$223,4,FALSE)</f>
        <v>Receipts from Repayment of Loans and Funds Carried over from Previous Year</v>
      </c>
      <c r="C27" s="453"/>
      <c r="D27" s="453"/>
      <c r="E27" s="453"/>
      <c r="F27" s="453"/>
      <c r="G27" s="431">
        <v>150350.67000000001</v>
      </c>
      <c r="H27" s="431">
        <v>500193.46</v>
      </c>
      <c r="I27" s="431">
        <v>126045.79</v>
      </c>
      <c r="J27" s="431">
        <v>67133.97</v>
      </c>
      <c r="K27" s="431">
        <v>340170.16</v>
      </c>
      <c r="L27" s="431">
        <v>1431878.17</v>
      </c>
      <c r="M27" s="431">
        <v>588856.99</v>
      </c>
      <c r="N27" s="431">
        <v>142813.88</v>
      </c>
      <c r="O27" s="431">
        <v>182139.62</v>
      </c>
      <c r="P27" s="431">
        <v>603855.75</v>
      </c>
      <c r="Q27" s="431">
        <v>987894.53</v>
      </c>
      <c r="R27" s="431">
        <v>1458878.89</v>
      </c>
      <c r="S27" s="273">
        <f t="shared" si="3"/>
        <v>6580211.8799999999</v>
      </c>
      <c r="T27" s="274">
        <f t="shared" si="4"/>
        <v>1.5531822404758532E-3</v>
      </c>
    </row>
    <row r="28" spans="1:25" ht="13.5" thickBot="1">
      <c r="A28" s="176">
        <v>74</v>
      </c>
      <c r="B28" s="456" t="str">
        <f>+VLOOKUP($A28,[1]Master!$D$25:$G$223,4,FALSE)</f>
        <v>Grants and Transfers</v>
      </c>
      <c r="C28" s="457"/>
      <c r="D28" s="457"/>
      <c r="E28" s="457"/>
      <c r="F28" s="457"/>
      <c r="G28" s="431">
        <v>198902.46</v>
      </c>
      <c r="H28" s="431">
        <v>1119540.18</v>
      </c>
      <c r="I28" s="431">
        <v>2133451.14</v>
      </c>
      <c r="J28" s="431">
        <v>849572.77</v>
      </c>
      <c r="K28" s="431">
        <v>1895943.06</v>
      </c>
      <c r="L28" s="431">
        <v>1063223.94</v>
      </c>
      <c r="M28" s="431">
        <v>2617220.7200000002</v>
      </c>
      <c r="N28" s="431">
        <v>693924.15</v>
      </c>
      <c r="O28" s="431">
        <v>1500964.26</v>
      </c>
      <c r="P28" s="431">
        <v>2652981.5699999998</v>
      </c>
      <c r="Q28" s="431">
        <v>2284497.5299999998</v>
      </c>
      <c r="R28" s="431">
        <v>8271247.9800000004</v>
      </c>
      <c r="S28" s="276">
        <f t="shared" si="3"/>
        <v>25281469.760000002</v>
      </c>
      <c r="T28" s="277">
        <f t="shared" si="4"/>
        <v>5.9673959684652788E-3</v>
      </c>
    </row>
    <row r="29" spans="1:25" ht="13.5" thickBot="1">
      <c r="A29" s="176">
        <v>4</v>
      </c>
      <c r="B29" s="458" t="str">
        <f>+VLOOKUP($A29,[1]Master!$D$25:$G$223,4,FALSE)</f>
        <v>Total Expenditures</v>
      </c>
      <c r="C29" s="459"/>
      <c r="D29" s="459"/>
      <c r="E29" s="459"/>
      <c r="F29" s="459"/>
      <c r="G29" s="177">
        <f>+G31+G42+G48+SUM(G49:G53)</f>
        <v>95190856.049999982</v>
      </c>
      <c r="H29" s="177">
        <f t="shared" ref="H29:R29" si="5">+H31+H42+H48+SUM(H49:H53)</f>
        <v>106549785.00999999</v>
      </c>
      <c r="I29" s="177">
        <f t="shared" si="5"/>
        <v>166413895.22999999</v>
      </c>
      <c r="J29" s="177">
        <f t="shared" si="5"/>
        <v>141189204.78999999</v>
      </c>
      <c r="K29" s="177">
        <f t="shared" si="5"/>
        <v>129568583.72</v>
      </c>
      <c r="L29" s="177">
        <f t="shared" si="5"/>
        <v>148131629.06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137503517.67999998</v>
      </c>
      <c r="P29" s="177">
        <f t="shared" si="5"/>
        <v>156775579.92000002</v>
      </c>
      <c r="Q29" s="177">
        <f t="shared" si="5"/>
        <v>157298649.06</v>
      </c>
      <c r="R29" s="177">
        <f t="shared" si="5"/>
        <v>270369781.30000001</v>
      </c>
      <c r="S29" s="278">
        <f t="shared" si="3"/>
        <v>1803136078.8299999</v>
      </c>
      <c r="T29" s="279">
        <f t="shared" si="4"/>
        <v>0.42560923354340741</v>
      </c>
    </row>
    <row r="30" spans="1:25" ht="13.5" thickBot="1">
      <c r="A30" s="176">
        <v>41</v>
      </c>
      <c r="B30" s="460" t="str">
        <f>+VLOOKUP($A30,[1]Master!$D$25:$G$223,4,FALSE)</f>
        <v>Current Expenditures</v>
      </c>
      <c r="C30" s="461"/>
      <c r="D30" s="461"/>
      <c r="E30" s="461"/>
      <c r="F30" s="461"/>
      <c r="G30" s="432">
        <f>+G29-G49</f>
        <v>95081211.609999985</v>
      </c>
      <c r="H30" s="432">
        <f t="shared" ref="H30:R30" si="6">+H29-H49</f>
        <v>105058194.66999999</v>
      </c>
      <c r="I30" s="432">
        <f t="shared" si="6"/>
        <v>159051074.73999998</v>
      </c>
      <c r="J30" s="432">
        <f t="shared" si="6"/>
        <v>134270687.53</v>
      </c>
      <c r="K30" s="432">
        <f t="shared" si="6"/>
        <v>127056839.55</v>
      </c>
      <c r="L30" s="432">
        <f t="shared" si="6"/>
        <v>125448006.67</v>
      </c>
      <c r="M30" s="432">
        <f t="shared" si="6"/>
        <v>135015939.43000001</v>
      </c>
      <c r="N30" s="432">
        <f t="shared" si="6"/>
        <v>119078138.24000001</v>
      </c>
      <c r="O30" s="432">
        <f t="shared" si="6"/>
        <v>117563216.00999998</v>
      </c>
      <c r="P30" s="432">
        <f t="shared" si="6"/>
        <v>126782294.63000003</v>
      </c>
      <c r="Q30" s="432">
        <f t="shared" si="6"/>
        <v>119362889.43000001</v>
      </c>
      <c r="R30" s="432">
        <f t="shared" si="6"/>
        <v>187491019.35000002</v>
      </c>
      <c r="S30" s="280">
        <f t="shared" si="3"/>
        <v>1551259511.8600001</v>
      </c>
      <c r="T30" s="281">
        <f t="shared" si="4"/>
        <v>0.36615670864844452</v>
      </c>
    </row>
    <row r="31" spans="1:25">
      <c r="A31" s="176">
        <v>40</v>
      </c>
      <c r="B31" s="462" t="str">
        <f>+VLOOKUP($A31,[1]Master!$D$25:$G$223,4,FALSE)</f>
        <v>Current Budgetary Expenditures</v>
      </c>
      <c r="C31" s="463"/>
      <c r="D31" s="463"/>
      <c r="E31" s="463"/>
      <c r="F31" s="463"/>
      <c r="G31" s="428">
        <f>+SUM(G32:G41)</f>
        <v>43671166.869999997</v>
      </c>
      <c r="H31" s="428">
        <f t="shared" ref="H31:R31" si="7">+SUM(H32:H41)</f>
        <v>48408706.909999989</v>
      </c>
      <c r="I31" s="428">
        <f t="shared" si="7"/>
        <v>96989262.820000008</v>
      </c>
      <c r="J31" s="428">
        <f t="shared" si="7"/>
        <v>70965970.75</v>
      </c>
      <c r="K31" s="428">
        <f t="shared" si="7"/>
        <v>64485987.470000006</v>
      </c>
      <c r="L31" s="428">
        <f t="shared" si="7"/>
        <v>61416603.619999997</v>
      </c>
      <c r="M31" s="428">
        <f t="shared" si="7"/>
        <v>59163591.209999993</v>
      </c>
      <c r="N31" s="428">
        <f t="shared" si="7"/>
        <v>55546071.519999996</v>
      </c>
      <c r="O31" s="428">
        <f t="shared" si="7"/>
        <v>56191213.159999996</v>
      </c>
      <c r="P31" s="428">
        <f t="shared" si="7"/>
        <v>60486450.390000001</v>
      </c>
      <c r="Q31" s="428">
        <f t="shared" si="7"/>
        <v>60535623.090000004</v>
      </c>
      <c r="R31" s="428">
        <f t="shared" si="7"/>
        <v>103964777.77000001</v>
      </c>
      <c r="S31" s="268">
        <f t="shared" si="3"/>
        <v>781825425.57999992</v>
      </c>
      <c r="T31" s="269">
        <f t="shared" si="4"/>
        <v>0.18454076985790491</v>
      </c>
    </row>
    <row r="32" spans="1:25">
      <c r="A32" s="176">
        <v>411</v>
      </c>
      <c r="B32" s="450" t="str">
        <f>+VLOOKUP($A32,[1]Master!$D$25:$G$223,4,FALSE)</f>
        <v>Gross Salaries and Contributions</v>
      </c>
      <c r="C32" s="451"/>
      <c r="D32" s="451"/>
      <c r="E32" s="451"/>
      <c r="F32" s="451"/>
      <c r="G32" s="189">
        <v>36337751.869999997</v>
      </c>
      <c r="H32" s="189">
        <v>36442747.460000001</v>
      </c>
      <c r="I32" s="189">
        <v>36477113.590000004</v>
      </c>
      <c r="J32" s="189">
        <v>36703828.340000004</v>
      </c>
      <c r="K32" s="189">
        <v>34203194.770000003</v>
      </c>
      <c r="L32" s="189">
        <v>40628800.600000001</v>
      </c>
      <c r="M32" s="189">
        <v>36224128.640000001</v>
      </c>
      <c r="N32" s="189">
        <v>35575955.729999997</v>
      </c>
      <c r="O32" s="189">
        <v>36145069.369999997</v>
      </c>
      <c r="P32" s="189">
        <v>37968977.82</v>
      </c>
      <c r="Q32" s="189">
        <v>37251539.810000002</v>
      </c>
      <c r="R32" s="189">
        <v>41404585.670000002</v>
      </c>
      <c r="S32" s="270">
        <f t="shared" si="3"/>
        <v>445363693.67000002</v>
      </c>
      <c r="T32" s="271">
        <f t="shared" si="4"/>
        <v>0.10512290366567531</v>
      </c>
    </row>
    <row r="33" spans="1:21">
      <c r="A33" s="176">
        <v>412</v>
      </c>
      <c r="B33" s="450" t="str">
        <f>+VLOOKUP($A33,[1]Master!$D$25:$G$223,4,FALSE)</f>
        <v>Other Personal Income</v>
      </c>
      <c r="C33" s="451"/>
      <c r="D33" s="451"/>
      <c r="E33" s="451"/>
      <c r="F33" s="451"/>
      <c r="G33" s="189">
        <v>70065.570000000007</v>
      </c>
      <c r="H33" s="189">
        <v>920424.11</v>
      </c>
      <c r="I33" s="189">
        <v>936990.91</v>
      </c>
      <c r="J33" s="189">
        <v>685539.4</v>
      </c>
      <c r="K33" s="189">
        <v>763370.53</v>
      </c>
      <c r="L33" s="189">
        <v>888374.79</v>
      </c>
      <c r="M33" s="189">
        <v>845413.4</v>
      </c>
      <c r="N33" s="189">
        <v>982340.29</v>
      </c>
      <c r="O33" s="189">
        <v>710611.47</v>
      </c>
      <c r="P33" s="189">
        <v>864910.68</v>
      </c>
      <c r="Q33" s="189">
        <v>1028980.9</v>
      </c>
      <c r="R33" s="189">
        <v>1951716.68</v>
      </c>
      <c r="S33" s="270">
        <f t="shared" si="3"/>
        <v>10648738.729999999</v>
      </c>
      <c r="T33" s="271">
        <f t="shared" si="4"/>
        <v>2.5135105343907847E-3</v>
      </c>
      <c r="U33" s="368"/>
    </row>
    <row r="34" spans="1:21">
      <c r="A34" s="176">
        <v>413</v>
      </c>
      <c r="B34" s="450" t="str">
        <f>+VLOOKUP($A34,[1]Master!$D$25:$G$223,4,FALSE)</f>
        <v>Expenditures for Supplies</v>
      </c>
      <c r="C34" s="451"/>
      <c r="D34" s="451"/>
      <c r="E34" s="451"/>
      <c r="F34" s="451"/>
      <c r="G34" s="189">
        <v>956521.67</v>
      </c>
      <c r="H34" s="189">
        <v>2109254.7599999998</v>
      </c>
      <c r="I34" s="189">
        <v>2769108.2</v>
      </c>
      <c r="J34" s="189">
        <v>1859042.69</v>
      </c>
      <c r="K34" s="189">
        <v>2061379.38</v>
      </c>
      <c r="L34" s="189">
        <v>2036796.31</v>
      </c>
      <c r="M34" s="189">
        <v>1900343.87</v>
      </c>
      <c r="N34" s="189">
        <v>2421002.2400000002</v>
      </c>
      <c r="O34" s="189">
        <v>1844593.48</v>
      </c>
      <c r="P34" s="189">
        <v>3032654.88</v>
      </c>
      <c r="Q34" s="189">
        <v>2235715.75</v>
      </c>
      <c r="R34" s="189">
        <v>5973408.79</v>
      </c>
      <c r="S34" s="270">
        <f t="shared" si="3"/>
        <v>29199822.019999996</v>
      </c>
      <c r="T34" s="271">
        <f t="shared" si="4"/>
        <v>6.8922773025539338E-3</v>
      </c>
      <c r="U34" s="386"/>
    </row>
    <row r="35" spans="1:21">
      <c r="A35" s="176">
        <v>414</v>
      </c>
      <c r="B35" s="450" t="str">
        <f>+VLOOKUP($A35,[1]Master!$D$25:$G$223,4,FALSE)</f>
        <v>Expenditures for Services</v>
      </c>
      <c r="C35" s="451"/>
      <c r="D35" s="451"/>
      <c r="E35" s="451"/>
      <c r="F35" s="451"/>
      <c r="G35" s="189">
        <v>1439453.4</v>
      </c>
      <c r="H35" s="189">
        <v>3317597.8</v>
      </c>
      <c r="I35" s="189">
        <v>7050406.4900000002</v>
      </c>
      <c r="J35" s="189">
        <v>5446746.7800000003</v>
      </c>
      <c r="K35" s="189">
        <v>3548711.83</v>
      </c>
      <c r="L35" s="189">
        <v>4342615.72</v>
      </c>
      <c r="M35" s="189">
        <v>5219310.84</v>
      </c>
      <c r="N35" s="189">
        <v>5169360.8</v>
      </c>
      <c r="O35" s="189">
        <v>4338671.4800000004</v>
      </c>
      <c r="P35" s="189">
        <v>4884082.33</v>
      </c>
      <c r="Q35" s="189">
        <v>4047161.45</v>
      </c>
      <c r="R35" s="189">
        <v>17901369.530000001</v>
      </c>
      <c r="S35" s="270">
        <f t="shared" si="3"/>
        <v>66705488.450000003</v>
      </c>
      <c r="T35" s="271">
        <f t="shared" si="4"/>
        <v>1.5745052270688762E-2</v>
      </c>
    </row>
    <row r="36" spans="1:21">
      <c r="A36" s="176">
        <v>415</v>
      </c>
      <c r="B36" s="450" t="str">
        <f>+VLOOKUP($A36,[1]Master!$D$25:$G$223,4,FALSE)</f>
        <v>Current Maintenance</v>
      </c>
      <c r="C36" s="451"/>
      <c r="D36" s="451"/>
      <c r="E36" s="451"/>
      <c r="F36" s="451"/>
      <c r="G36" s="189">
        <v>133702.59</v>
      </c>
      <c r="H36" s="189">
        <v>831412.02</v>
      </c>
      <c r="I36" s="189">
        <v>1518146.21</v>
      </c>
      <c r="J36" s="189">
        <v>1548888.06</v>
      </c>
      <c r="K36" s="189">
        <v>2002570.68</v>
      </c>
      <c r="L36" s="189">
        <v>1160043.8799999999</v>
      </c>
      <c r="M36" s="189">
        <v>1865668.51</v>
      </c>
      <c r="N36" s="189">
        <v>1371232.73</v>
      </c>
      <c r="O36" s="189">
        <v>2163282.15</v>
      </c>
      <c r="P36" s="189">
        <v>1881648.29</v>
      </c>
      <c r="Q36" s="189">
        <v>1702269.74</v>
      </c>
      <c r="R36" s="189">
        <v>4024462.06</v>
      </c>
      <c r="S36" s="270">
        <f t="shared" si="3"/>
        <v>20203326.920000002</v>
      </c>
      <c r="T36" s="271">
        <f t="shared" si="4"/>
        <v>4.7687595996789879E-3</v>
      </c>
    </row>
    <row r="37" spans="1:21">
      <c r="A37" s="176">
        <v>416</v>
      </c>
      <c r="B37" s="450" t="str">
        <f>+VLOOKUP($A37,[1]Master!$D$25:$G$223,4,FALSE)</f>
        <v>Interests</v>
      </c>
      <c r="C37" s="451"/>
      <c r="D37" s="451"/>
      <c r="E37" s="451"/>
      <c r="F37" s="451"/>
      <c r="G37" s="189">
        <v>3229720.9</v>
      </c>
      <c r="H37" s="189">
        <v>1105648.4099999999</v>
      </c>
      <c r="I37" s="189">
        <v>39350670.159999996</v>
      </c>
      <c r="J37" s="189">
        <v>18359667.859999999</v>
      </c>
      <c r="K37" s="189">
        <v>16347481.07</v>
      </c>
      <c r="L37" s="189">
        <v>2519907.7599999998</v>
      </c>
      <c r="M37" s="189">
        <v>6570219.0800000001</v>
      </c>
      <c r="N37" s="189">
        <v>1254218.04</v>
      </c>
      <c r="O37" s="189">
        <v>2016695.15</v>
      </c>
      <c r="P37" s="189">
        <v>1739140.99</v>
      </c>
      <c r="Q37" s="189">
        <v>3918626.83</v>
      </c>
      <c r="R37" s="189">
        <v>2293382.33</v>
      </c>
      <c r="S37" s="270">
        <f>+SUM(G37:R37)</f>
        <v>98705378.580000013</v>
      </c>
      <c r="T37" s="271">
        <f t="shared" si="4"/>
        <v>2.3298252981164145E-2</v>
      </c>
    </row>
    <row r="38" spans="1:21">
      <c r="A38" s="176">
        <v>417</v>
      </c>
      <c r="B38" s="450" t="str">
        <f>+VLOOKUP($A38,[1]Master!$D$25:$G$223,4,FALSE)</f>
        <v>Rent</v>
      </c>
      <c r="C38" s="451"/>
      <c r="D38" s="451"/>
      <c r="E38" s="451"/>
      <c r="F38" s="451"/>
      <c r="G38" s="189">
        <v>576439.54</v>
      </c>
      <c r="H38" s="189">
        <v>609518.68999999994</v>
      </c>
      <c r="I38" s="189">
        <v>647095.18000000005</v>
      </c>
      <c r="J38" s="189">
        <v>737903.15</v>
      </c>
      <c r="K38" s="189">
        <v>649640.18999999994</v>
      </c>
      <c r="L38" s="189">
        <v>723692.29</v>
      </c>
      <c r="M38" s="189">
        <v>744151.17</v>
      </c>
      <c r="N38" s="189">
        <v>655865.84</v>
      </c>
      <c r="O38" s="189">
        <v>680175.47</v>
      </c>
      <c r="P38" s="189">
        <v>802737.21</v>
      </c>
      <c r="Q38" s="189">
        <v>721286.02</v>
      </c>
      <c r="R38" s="189">
        <v>1392442.62</v>
      </c>
      <c r="S38" s="270">
        <f t="shared" si="3"/>
        <v>8940947.370000001</v>
      </c>
      <c r="T38" s="271">
        <f t="shared" si="4"/>
        <v>2.1104063093046314E-3</v>
      </c>
    </row>
    <row r="39" spans="1:21">
      <c r="A39" s="176">
        <v>418</v>
      </c>
      <c r="B39" s="450" t="str">
        <f>+VLOOKUP($A39,[1]Master!$D$25:$G$223,4,FALSE)</f>
        <v>Subsidies</v>
      </c>
      <c r="C39" s="451"/>
      <c r="D39" s="451"/>
      <c r="E39" s="451"/>
      <c r="F39" s="451"/>
      <c r="G39" s="189">
        <v>1010</v>
      </c>
      <c r="H39" s="189">
        <v>437077.96</v>
      </c>
      <c r="I39" s="189">
        <v>2564740.2200000002</v>
      </c>
      <c r="J39" s="189">
        <v>735427.01</v>
      </c>
      <c r="K39" s="189">
        <v>700208.25</v>
      </c>
      <c r="L39" s="189">
        <v>1456109.61</v>
      </c>
      <c r="M39" s="189">
        <v>1493000.87</v>
      </c>
      <c r="N39" s="189">
        <v>2964968.57</v>
      </c>
      <c r="O39" s="189">
        <v>3824679.63</v>
      </c>
      <c r="P39" s="189">
        <v>2388415.48</v>
      </c>
      <c r="Q39" s="189">
        <v>3022483.62</v>
      </c>
      <c r="R39" s="189">
        <v>8215705.0499999998</v>
      </c>
      <c r="S39" s="270">
        <f t="shared" si="3"/>
        <v>27803826.270000003</v>
      </c>
      <c r="T39" s="271">
        <f t="shared" si="4"/>
        <v>6.5627687933720443E-3</v>
      </c>
    </row>
    <row r="40" spans="1:21">
      <c r="A40" s="176">
        <v>419</v>
      </c>
      <c r="B40" s="450" t="str">
        <f>+VLOOKUP($A40,[1]Master!$D$25:$G$223,4,FALSE)</f>
        <v>Other expenditures</v>
      </c>
      <c r="C40" s="451"/>
      <c r="D40" s="451"/>
      <c r="E40" s="451"/>
      <c r="F40" s="451"/>
      <c r="G40" s="189">
        <v>640573.4</v>
      </c>
      <c r="H40" s="189">
        <v>1813144.72</v>
      </c>
      <c r="I40" s="189">
        <v>3850774.87</v>
      </c>
      <c r="J40" s="189">
        <v>2537947.84</v>
      </c>
      <c r="K40" s="189">
        <v>2629633.84</v>
      </c>
      <c r="L40" s="189">
        <v>2647992.59</v>
      </c>
      <c r="M40" s="189">
        <v>2526292.0099999998</v>
      </c>
      <c r="N40" s="189">
        <v>2670416.61</v>
      </c>
      <c r="O40" s="189">
        <v>2766749.02</v>
      </c>
      <c r="P40" s="189">
        <v>3382897.72</v>
      </c>
      <c r="Q40" s="189">
        <v>4807051.49</v>
      </c>
      <c r="R40" s="189">
        <v>7968970.9500000002</v>
      </c>
      <c r="S40" s="270">
        <f t="shared" si="3"/>
        <v>38242445.060000002</v>
      </c>
      <c r="T40" s="271">
        <f t="shared" si="4"/>
        <v>9.0266829674739181E-3</v>
      </c>
    </row>
    <row r="41" spans="1:21">
      <c r="A41" s="176">
        <v>440</v>
      </c>
      <c r="B41" s="450" t="str">
        <f>+VLOOKUP($A41,[1]Master!$D$25:$G$223,4,FALSE)</f>
        <v>Current Capital Expenditure</v>
      </c>
      <c r="C41" s="451"/>
      <c r="D41" s="451"/>
      <c r="E41" s="451"/>
      <c r="F41" s="451"/>
      <c r="G41" s="189">
        <v>285927.93</v>
      </c>
      <c r="H41" s="189">
        <v>821880.98</v>
      </c>
      <c r="I41" s="189">
        <v>1824216.99</v>
      </c>
      <c r="J41" s="189">
        <v>2350979.62</v>
      </c>
      <c r="K41" s="189">
        <v>1579796.93</v>
      </c>
      <c r="L41" s="189">
        <v>5012270.07</v>
      </c>
      <c r="M41" s="189">
        <v>1775062.82</v>
      </c>
      <c r="N41" s="189">
        <v>2480710.67</v>
      </c>
      <c r="O41" s="189">
        <v>1700685.94</v>
      </c>
      <c r="P41" s="189">
        <v>3540984.99</v>
      </c>
      <c r="Q41" s="189">
        <v>1800507.48</v>
      </c>
      <c r="R41" s="189">
        <v>12838734.09</v>
      </c>
      <c r="S41" s="270">
        <f t="shared" si="3"/>
        <v>36011758.509999998</v>
      </c>
      <c r="T41" s="271">
        <f t="shared" si="4"/>
        <v>8.5001554336024167E-3</v>
      </c>
    </row>
    <row r="42" spans="1:21">
      <c r="A42" s="176">
        <v>42</v>
      </c>
      <c r="B42" s="466" t="str">
        <f>+VLOOKUP($A42,[1]Master!$D$25:$G$223,4,FALSE)</f>
        <v>Social Security Transfers</v>
      </c>
      <c r="C42" s="467"/>
      <c r="D42" s="467"/>
      <c r="E42" s="467"/>
      <c r="F42" s="467"/>
      <c r="G42" s="431">
        <f>+SUM(G43:G47)</f>
        <v>43853641.199999996</v>
      </c>
      <c r="H42" s="431">
        <f t="shared" ref="H42:R42" si="8">+SUM(H43:H47)</f>
        <v>46694958.479999997</v>
      </c>
      <c r="I42" s="431">
        <f t="shared" si="8"/>
        <v>46060225.379999995</v>
      </c>
      <c r="J42" s="431">
        <f t="shared" si="8"/>
        <v>45239884.829999998</v>
      </c>
      <c r="K42" s="431">
        <f t="shared" si="8"/>
        <v>45683297.689999998</v>
      </c>
      <c r="L42" s="431">
        <f t="shared" si="8"/>
        <v>45402922.969999999</v>
      </c>
      <c r="M42" s="431">
        <f t="shared" si="8"/>
        <v>45267241.289999999</v>
      </c>
      <c r="N42" s="431">
        <f t="shared" si="8"/>
        <v>42270056.32</v>
      </c>
      <c r="O42" s="431">
        <f t="shared" si="8"/>
        <v>44046758.639999993</v>
      </c>
      <c r="P42" s="431">
        <f t="shared" si="8"/>
        <v>44748876.500000007</v>
      </c>
      <c r="Q42" s="431">
        <f t="shared" si="8"/>
        <v>43633580.93999999</v>
      </c>
      <c r="R42" s="431">
        <f t="shared" si="8"/>
        <v>45149451.939999998</v>
      </c>
      <c r="S42" s="273">
        <f t="shared" si="3"/>
        <v>538050896.17999995</v>
      </c>
      <c r="T42" s="274">
        <f t="shared" si="4"/>
        <v>0.12700063640183165</v>
      </c>
    </row>
    <row r="43" spans="1:21">
      <c r="A43" s="176">
        <v>421</v>
      </c>
      <c r="B43" s="450" t="str">
        <f>+VLOOKUP($A43,[1]Master!$D$25:$G$223,4,FALSE)</f>
        <v>Social Security</v>
      </c>
      <c r="C43" s="451"/>
      <c r="D43" s="451"/>
      <c r="E43" s="451"/>
      <c r="F43" s="451"/>
      <c r="G43" s="189">
        <v>10235148.66</v>
      </c>
      <c r="H43" s="189">
        <v>10418756.810000001</v>
      </c>
      <c r="I43" s="189">
        <v>9027967.8599999994</v>
      </c>
      <c r="J43" s="189">
        <v>9060292.8100000005</v>
      </c>
      <c r="K43" s="189">
        <v>9323783.9399999995</v>
      </c>
      <c r="L43" s="189">
        <v>9371948.4000000004</v>
      </c>
      <c r="M43" s="189">
        <v>9055138.0800000001</v>
      </c>
      <c r="N43" s="189">
        <v>5035876.3099999996</v>
      </c>
      <c r="O43" s="189">
        <v>6564978.3200000003</v>
      </c>
      <c r="P43" s="189">
        <v>7602969.7000000002</v>
      </c>
      <c r="Q43" s="189">
        <v>6324073.25</v>
      </c>
      <c r="R43" s="189">
        <v>6683946.5800000001</v>
      </c>
      <c r="S43" s="270">
        <f t="shared" si="3"/>
        <v>98704880.719999999</v>
      </c>
      <c r="T43" s="271">
        <f t="shared" si="4"/>
        <v>2.3298135467119861E-2</v>
      </c>
    </row>
    <row r="44" spans="1:21">
      <c r="A44" s="176">
        <v>422</v>
      </c>
      <c r="B44" s="450" t="str">
        <f>+VLOOKUP($A44,[1]Master!$D$25:$G$223,4,FALSE)</f>
        <v>Funds for redundant labor</v>
      </c>
      <c r="C44" s="451"/>
      <c r="D44" s="451"/>
      <c r="E44" s="451"/>
      <c r="F44" s="451"/>
      <c r="G44" s="189">
        <v>173100.67</v>
      </c>
      <c r="H44" s="189">
        <v>1036027.42</v>
      </c>
      <c r="I44" s="189">
        <v>1054894.68</v>
      </c>
      <c r="J44" s="189">
        <v>1150894.96</v>
      </c>
      <c r="K44" s="189">
        <v>1082297.17</v>
      </c>
      <c r="L44" s="189">
        <v>1038790.65</v>
      </c>
      <c r="M44" s="189">
        <v>1069131.58</v>
      </c>
      <c r="N44" s="189">
        <v>1024731.32</v>
      </c>
      <c r="O44" s="189">
        <v>1115186.56</v>
      </c>
      <c r="P44" s="189">
        <v>1056401.0900000001</v>
      </c>
      <c r="Q44" s="189">
        <v>1118494.9099999999</v>
      </c>
      <c r="R44" s="189">
        <v>2048499.78</v>
      </c>
      <c r="S44" s="270">
        <f t="shared" si="3"/>
        <v>12968450.790000001</v>
      </c>
      <c r="T44" s="271">
        <f t="shared" si="4"/>
        <v>3.0610515012037959E-3</v>
      </c>
    </row>
    <row r="45" spans="1:21">
      <c r="A45" s="176">
        <v>423</v>
      </c>
      <c r="B45" s="450" t="str">
        <f>+VLOOKUP($A45,[1]Master!$D$25:$G$223,4,FALSE)</f>
        <v>Pension and Disability Insurance</v>
      </c>
      <c r="C45" s="451"/>
      <c r="D45" s="451"/>
      <c r="E45" s="451"/>
      <c r="F45" s="451"/>
      <c r="G45" s="189">
        <v>32976338.859999999</v>
      </c>
      <c r="H45" s="189">
        <v>33304068.809999999</v>
      </c>
      <c r="I45" s="189">
        <v>33118374.059999999</v>
      </c>
      <c r="J45" s="189">
        <v>33225573.780000001</v>
      </c>
      <c r="K45" s="189">
        <v>33097965.640000001</v>
      </c>
      <c r="L45" s="189">
        <v>32864422.489999998</v>
      </c>
      <c r="M45" s="189">
        <v>32909306.579999998</v>
      </c>
      <c r="N45" s="189">
        <v>34045532.219999999</v>
      </c>
      <c r="O45" s="189">
        <v>33914885.549999997</v>
      </c>
      <c r="P45" s="189">
        <v>33960607.270000003</v>
      </c>
      <c r="Q45" s="189">
        <v>33919324.859999999</v>
      </c>
      <c r="R45" s="189">
        <v>33927498.649999999</v>
      </c>
      <c r="S45" s="270">
        <f t="shared" si="3"/>
        <v>401263898.76999998</v>
      </c>
      <c r="T45" s="271">
        <f t="shared" si="4"/>
        <v>9.4713661608365196E-2</v>
      </c>
    </row>
    <row r="46" spans="1:21">
      <c r="A46" s="176">
        <v>424</v>
      </c>
      <c r="B46" s="450" t="str">
        <f>+VLOOKUP($A46,[1]Master!$D$25:$G$223,4,FALSE)</f>
        <v>Other Health Care Transfers</v>
      </c>
      <c r="C46" s="451"/>
      <c r="D46" s="451"/>
      <c r="E46" s="451"/>
      <c r="F46" s="451"/>
      <c r="G46" s="189">
        <v>202511.01</v>
      </c>
      <c r="H46" s="189">
        <v>1122393.47</v>
      </c>
      <c r="I46" s="189">
        <v>2105961.34</v>
      </c>
      <c r="J46" s="189">
        <v>1278855.19</v>
      </c>
      <c r="K46" s="189">
        <v>1134813.47</v>
      </c>
      <c r="L46" s="189">
        <v>1335830.71</v>
      </c>
      <c r="M46" s="189">
        <v>1666149.56</v>
      </c>
      <c r="N46" s="189">
        <v>1463570.61</v>
      </c>
      <c r="O46" s="189">
        <v>1518302.55</v>
      </c>
      <c r="P46" s="189">
        <v>1424217.95</v>
      </c>
      <c r="Q46" s="189">
        <v>1512893.76</v>
      </c>
      <c r="R46" s="189">
        <v>1723879.49</v>
      </c>
      <c r="S46" s="270">
        <f t="shared" si="3"/>
        <v>16489379.109999999</v>
      </c>
      <c r="T46" s="271">
        <f t="shared" si="4"/>
        <v>3.8921255511495064E-3</v>
      </c>
    </row>
    <row r="47" spans="1:21">
      <c r="A47" s="176">
        <v>425</v>
      </c>
      <c r="B47" s="450" t="str">
        <f>+VLOOKUP($A47,[1]Master!$D$25:$G$223,4,FALSE)</f>
        <v>Other Health Care Insurance</v>
      </c>
      <c r="C47" s="451"/>
      <c r="D47" s="451"/>
      <c r="E47" s="451"/>
      <c r="F47" s="451"/>
      <c r="G47" s="189">
        <v>266542</v>
      </c>
      <c r="H47" s="189">
        <v>813711.97</v>
      </c>
      <c r="I47" s="189">
        <v>753027.44</v>
      </c>
      <c r="J47" s="189">
        <v>524268.09</v>
      </c>
      <c r="K47" s="189">
        <v>1044437.47</v>
      </c>
      <c r="L47" s="189">
        <v>791930.72</v>
      </c>
      <c r="M47" s="189">
        <v>567515.49</v>
      </c>
      <c r="N47" s="189">
        <v>700345.86</v>
      </c>
      <c r="O47" s="189">
        <v>933405.66</v>
      </c>
      <c r="P47" s="189">
        <v>704680.49</v>
      </c>
      <c r="Q47" s="189">
        <v>758794.16</v>
      </c>
      <c r="R47" s="189">
        <v>765627.44</v>
      </c>
      <c r="S47" s="270">
        <f t="shared" si="3"/>
        <v>8624286.790000001</v>
      </c>
      <c r="T47" s="271">
        <f t="shared" si="4"/>
        <v>2.0356622739932969E-3</v>
      </c>
    </row>
    <row r="48" spans="1:21">
      <c r="A48" s="176">
        <v>43</v>
      </c>
      <c r="B48" s="464" t="str">
        <f>+VLOOKUP($A48,[1]Master!$D$25:$G$223,4,FALSE)</f>
        <v xml:space="preserve">Transfers to Institutions, Individuals, NGO and Public Sector </v>
      </c>
      <c r="C48" s="465"/>
      <c r="D48" s="465"/>
      <c r="E48" s="465"/>
      <c r="F48" s="465"/>
      <c r="G48" s="431">
        <v>5367351.82</v>
      </c>
      <c r="H48" s="431">
        <v>7878426.2999999998</v>
      </c>
      <c r="I48" s="431">
        <v>12624632.02</v>
      </c>
      <c r="J48" s="431">
        <v>15717196.880000001</v>
      </c>
      <c r="K48" s="431">
        <v>10712461.529999999</v>
      </c>
      <c r="L48" s="431">
        <v>13588572.92</v>
      </c>
      <c r="M48" s="431">
        <v>17165199.760000002</v>
      </c>
      <c r="N48" s="431">
        <v>15793377.119999999</v>
      </c>
      <c r="O48" s="431">
        <v>13743974.02</v>
      </c>
      <c r="P48" s="431">
        <v>13251144.24</v>
      </c>
      <c r="Q48" s="431">
        <v>11142113.050000001</v>
      </c>
      <c r="R48" s="431">
        <v>29896675.100000001</v>
      </c>
      <c r="S48" s="273">
        <f t="shared" si="3"/>
        <v>166881124.75999999</v>
      </c>
      <c r="T48" s="274">
        <f t="shared" si="4"/>
        <v>3.9390342434971436E-2</v>
      </c>
    </row>
    <row r="49" spans="1:21">
      <c r="A49" s="176">
        <v>44</v>
      </c>
      <c r="B49" s="464" t="str">
        <f>+VLOOKUP($A49,[1]Master!$D$25:$G$223,4,FALSE)</f>
        <v>Capital Expenditure</v>
      </c>
      <c r="C49" s="465"/>
      <c r="D49" s="465"/>
      <c r="E49" s="465"/>
      <c r="F49" s="465"/>
      <c r="G49" s="431">
        <v>109644.44</v>
      </c>
      <c r="H49" s="431">
        <v>1491590.34</v>
      </c>
      <c r="I49" s="431">
        <v>7362820.4900000002</v>
      </c>
      <c r="J49" s="431">
        <v>6918517.2599999998</v>
      </c>
      <c r="K49" s="431">
        <v>2511744.17</v>
      </c>
      <c r="L49" s="431">
        <v>22683622.390000001</v>
      </c>
      <c r="M49" s="431">
        <v>10754440.220000001</v>
      </c>
      <c r="N49" s="431">
        <v>29296079.120000001</v>
      </c>
      <c r="O49" s="431">
        <v>19940301.670000002</v>
      </c>
      <c r="P49" s="431">
        <v>29993285.289999999</v>
      </c>
      <c r="Q49" s="431">
        <v>37935759.630000003</v>
      </c>
      <c r="R49" s="431">
        <v>82878761.950000003</v>
      </c>
      <c r="S49" s="273">
        <f t="shared" si="3"/>
        <v>251876566.97000003</v>
      </c>
      <c r="T49" s="274">
        <f t="shared" si="4"/>
        <v>5.9452524894962951E-2</v>
      </c>
    </row>
    <row r="50" spans="1:21">
      <c r="A50" s="176">
        <v>451</v>
      </c>
      <c r="B50" s="468" t="str">
        <f>+VLOOKUP($A50,[1]Master!$D$25:$G$223,4,FALSE)</f>
        <v>Credits and Borrowings</v>
      </c>
      <c r="C50" s="469"/>
      <c r="D50" s="469"/>
      <c r="E50" s="469"/>
      <c r="F50" s="469"/>
      <c r="G50" s="189">
        <v>0</v>
      </c>
      <c r="H50" s="189">
        <v>285802</v>
      </c>
      <c r="I50" s="189">
        <v>0</v>
      </c>
      <c r="J50" s="189">
        <v>294172</v>
      </c>
      <c r="K50" s="189">
        <v>40272</v>
      </c>
      <c r="L50" s="189">
        <v>468970.67</v>
      </c>
      <c r="M50" s="189">
        <v>0</v>
      </c>
      <c r="N50" s="189">
        <v>40000</v>
      </c>
      <c r="O50" s="189">
        <v>15000</v>
      </c>
      <c r="P50" s="189">
        <v>691995.33</v>
      </c>
      <c r="Q50" s="189">
        <v>70920.759999999995</v>
      </c>
      <c r="R50" s="189">
        <v>2950278</v>
      </c>
      <c r="S50" s="270">
        <f t="shared" si="3"/>
        <v>4857410.76</v>
      </c>
      <c r="T50" s="271">
        <f t="shared" si="4"/>
        <v>1.1465351366661946E-3</v>
      </c>
    </row>
    <row r="51" spans="1:21">
      <c r="A51" s="176">
        <v>47</v>
      </c>
      <c r="B51" s="468" t="str">
        <f>+VLOOKUP($A51,[1]Master!$D$25:$G$223,4,FALSE)</f>
        <v>Reserves</v>
      </c>
      <c r="C51" s="469"/>
      <c r="D51" s="469"/>
      <c r="E51" s="469"/>
      <c r="F51" s="469"/>
      <c r="G51" s="189">
        <v>5000</v>
      </c>
      <c r="H51" s="189">
        <v>25400</v>
      </c>
      <c r="I51" s="189">
        <v>493700</v>
      </c>
      <c r="J51" s="189">
        <v>285897.84000000003</v>
      </c>
      <c r="K51" s="189">
        <v>4315705.9400000004</v>
      </c>
      <c r="L51" s="189">
        <v>1297104.97</v>
      </c>
      <c r="M51" s="189">
        <v>826758.17</v>
      </c>
      <c r="N51" s="189">
        <v>1509270</v>
      </c>
      <c r="O51" s="189">
        <v>1178123.47</v>
      </c>
      <c r="P51" s="189">
        <v>4740919.33</v>
      </c>
      <c r="Q51" s="189">
        <v>1360299.94</v>
      </c>
      <c r="R51" s="189">
        <v>3645650.27</v>
      </c>
      <c r="S51" s="270">
        <f t="shared" si="3"/>
        <v>19683829.93</v>
      </c>
      <c r="T51" s="271">
        <f t="shared" si="4"/>
        <v>4.6461383963555683E-3</v>
      </c>
    </row>
    <row r="52" spans="1:21" ht="13.5" thickBot="1">
      <c r="A52" s="176">
        <v>462</v>
      </c>
      <c r="B52" s="470" t="str">
        <f>+VLOOKUP($A52,[1]Master!$D$25:$G$223,4,FALSE)</f>
        <v>Repayment of Guarantees</v>
      </c>
      <c r="C52" s="471"/>
      <c r="D52" s="471"/>
      <c r="E52" s="471"/>
      <c r="F52" s="471"/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70" t="str">
        <f>+VLOOKUP($A53,[1]Master!$D$25:$G$223,4,TRUE)</f>
        <v>Repayments of Arrears</v>
      </c>
      <c r="C53" s="471"/>
      <c r="D53" s="471"/>
      <c r="E53" s="471"/>
      <c r="F53" s="471"/>
      <c r="G53" s="225">
        <v>2184051.7200000002</v>
      </c>
      <c r="H53" s="225">
        <v>1764900.98</v>
      </c>
      <c r="I53" s="225">
        <v>2883254.52</v>
      </c>
      <c r="J53" s="225">
        <v>1767565.23</v>
      </c>
      <c r="K53" s="225">
        <v>1819114.92</v>
      </c>
      <c r="L53" s="225">
        <v>3273831.52</v>
      </c>
      <c r="M53" s="225">
        <v>12593149</v>
      </c>
      <c r="N53" s="225">
        <v>3919363.28</v>
      </c>
      <c r="O53" s="225">
        <v>2388146.7200000002</v>
      </c>
      <c r="P53" s="225">
        <v>2862908.84</v>
      </c>
      <c r="Q53" s="225">
        <v>2620351.65</v>
      </c>
      <c r="R53" s="225">
        <v>1884186.27</v>
      </c>
      <c r="S53" s="284">
        <f>+SUM(G53:R53)</f>
        <v>39960824.650000006</v>
      </c>
      <c r="T53" s="285">
        <f>+S53/$T$7</f>
        <v>9.432286420714725E-3</v>
      </c>
    </row>
    <row r="54" spans="1:21" ht="13.5" thickBot="1">
      <c r="A54" s="71">
        <v>1005</v>
      </c>
      <c r="B54" s="552" t="str">
        <f>+VLOOKUP($A54,[1]Master!$D$25:$G$225,4,FALSE)</f>
        <v>Net increase of liabilities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72" t="str">
        <f>+VLOOKUP($A55,[1]Master!$D$25:$G$223,4,FALSE)</f>
        <v>Surplus / deficit</v>
      </c>
      <c r="C55" s="473"/>
      <c r="D55" s="473"/>
      <c r="E55" s="473"/>
      <c r="F55" s="473"/>
      <c r="G55" s="177">
        <f t="shared" ref="G55:R55" si="9">+G10-G29</f>
        <v>-21511473.969999984</v>
      </c>
      <c r="H55" s="177">
        <f t="shared" si="9"/>
        <v>-17781164.959999979</v>
      </c>
      <c r="I55" s="177">
        <f t="shared" si="9"/>
        <v>-31232172.079999983</v>
      </c>
      <c r="J55" s="177">
        <f t="shared" si="9"/>
        <v>-16277543.120000005</v>
      </c>
      <c r="K55" s="177">
        <f t="shared" si="9"/>
        <v>-4211922.130000025</v>
      </c>
      <c r="L55" s="177">
        <f t="shared" si="9"/>
        <v>-14075674.050000012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1185348.9100000262</v>
      </c>
      <c r="P55" s="177">
        <f t="shared" si="9"/>
        <v>-17910257.660000026</v>
      </c>
      <c r="Q55" s="177">
        <f t="shared" si="9"/>
        <v>-31811010.069999993</v>
      </c>
      <c r="R55" s="177">
        <f t="shared" si="9"/>
        <v>-84480727.080000013</v>
      </c>
      <c r="S55" s="286">
        <f t="shared" si="3"/>
        <v>-236862401.43000004</v>
      </c>
      <c r="T55" s="287">
        <f t="shared" si="4"/>
        <v>-5.5908606295142341E-2</v>
      </c>
    </row>
    <row r="56" spans="1:21" ht="13.5" thickBot="1">
      <c r="A56" s="170">
        <v>1001</v>
      </c>
      <c r="B56" s="474" t="str">
        <f>+VLOOKUP($A56,[1]Master!$D$25:$G$223,4,FALSE)</f>
        <v>Primary balance</v>
      </c>
      <c r="C56" s="475"/>
      <c r="D56" s="475"/>
      <c r="E56" s="475"/>
      <c r="F56" s="475"/>
      <c r="G56" s="231">
        <f>+G55+G37</f>
        <v>-18281753.069999985</v>
      </c>
      <c r="H56" s="231">
        <f t="shared" ref="H56:R56" si="10">+H55+H37</f>
        <v>-16675516.549999978</v>
      </c>
      <c r="I56" s="231">
        <f t="shared" si="10"/>
        <v>8118498.0800000131</v>
      </c>
      <c r="J56" s="231">
        <f t="shared" si="10"/>
        <v>2082124.7399999946</v>
      </c>
      <c r="K56" s="231">
        <f t="shared" si="10"/>
        <v>12135558.939999975</v>
      </c>
      <c r="L56" s="231">
        <f t="shared" si="10"/>
        <v>-11555766.290000012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3202044.0600000261</v>
      </c>
      <c r="P56" s="231">
        <f t="shared" si="10"/>
        <v>-16171116.670000026</v>
      </c>
      <c r="Q56" s="231">
        <f t="shared" si="10"/>
        <v>-27892383.239999995</v>
      </c>
      <c r="R56" s="231">
        <f t="shared" si="10"/>
        <v>-82187344.750000015</v>
      </c>
      <c r="S56" s="286">
        <f t="shared" si="3"/>
        <v>-138157022.85000002</v>
      </c>
      <c r="T56" s="287">
        <f t="shared" si="4"/>
        <v>-3.2610353313978192E-2</v>
      </c>
    </row>
    <row r="57" spans="1:21">
      <c r="A57" s="170">
        <v>46</v>
      </c>
      <c r="B57" s="466" t="str">
        <f>+VLOOKUP($A57,[1]Master!$D$25:$G$223,4,FALSE)</f>
        <v>Repayment of Debt</v>
      </c>
      <c r="C57" s="467"/>
      <c r="D57" s="467"/>
      <c r="E57" s="467"/>
      <c r="F57" s="467"/>
      <c r="G57" s="433">
        <f t="shared" ref="G57:R57" si="11">+SUM(G58:G59)</f>
        <v>18311638.189999998</v>
      </c>
      <c r="H57" s="433">
        <f t="shared" si="11"/>
        <v>42352594.400000006</v>
      </c>
      <c r="I57" s="433">
        <f t="shared" si="11"/>
        <v>36492059.539999999</v>
      </c>
      <c r="J57" s="433">
        <f t="shared" si="11"/>
        <v>65432249.010000005</v>
      </c>
      <c r="K57" s="433">
        <f t="shared" si="11"/>
        <v>6070178.8200000003</v>
      </c>
      <c r="L57" s="433">
        <f t="shared" si="11"/>
        <v>29898962.890000001</v>
      </c>
      <c r="M57" s="433">
        <f t="shared" si="11"/>
        <v>35563936.18</v>
      </c>
      <c r="N57" s="433">
        <f t="shared" si="11"/>
        <v>68410518.010000005</v>
      </c>
      <c r="O57" s="433">
        <f t="shared" si="11"/>
        <v>13074495.76</v>
      </c>
      <c r="P57" s="433">
        <f t="shared" si="11"/>
        <v>7199515.9700000007</v>
      </c>
      <c r="Q57" s="433">
        <f t="shared" si="11"/>
        <v>7022219.0999999996</v>
      </c>
      <c r="R57" s="433">
        <f t="shared" si="11"/>
        <v>28772200.979999997</v>
      </c>
      <c r="S57" s="288">
        <f t="shared" si="3"/>
        <v>358600568.85000002</v>
      </c>
      <c r="T57" s="289">
        <f t="shared" si="4"/>
        <v>8.4643480349808814E-2</v>
      </c>
    </row>
    <row r="58" spans="1:21">
      <c r="A58" s="170">
        <v>4611</v>
      </c>
      <c r="B58" s="492" t="str">
        <f>+VLOOKUP($A58,[1]Master!$D$25:$G$223,4,FALSE)</f>
        <v>Repayment of Domestic Debt</v>
      </c>
      <c r="C58" s="493"/>
      <c r="D58" s="493"/>
      <c r="E58" s="493"/>
      <c r="F58" s="493"/>
      <c r="G58" s="237">
        <v>16509330.02</v>
      </c>
      <c r="H58" s="237">
        <v>40459986.270000003</v>
      </c>
      <c r="I58" s="237">
        <v>28547623.149999999</v>
      </c>
      <c r="J58" s="237">
        <v>111178.77</v>
      </c>
      <c r="K58" s="237">
        <v>861846.67</v>
      </c>
      <c r="L58" s="237">
        <v>18678429.690000001</v>
      </c>
      <c r="M58" s="237">
        <v>25930516.890000001</v>
      </c>
      <c r="N58" s="237">
        <v>65870871.859999999</v>
      </c>
      <c r="O58" s="237">
        <v>8684013.8599999994</v>
      </c>
      <c r="P58" s="237">
        <v>2314998.5699999998</v>
      </c>
      <c r="Q58" s="237">
        <v>865501.84</v>
      </c>
      <c r="R58" s="237">
        <v>17178358.239999998</v>
      </c>
      <c r="S58" s="290">
        <f t="shared" si="3"/>
        <v>226012655.83000001</v>
      </c>
      <c r="T58" s="291">
        <f t="shared" si="4"/>
        <v>5.3347650434310535E-2</v>
      </c>
    </row>
    <row r="59" spans="1:21" ht="13.5" thickBot="1">
      <c r="A59" s="170">
        <v>4612</v>
      </c>
      <c r="B59" s="468" t="str">
        <f>+VLOOKUP($A59,[1]Master!$D$25:$G$223,4,FALSE)</f>
        <v>Repayment of Foreign Debt</v>
      </c>
      <c r="C59" s="469"/>
      <c r="D59" s="469"/>
      <c r="E59" s="469"/>
      <c r="F59" s="469"/>
      <c r="G59" s="237">
        <v>1802308.17</v>
      </c>
      <c r="H59" s="237">
        <v>1892608.13</v>
      </c>
      <c r="I59" s="237">
        <v>7944436.3899999997</v>
      </c>
      <c r="J59" s="237">
        <v>65321070.240000002</v>
      </c>
      <c r="K59" s="237">
        <v>5208332.1500000004</v>
      </c>
      <c r="L59" s="237">
        <v>11220533.199999999</v>
      </c>
      <c r="M59" s="237">
        <v>9633419.2899999991</v>
      </c>
      <c r="N59" s="237">
        <v>2539646.15</v>
      </c>
      <c r="O59" s="237">
        <v>4390481.9000000004</v>
      </c>
      <c r="P59" s="237">
        <v>4884517.4000000004</v>
      </c>
      <c r="Q59" s="237">
        <v>6156717.2599999998</v>
      </c>
      <c r="R59" s="237">
        <v>11593842.74</v>
      </c>
      <c r="S59" s="270">
        <f t="shared" si="3"/>
        <v>132587913.02000004</v>
      </c>
      <c r="T59" s="291">
        <f t="shared" si="4"/>
        <v>3.1295829915498286E-2</v>
      </c>
    </row>
    <row r="60" spans="1:21" ht="13.5" thickBot="1">
      <c r="A60" s="170">
        <v>1002</v>
      </c>
      <c r="B60" s="494" t="str">
        <f>+VLOOKUP($A60,[1]Master!$D$25:$G$223,4,FALSE)</f>
        <v>Financing needs</v>
      </c>
      <c r="C60" s="495"/>
      <c r="D60" s="495"/>
      <c r="E60" s="495"/>
      <c r="F60" s="495"/>
      <c r="G60" s="243">
        <f t="shared" ref="G60:R60" si="12">+G55-G57</f>
        <v>-39823112.159999982</v>
      </c>
      <c r="H60" s="243">
        <f t="shared" si="12"/>
        <v>-60133759.359999985</v>
      </c>
      <c r="I60" s="243">
        <f t="shared" si="12"/>
        <v>-67724231.619999975</v>
      </c>
      <c r="J60" s="243">
        <f t="shared" si="12"/>
        <v>-81709792.13000001</v>
      </c>
      <c r="K60" s="243">
        <f t="shared" si="12"/>
        <v>-10282100.950000025</v>
      </c>
      <c r="L60" s="243">
        <f t="shared" si="12"/>
        <v>-43974636.940000013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-11889146.849999974</v>
      </c>
      <c r="P60" s="243">
        <f t="shared" si="12"/>
        <v>-25109773.630000025</v>
      </c>
      <c r="Q60" s="243">
        <f t="shared" si="12"/>
        <v>-38833229.169999994</v>
      </c>
      <c r="R60" s="243">
        <f t="shared" si="12"/>
        <v>-113252928.06</v>
      </c>
      <c r="S60" s="292">
        <f t="shared" si="3"/>
        <v>-595462970.27999997</v>
      </c>
      <c r="T60" s="293">
        <f t="shared" si="4"/>
        <v>-0.14055208664495114</v>
      </c>
    </row>
    <row r="61" spans="1:21" ht="13.5" thickBot="1">
      <c r="A61" s="170">
        <v>1003</v>
      </c>
      <c r="B61" s="458" t="str">
        <f>+VLOOKUP($A61,[1]Master!$D$25:$G$223,4,FALSE)</f>
        <v>Financing</v>
      </c>
      <c r="C61" s="459"/>
      <c r="D61" s="459"/>
      <c r="E61" s="459"/>
      <c r="F61" s="459"/>
      <c r="G61" s="177">
        <f>+SUM(G62:G65)</f>
        <v>39823112.159999982</v>
      </c>
      <c r="H61" s="177">
        <f t="shared" ref="H61:R61" si="13">+SUM(H62:H65)</f>
        <v>60133759.359999985</v>
      </c>
      <c r="I61" s="177">
        <f t="shared" si="13"/>
        <v>67724231.619999975</v>
      </c>
      <c r="J61" s="177">
        <f t="shared" si="13"/>
        <v>81709792.13000001</v>
      </c>
      <c r="K61" s="177">
        <f t="shared" si="13"/>
        <v>10282100.950000025</v>
      </c>
      <c r="L61" s="177">
        <f t="shared" si="13"/>
        <v>43974636.940000013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11889146.849999972</v>
      </c>
      <c r="P61" s="177">
        <f t="shared" si="13"/>
        <v>25109773.630000025</v>
      </c>
      <c r="Q61" s="177">
        <f t="shared" si="13"/>
        <v>38833229.169999994</v>
      </c>
      <c r="R61" s="177">
        <f t="shared" si="13"/>
        <v>113252928.06</v>
      </c>
      <c r="S61" s="294">
        <f t="shared" si="3"/>
        <v>595462970.27999997</v>
      </c>
      <c r="T61" s="295">
        <f t="shared" si="4"/>
        <v>0.14055208664495114</v>
      </c>
    </row>
    <row r="62" spans="1:21">
      <c r="A62" s="170">
        <v>7511</v>
      </c>
      <c r="B62" s="492" t="str">
        <f>+VLOOKUP($A62,[1]Master!$D$25:$G$223,4,FALSE)</f>
        <v>Domestic Loans and Borrowings</v>
      </c>
      <c r="C62" s="493"/>
      <c r="D62" s="493"/>
      <c r="E62" s="493"/>
      <c r="F62" s="493"/>
      <c r="G62" s="237">
        <v>16700681.109999999</v>
      </c>
      <c r="H62" s="237">
        <v>55339318.890000001</v>
      </c>
      <c r="I62" s="237">
        <v>74583448.420000002</v>
      </c>
      <c r="J62" s="237">
        <v>22911551.579999998</v>
      </c>
      <c r="K62" s="237">
        <v>0</v>
      </c>
      <c r="L62" s="237">
        <v>13000000</v>
      </c>
      <c r="M62" s="237">
        <v>24450000</v>
      </c>
      <c r="N62" s="237">
        <v>50085000</v>
      </c>
      <c r="O62" s="237">
        <v>0</v>
      </c>
      <c r="P62" s="237">
        <v>0</v>
      </c>
      <c r="Q62" s="237">
        <v>0</v>
      </c>
      <c r="R62" s="237">
        <v>3000000</v>
      </c>
      <c r="S62" s="290">
        <f t="shared" si="3"/>
        <v>260070000</v>
      </c>
      <c r="T62" s="291">
        <f t="shared" si="4"/>
        <v>6.1386489165840531E-2</v>
      </c>
    </row>
    <row r="63" spans="1:21">
      <c r="A63" s="170">
        <v>7512</v>
      </c>
      <c r="B63" s="468" t="str">
        <f>+VLOOKUP($A63,[1]Master!$D$25:$G$223,4,FALSE)</f>
        <v>Foreign Loans and Borrowings</v>
      </c>
      <c r="C63" s="469"/>
      <c r="D63" s="469"/>
      <c r="E63" s="469"/>
      <c r="F63" s="469"/>
      <c r="G63" s="237">
        <v>34554.129999999997</v>
      </c>
      <c r="H63" s="237">
        <v>322585.33</v>
      </c>
      <c r="I63" s="237">
        <v>5656594.5499999998</v>
      </c>
      <c r="J63" s="237">
        <v>84125996.959999993</v>
      </c>
      <c r="K63" s="237">
        <v>259019.66</v>
      </c>
      <c r="L63" s="237">
        <v>16146143.310000001</v>
      </c>
      <c r="M63" s="237">
        <v>733759.27</v>
      </c>
      <c r="N63" s="237">
        <v>26168335.57</v>
      </c>
      <c r="O63" s="237">
        <v>43020325.210000001</v>
      </c>
      <c r="P63" s="237">
        <v>20632990.120000001</v>
      </c>
      <c r="Q63" s="237">
        <v>28222092.870000001</v>
      </c>
      <c r="R63" s="237">
        <v>127444455.40000001</v>
      </c>
      <c r="S63" s="290">
        <f t="shared" si="3"/>
        <v>352766852.38</v>
      </c>
      <c r="T63" s="291">
        <f t="shared" si="4"/>
        <v>8.3266499641221736E-2</v>
      </c>
    </row>
    <row r="64" spans="1:21">
      <c r="A64" s="170">
        <v>72</v>
      </c>
      <c r="B64" s="468" t="str">
        <f>+VLOOKUP($A64,[1]Master!$D$25:$G$223,4,FALSE)</f>
        <v>Revenues from Selling Assets</v>
      </c>
      <c r="C64" s="469"/>
      <c r="D64" s="469"/>
      <c r="E64" s="469"/>
      <c r="F64" s="469"/>
      <c r="G64" s="237">
        <v>20867.330000000002</v>
      </c>
      <c r="H64" s="237">
        <v>70916.160000000003</v>
      </c>
      <c r="I64" s="237">
        <v>65967</v>
      </c>
      <c r="J64" s="237">
        <v>1070298.19</v>
      </c>
      <c r="K64" s="237">
        <v>724479.47</v>
      </c>
      <c r="L64" s="237">
        <v>1430729.48</v>
      </c>
      <c r="M64" s="237">
        <v>1009041.84</v>
      </c>
      <c r="N64" s="237">
        <v>73978.179999999993</v>
      </c>
      <c r="O64" s="237">
        <v>167534.29</v>
      </c>
      <c r="P64" s="237">
        <v>68693.73</v>
      </c>
      <c r="Q64" s="237">
        <v>399611.81</v>
      </c>
      <c r="R64" s="237">
        <v>1088997.75</v>
      </c>
      <c r="S64" s="290">
        <f t="shared" si="3"/>
        <v>6191115.2299999995</v>
      </c>
      <c r="T64" s="291">
        <f t="shared" si="4"/>
        <v>1.4613405159797949E-3</v>
      </c>
    </row>
    <row r="65" spans="1:20" ht="13.5" thickBot="1">
      <c r="A65" s="170">
        <v>1004</v>
      </c>
      <c r="B65" s="249" t="str">
        <f>+VLOOKUP($A65,[1]Master!$D$25:$G$223,4,FALSE)</f>
        <v>Increase / decrease of deposits</v>
      </c>
      <c r="C65" s="250"/>
      <c r="D65" s="250"/>
      <c r="E65" s="250"/>
      <c r="F65" s="250"/>
      <c r="G65" s="251">
        <f>-G60-SUM(G62:G64)</f>
        <v>23067009.589999981</v>
      </c>
      <c r="H65" s="251">
        <f t="shared" ref="H65:R65" si="14">-H60-SUM(H62:H64)</f>
        <v>4400938.9799999893</v>
      </c>
      <c r="I65" s="251">
        <f t="shared" si="14"/>
        <v>-12581778.350000024</v>
      </c>
      <c r="J65" s="251">
        <f t="shared" si="14"/>
        <v>-26398054.599999979</v>
      </c>
      <c r="K65" s="251">
        <f t="shared" si="14"/>
        <v>9298601.8200000245</v>
      </c>
      <c r="L65" s="251">
        <f t="shared" si="14"/>
        <v>13397764.15000001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-31298712.650000028</v>
      </c>
      <c r="P65" s="251">
        <f t="shared" si="14"/>
        <v>4408089.7800000235</v>
      </c>
      <c r="Q65" s="251">
        <f t="shared" si="14"/>
        <v>10211524.489999995</v>
      </c>
      <c r="R65" s="251">
        <f t="shared" si="14"/>
        <v>-18280525.090000004</v>
      </c>
      <c r="S65" s="296">
        <f>+SUM(G65:R65)</f>
        <v>-23564997.329999976</v>
      </c>
      <c r="T65" s="297">
        <f t="shared" si="4"/>
        <v>-5.5622426780909161E-3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7" t="str">
        <f>+[1]Master!G250</f>
        <v>Planned Budget Execution</v>
      </c>
      <c r="C101" s="518"/>
      <c r="D101" s="518"/>
      <c r="E101" s="518"/>
      <c r="F101" s="518"/>
      <c r="G101" s="509">
        <v>2017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6" t="str">
        <f>+S7</f>
        <v>GDP</v>
      </c>
      <c r="T101" s="117">
        <f>+T7</f>
        <v>4236600000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09" t="str">
        <f>+[1]Master!G244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+VLOOKUP(LEFT($A104,LEN(A104)-1)*1,[1]Master!$D$25:$G$223,4,FALSE)</f>
        <v>Total Revenues</v>
      </c>
      <c r="C104" s="512"/>
      <c r="D104" s="512"/>
      <c r="E104" s="512"/>
      <c r="F104" s="512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0.36624101011714866</v>
      </c>
    </row>
    <row r="105" spans="1:21">
      <c r="A105" s="138" t="str">
        <f t="shared" si="17"/>
        <v>711p</v>
      </c>
      <c r="B105" s="513" t="str">
        <f>+VLOOKUP(LEFT($A105,LEN(A105)-1)*1,[1]Master!$D$25:$G$223,4,FALSE)</f>
        <v>Taxes</v>
      </c>
      <c r="C105" s="514"/>
      <c r="D105" s="514"/>
      <c r="E105" s="514"/>
      <c r="F105" s="514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0.2228854728472299</v>
      </c>
      <c r="U105" s="303"/>
    </row>
    <row r="106" spans="1:21">
      <c r="A106" s="138" t="str">
        <f t="shared" si="17"/>
        <v>7111p</v>
      </c>
      <c r="B106" s="515" t="str">
        <f>+VLOOKUP(LEFT($A106,LEN(A106)-1)*1,[1]Master!$D$25:$G$223,4,FALSE)</f>
        <v>Personal Income Tax</v>
      </c>
      <c r="C106" s="516"/>
      <c r="D106" s="516"/>
      <c r="E106" s="516"/>
      <c r="F106" s="516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2.9642494343911099E-2</v>
      </c>
    </row>
    <row r="107" spans="1:21">
      <c r="A107" s="138" t="str">
        <f t="shared" si="17"/>
        <v>7112p</v>
      </c>
      <c r="B107" s="515" t="str">
        <f>+VLOOKUP(LEFT($A107,LEN(A107)-1)*1,[1]Master!$D$25:$G$223,4,FALSE)</f>
        <v>Corporate Income Tax</v>
      </c>
      <c r="C107" s="516"/>
      <c r="D107" s="516"/>
      <c r="E107" s="516"/>
      <c r="F107" s="516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1.1075553051043198E-2</v>
      </c>
    </row>
    <row r="108" spans="1:21">
      <c r="A108" s="138" t="str">
        <f t="shared" si="17"/>
        <v>7113p</v>
      </c>
      <c r="B108" s="515" t="str">
        <f>+VLOOKUP(LEFT($A108,LEN(A108)-1)*1,[1]Master!$D$25:$G$223,4,FALSE)</f>
        <v xml:space="preserve">Taxes on Sales of Property </v>
      </c>
      <c r="C108" s="516"/>
      <c r="D108" s="516"/>
      <c r="E108" s="516"/>
      <c r="F108" s="516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5.8051135321773363E-4</v>
      </c>
    </row>
    <row r="109" spans="1:21">
      <c r="A109" s="138" t="str">
        <f t="shared" si="17"/>
        <v>7114p</v>
      </c>
      <c r="B109" s="515" t="str">
        <f>+VLOOKUP(LEFT($A109,LEN(A109)-1)*1,[1]Master!$D$25:$G$223,4,FALSE)</f>
        <v>Value Added Tax</v>
      </c>
      <c r="C109" s="516"/>
      <c r="D109" s="516"/>
      <c r="E109" s="516"/>
      <c r="F109" s="516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0.12386003809211418</v>
      </c>
    </row>
    <row r="110" spans="1:21">
      <c r="A110" s="138" t="str">
        <f t="shared" si="17"/>
        <v>7115p</v>
      </c>
      <c r="B110" s="515" t="str">
        <f>+VLOOKUP(LEFT($A110,LEN(A110)-1)*1,[1]Master!$D$25:$G$223,4,FALSE)</f>
        <v>Excises</v>
      </c>
      <c r="C110" s="516"/>
      <c r="D110" s="516"/>
      <c r="E110" s="516"/>
      <c r="F110" s="516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4.9681654321774633E-2</v>
      </c>
    </row>
    <row r="111" spans="1:21">
      <c r="A111" s="138" t="str">
        <f t="shared" si="17"/>
        <v>7116p</v>
      </c>
      <c r="B111" s="515" t="str">
        <f>+VLOOKUP(LEFT($A111,LEN(A111)-1)*1,[1]Master!$D$25:$G$223,4,FALSE)</f>
        <v>Tax on International Trade and Transactions</v>
      </c>
      <c r="C111" s="516"/>
      <c r="D111" s="516"/>
      <c r="E111" s="516"/>
      <c r="F111" s="516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5.7656478131817507E-3</v>
      </c>
    </row>
    <row r="112" spans="1:21">
      <c r="A112" s="138" t="str">
        <f t="shared" si="17"/>
        <v>7118p</v>
      </c>
      <c r="B112" s="515" t="str">
        <f>+VLOOKUP(LEFT($A112,LEN(A112)-1)*1,[1]Master!$D$25:$G$223,4,FALSE)</f>
        <v>Other Republic Taxes</v>
      </c>
      <c r="C112" s="516"/>
      <c r="D112" s="516"/>
      <c r="E112" s="516"/>
      <c r="F112" s="516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2.2795738719872814E-3</v>
      </c>
    </row>
    <row r="113" spans="1:20">
      <c r="A113" s="138" t="str">
        <f t="shared" si="17"/>
        <v>712p</v>
      </c>
      <c r="B113" s="528" t="str">
        <f>+VLOOKUP(LEFT($A113,LEN(A113)-1)*1,[1]Master!$D$25:$G$223,4,FALSE)</f>
        <v>Contributions</v>
      </c>
      <c r="C113" s="529"/>
      <c r="D113" s="529"/>
      <c r="E113" s="529"/>
      <c r="F113" s="52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0.1161678685864788</v>
      </c>
    </row>
    <row r="114" spans="1:20">
      <c r="A114" s="138" t="str">
        <f t="shared" si="17"/>
        <v>7121p</v>
      </c>
      <c r="B114" s="515" t="str">
        <f>+VLOOKUP(LEFT($A114,LEN(A114)-1)*1,[1]Master!$D$25:$G$223,4,FALSE)</f>
        <v>Contributions for Pension and Disability Insurance</v>
      </c>
      <c r="C114" s="516"/>
      <c r="D114" s="516"/>
      <c r="E114" s="516"/>
      <c r="F114" s="516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6.9303879016515357E-2</v>
      </c>
    </row>
    <row r="115" spans="1:20">
      <c r="A115" s="138" t="str">
        <f t="shared" si="17"/>
        <v>7122p</v>
      </c>
      <c r="B115" s="515" t="str">
        <f>+VLOOKUP(LEFT($A115,LEN(A115)-1)*1,[1]Master!$D$25:$G$223,4,FALSE)</f>
        <v>Contributions for Health Insurance</v>
      </c>
      <c r="C115" s="516"/>
      <c r="D115" s="516"/>
      <c r="E115" s="516"/>
      <c r="F115" s="516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4.0686619642692726E-2</v>
      </c>
    </row>
    <row r="116" spans="1:20">
      <c r="A116" s="138" t="str">
        <f t="shared" si="17"/>
        <v>7123p</v>
      </c>
      <c r="B116" s="515" t="str">
        <f>+VLOOKUP(LEFT($A116,LEN(A116)-1)*1,[1]Master!$D$25:$G$223,4,FALSE)</f>
        <v>Contributions for  Unemployment Insurance</v>
      </c>
      <c r="C116" s="516"/>
      <c r="D116" s="516"/>
      <c r="E116" s="516"/>
      <c r="F116" s="516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3.2804370857444885E-3</v>
      </c>
    </row>
    <row r="117" spans="1:20">
      <c r="A117" s="138" t="str">
        <f t="shared" si="17"/>
        <v>7124p</v>
      </c>
      <c r="B117" s="515" t="str">
        <f>+VLOOKUP(LEFT($A117,LEN(A117)-1)*1,[1]Master!$D$25:$G$223,4,FALSE)</f>
        <v>Other contributions</v>
      </c>
      <c r="C117" s="516"/>
      <c r="D117" s="516"/>
      <c r="E117" s="516"/>
      <c r="F117" s="516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2.8969328415262246E-3</v>
      </c>
    </row>
    <row r="118" spans="1:20">
      <c r="A118" s="138" t="str">
        <f t="shared" si="17"/>
        <v>713p</v>
      </c>
      <c r="B118" s="526" t="str">
        <f>+VLOOKUP(LEFT($A118,LEN(A118)-1)*1,[1]Master!$D$25:$G$223,4,FALSE)</f>
        <v>Duties</v>
      </c>
      <c r="C118" s="527"/>
      <c r="D118" s="527"/>
      <c r="E118" s="527"/>
      <c r="F118" s="527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3.264947337973704E-3</v>
      </c>
    </row>
    <row r="119" spans="1:20">
      <c r="A119" s="138" t="str">
        <f t="shared" si="17"/>
        <v>714p</v>
      </c>
      <c r="B119" s="526" t="str">
        <f>+VLOOKUP(LEFT($A119,LEN(A119)-1)*1,[1]Master!$D$25:$G$223,4,FALSE)</f>
        <v>Fees</v>
      </c>
      <c r="C119" s="527"/>
      <c r="D119" s="527"/>
      <c r="E119" s="527"/>
      <c r="F119" s="527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5.5349292763696911E-3</v>
      </c>
    </row>
    <row r="120" spans="1:20">
      <c r="A120" s="138" t="str">
        <f t="shared" si="17"/>
        <v>715p</v>
      </c>
      <c r="B120" s="526" t="str">
        <f>+VLOOKUP(LEFT($A120,LEN(A120)-1)*1,[1]Master!$D$25:$G$223,4,FALSE)</f>
        <v>Other revenues</v>
      </c>
      <c r="C120" s="527"/>
      <c r="D120" s="527"/>
      <c r="E120" s="527"/>
      <c r="F120" s="527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8.8257414462336523E-3</v>
      </c>
    </row>
    <row r="121" spans="1:20">
      <c r="A121" s="138" t="str">
        <f t="shared" si="17"/>
        <v>73p</v>
      </c>
      <c r="B121" s="526" t="str">
        <f>+VLOOKUP(LEFT($A121,LEN(A121)-1)*1,[1]Master!$D$25:$G$223,4,FALSE)</f>
        <v>Receipts from Repayment of Loans and Funds Carried over from Previous Year</v>
      </c>
      <c r="C121" s="527"/>
      <c r="D121" s="527"/>
      <c r="E121" s="527"/>
      <c r="F121" s="527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1.2535013144552357E-3</v>
      </c>
    </row>
    <row r="122" spans="1:20" ht="13.5" thickBot="1">
      <c r="A122" s="138" t="str">
        <f t="shared" si="17"/>
        <v>74p</v>
      </c>
      <c r="B122" s="530" t="str">
        <f>+VLOOKUP(LEFT($A122,LEN(A122)-1)*1,[1]Master!$D$25:$G$223,4,FALSE)</f>
        <v>Grants and Transfers</v>
      </c>
      <c r="C122" s="531"/>
      <c r="D122" s="531"/>
      <c r="E122" s="531"/>
      <c r="F122" s="531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8.3085493084076849E-3</v>
      </c>
    </row>
    <row r="123" spans="1:20" ht="13.5" thickBot="1">
      <c r="A123" s="138" t="str">
        <f t="shared" si="17"/>
        <v>4p</v>
      </c>
      <c r="B123" s="532" t="str">
        <f>+VLOOKUP(LEFT($A123,LEN(A123)-1)*1,[1]Master!$D$25:$G$223,4,FALSE)</f>
        <v>Total Expenditures</v>
      </c>
      <c r="C123" s="533"/>
      <c r="D123" s="533"/>
      <c r="E123" s="533"/>
      <c r="F123" s="533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0.42155966474531459</v>
      </c>
    </row>
    <row r="124" spans="1:20" ht="13.5" thickBot="1">
      <c r="A124" s="138" t="str">
        <f t="shared" si="17"/>
        <v>41p</v>
      </c>
      <c r="B124" s="534" t="str">
        <f>+VLOOKUP(LEFT($A124,LEN(A124)-1)*1,[1]Master!$D$25:$G$223,4,FALSE)</f>
        <v>Current Expenditures</v>
      </c>
      <c r="C124" s="535"/>
      <c r="D124" s="535"/>
      <c r="E124" s="535"/>
      <c r="F124" s="53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0.3547422639947127</v>
      </c>
    </row>
    <row r="125" spans="1:20">
      <c r="A125" s="138" t="str">
        <f t="shared" si="17"/>
        <v>40p</v>
      </c>
      <c r="B125" s="536" t="str">
        <f>+VLOOKUP(LEFT($A125,LEN(A125)-1)*1,[1]Master!$D$25:$G$223,4,FALSE)</f>
        <v>Current Budgetary Expenditures</v>
      </c>
      <c r="C125" s="537"/>
      <c r="D125" s="537"/>
      <c r="E125" s="537"/>
      <c r="F125" s="53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0.17725518026719536</v>
      </c>
    </row>
    <row r="126" spans="1:20">
      <c r="A126" s="138" t="str">
        <f t="shared" si="17"/>
        <v>411p</v>
      </c>
      <c r="B126" s="515" t="str">
        <f>+VLOOKUP(LEFT($A126,LEN(A126)-1)*1,[1]Master!$D$25:$G$223,4,FALSE)</f>
        <v>Gross Salaries and Contributions</v>
      </c>
      <c r="C126" s="516"/>
      <c r="D126" s="516"/>
      <c r="E126" s="516"/>
      <c r="F126" s="516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0.10344291176415049</v>
      </c>
    </row>
    <row r="127" spans="1:20">
      <c r="A127" s="138" t="str">
        <f t="shared" si="17"/>
        <v>412p</v>
      </c>
      <c r="B127" s="515" t="str">
        <f>+VLOOKUP(LEFT($A127,LEN(A127)-1)*1,[1]Master!$D$25:$G$223,4,FALSE)</f>
        <v>Other Personal Income</v>
      </c>
      <c r="C127" s="516"/>
      <c r="D127" s="516"/>
      <c r="E127" s="516"/>
      <c r="F127" s="516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2.4047932233394712E-3</v>
      </c>
    </row>
    <row r="128" spans="1:20">
      <c r="A128" s="138" t="str">
        <f t="shared" si="17"/>
        <v>413p</v>
      </c>
      <c r="B128" s="515" t="str">
        <f>+VLOOKUP(LEFT($A128,LEN(A128)-1)*1,[1]Master!$D$25:$G$223,4,FALSE)</f>
        <v>Expenditures for Supplies</v>
      </c>
      <c r="C128" s="516"/>
      <c r="D128" s="516"/>
      <c r="E128" s="516"/>
      <c r="F128" s="516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6.9860531794363389E-3</v>
      </c>
    </row>
    <row r="129" spans="1:20">
      <c r="A129" s="138" t="str">
        <f t="shared" si="17"/>
        <v>414p</v>
      </c>
      <c r="B129" s="515" t="str">
        <f>+VLOOKUP(LEFT($A129,LEN(A129)-1)*1,[1]Master!$D$25:$G$223,4,FALSE)</f>
        <v>Expenditures for Services</v>
      </c>
      <c r="C129" s="516"/>
      <c r="D129" s="516"/>
      <c r="E129" s="516"/>
      <c r="F129" s="516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1.2515873799745081E-2</v>
      </c>
    </row>
    <row r="130" spans="1:20">
      <c r="A130" s="138" t="str">
        <f t="shared" si="17"/>
        <v>415p</v>
      </c>
      <c r="B130" s="515" t="str">
        <f>+VLOOKUP(LEFT($A130,LEN(A130)-1)*1,[1]Master!$D$25:$G$223,4,FALSE)</f>
        <v>Current Maintenance</v>
      </c>
      <c r="C130" s="516"/>
      <c r="D130" s="516"/>
      <c r="E130" s="516"/>
      <c r="F130" s="516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5.0103785299532647E-3</v>
      </c>
    </row>
    <row r="131" spans="1:20">
      <c r="A131" s="138" t="str">
        <f t="shared" si="17"/>
        <v>416p</v>
      </c>
      <c r="B131" s="515" t="str">
        <f>+VLOOKUP(LEFT($A131,LEN(A131)-1)*1,[1]Master!$D$25:$G$223,4,FALSE)</f>
        <v>Interests</v>
      </c>
      <c r="C131" s="516"/>
      <c r="D131" s="516"/>
      <c r="E131" s="516"/>
      <c r="F131" s="516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2.2509471252891471E-2</v>
      </c>
    </row>
    <row r="132" spans="1:20">
      <c r="A132" s="138" t="str">
        <f t="shared" si="17"/>
        <v>417p</v>
      </c>
      <c r="B132" s="515" t="str">
        <f>+VLOOKUP(LEFT($A132,LEN(A132)-1)*1,[1]Master!$D$25:$G$223,4,FALSE)</f>
        <v>Rent</v>
      </c>
      <c r="C132" s="516"/>
      <c r="D132" s="516"/>
      <c r="E132" s="516"/>
      <c r="F132" s="516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2.2007693716659588E-3</v>
      </c>
    </row>
    <row r="133" spans="1:20">
      <c r="A133" s="138" t="str">
        <f t="shared" si="17"/>
        <v>418p</v>
      </c>
      <c r="B133" s="515" t="str">
        <f>+VLOOKUP(LEFT($A133,LEN(A133)-1)*1,[1]Master!$D$25:$G$223,4,FALSE)</f>
        <v>Subsidies</v>
      </c>
      <c r="C133" s="516"/>
      <c r="D133" s="516"/>
      <c r="E133" s="516"/>
      <c r="F133" s="516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5.8825001132983999E-3</v>
      </c>
    </row>
    <row r="134" spans="1:20">
      <c r="A134" s="138" t="str">
        <f t="shared" si="17"/>
        <v>419p</v>
      </c>
      <c r="B134" s="515" t="str">
        <f>+VLOOKUP(LEFT($A134,LEN(A134)-1)*1,[1]Master!$D$25:$G$223,4,FALSE)</f>
        <v>Other expenditures</v>
      </c>
      <c r="C134" s="516"/>
      <c r="D134" s="516"/>
      <c r="E134" s="516"/>
      <c r="F134" s="516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7.7798110607562665E-3</v>
      </c>
    </row>
    <row r="135" spans="1:20">
      <c r="A135" s="138" t="str">
        <f t="shared" si="17"/>
        <v>440p</v>
      </c>
      <c r="B135" s="515" t="str">
        <f>+VLOOKUP(LEFT($A135,LEN(A135)-1)*1,[1]Master!$D$25:$G$223,4,FALSE)</f>
        <v>Current Capital Expenditure</v>
      </c>
      <c r="C135" s="516"/>
      <c r="D135" s="516"/>
      <c r="E135" s="516"/>
      <c r="F135" s="516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8.5226179719586452E-3</v>
      </c>
    </row>
    <row r="136" spans="1:20">
      <c r="A136" s="138" t="str">
        <f t="shared" si="17"/>
        <v>42p</v>
      </c>
      <c r="B136" s="542" t="str">
        <f>+VLOOKUP(LEFT($A136,LEN(A136)-1)*1,[1]Master!$D$25:$G$223,4,FALSE)</f>
        <v>Social Security Transfers</v>
      </c>
      <c r="C136" s="543"/>
      <c r="D136" s="543"/>
      <c r="E136" s="543"/>
      <c r="F136" s="543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0.13475855756974933</v>
      </c>
    </row>
    <row r="137" spans="1:20">
      <c r="A137" s="138" t="str">
        <f t="shared" si="17"/>
        <v>421p</v>
      </c>
      <c r="B137" s="515" t="str">
        <f>+VLOOKUP(LEFT($A137,LEN(A137)-1)*1,[1]Master!$D$25:$G$223,4,FALSE)</f>
        <v>Social Security</v>
      </c>
      <c r="C137" s="516"/>
      <c r="D137" s="516"/>
      <c r="E137" s="516"/>
      <c r="F137" s="516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2.7077284851059816E-2</v>
      </c>
    </row>
    <row r="138" spans="1:20">
      <c r="A138" s="138" t="str">
        <f t="shared" si="17"/>
        <v>422p</v>
      </c>
      <c r="B138" s="515" t="str">
        <f>+VLOOKUP(LEFT($A138,LEN(A138)-1)*1,[1]Master!$D$25:$G$223,4,FALSE)</f>
        <v>Funds for redundant labor</v>
      </c>
      <c r="C138" s="516"/>
      <c r="D138" s="516"/>
      <c r="E138" s="516"/>
      <c r="F138" s="516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4.8615587971486572E-3</v>
      </c>
    </row>
    <row r="139" spans="1:20">
      <c r="A139" s="138" t="str">
        <f t="shared" si="17"/>
        <v>423p</v>
      </c>
      <c r="B139" s="515" t="str">
        <f>+VLOOKUP(LEFT($A139,LEN(A139)-1)*1,[1]Master!$D$25:$G$223,4,FALSE)</f>
        <v>Pension and Disability Insurance</v>
      </c>
      <c r="C139" s="516"/>
      <c r="D139" s="516"/>
      <c r="E139" s="516"/>
      <c r="F139" s="516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9.7047160458858514E-2</v>
      </c>
    </row>
    <row r="140" spans="1:20">
      <c r="A140" s="138" t="str">
        <f t="shared" si="17"/>
        <v>424p</v>
      </c>
      <c r="B140" s="515" t="str">
        <f>+VLOOKUP(LEFT($A140,LEN(A140)-1)*1,[1]Master!$D$25:$G$223,4,FALSE)</f>
        <v>Other Health Care Transfers</v>
      </c>
      <c r="C140" s="516"/>
      <c r="D140" s="516"/>
      <c r="E140" s="516"/>
      <c r="F140" s="516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3.7603266770523539E-3</v>
      </c>
    </row>
    <row r="141" spans="1:20">
      <c r="A141" s="138" t="str">
        <f t="shared" si="17"/>
        <v>425p</v>
      </c>
      <c r="B141" s="515" t="str">
        <f>+VLOOKUP(LEFT($A141,LEN(A141)-1)*1,[1]Master!$D$25:$G$223,4,FALSE)</f>
        <v>Other Health Care Insurance</v>
      </c>
      <c r="C141" s="516"/>
      <c r="D141" s="516"/>
      <c r="E141" s="516"/>
      <c r="F141" s="516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2.0122267856299866E-3</v>
      </c>
    </row>
    <row r="142" spans="1:20">
      <c r="A142" s="138" t="str">
        <f t="shared" si="17"/>
        <v>43p</v>
      </c>
      <c r="B142" s="538" t="str">
        <f>+VLOOKUP(LEFT($A142,LEN(A142)-1)*1,[1]Master!$D$25:$G$223,4,FALSE)</f>
        <v xml:space="preserve">Transfers to Institutions, Individuals, NGO and Public Sector </v>
      </c>
      <c r="C142" s="539"/>
      <c r="D142" s="539"/>
      <c r="E142" s="539"/>
      <c r="F142" s="53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3.8781098059764894E-2</v>
      </c>
    </row>
    <row r="143" spans="1:20">
      <c r="A143" s="138" t="str">
        <f t="shared" si="17"/>
        <v>44p</v>
      </c>
      <c r="B143" s="538" t="str">
        <f>+VLOOKUP(LEFT($A143,LEN(A143)-1)*1,[1]Master!$D$25:$G$223,4,FALSE)</f>
        <v>Capital Expenditure</v>
      </c>
      <c r="C143" s="539"/>
      <c r="D143" s="539"/>
      <c r="E143" s="539"/>
      <c r="F143" s="53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6.6817400750601913E-2</v>
      </c>
    </row>
    <row r="144" spans="1:20">
      <c r="A144" s="138" t="str">
        <f t="shared" si="17"/>
        <v>451p</v>
      </c>
      <c r="B144" s="540" t="str">
        <f>+VLOOKUP(LEFT($A144,LEN(A144)-1)*1,[1]Master!$D$25:$G$223,4,FALSE)</f>
        <v>Credits and Borrowings</v>
      </c>
      <c r="C144" s="541"/>
      <c r="D144" s="541"/>
      <c r="E144" s="541"/>
      <c r="F144" s="54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5.7239295661615447E-4</v>
      </c>
    </row>
    <row r="145" spans="1:20">
      <c r="A145" s="138" t="str">
        <f t="shared" si="17"/>
        <v>47p</v>
      </c>
      <c r="B145" s="540" t="str">
        <f>+VLOOKUP(LEFT($A145,LEN(A145)-1)*1,[1]Master!$D$25:$G$223,4,FALSE)</f>
        <v>Reserves</v>
      </c>
      <c r="C145" s="541"/>
      <c r="D145" s="541"/>
      <c r="E145" s="541"/>
      <c r="F145" s="54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3.3750351413869605E-3</v>
      </c>
    </row>
    <row r="146" spans="1:20">
      <c r="A146" s="138" t="str">
        <f t="shared" si="17"/>
        <v>462p</v>
      </c>
      <c r="B146" s="540" t="str">
        <f>+VLOOKUP(LEFT($A146,LEN(A146)-1)*1,[1]Master!$D$25:$G$223,4,FALSE)</f>
        <v>Repayment of Guarantees</v>
      </c>
      <c r="C146" s="541"/>
      <c r="D146" s="541"/>
      <c r="E146" s="541"/>
      <c r="F146" s="54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2" t="s">
        <v>700</v>
      </c>
      <c r="C147" s="423"/>
      <c r="D147" s="423"/>
      <c r="E147" s="423"/>
      <c r="F147" s="423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48" t="str">
        <f>+VLOOKUP(LEFT($A148,LEN(A148)-1)*1,[1]Master!$D$25:$G$223,4,FALSE)</f>
        <v>Surplus / deficit</v>
      </c>
      <c r="C148" s="549"/>
      <c r="D148" s="549"/>
      <c r="E148" s="549"/>
      <c r="F148" s="549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-5.5318654628165979E-2</v>
      </c>
    </row>
    <row r="149" spans="1:20" ht="13.5" thickBot="1">
      <c r="A149" s="139" t="str">
        <f>+CONCATENATE(A56,"p")</f>
        <v>1001p</v>
      </c>
      <c r="B149" s="550" t="str">
        <f>+VLOOKUP(LEFT($A149,LEN(A149)-1)*1,[1]Master!$D$25:$G$223,4,FALSE)</f>
        <v>Primary balance</v>
      </c>
      <c r="C149" s="551"/>
      <c r="D149" s="551"/>
      <c r="E149" s="551"/>
      <c r="F149" s="551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-3.2809183375274505E-2</v>
      </c>
    </row>
    <row r="150" spans="1:20">
      <c r="A150" s="139" t="str">
        <f>+CONCATENATE(A57,"p")</f>
        <v>46p</v>
      </c>
      <c r="B150" s="542" t="str">
        <f>+VLOOKUP(LEFT($A150,LEN(A150)-1)*1,[1]Master!$D$25:$G$223,4,FALSE)</f>
        <v>Repayment of Debt</v>
      </c>
      <c r="C150" s="543"/>
      <c r="D150" s="543"/>
      <c r="E150" s="543"/>
      <c r="F150" s="543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5.2026507848274554E-2</v>
      </c>
    </row>
    <row r="151" spans="1:20">
      <c r="A151" s="139" t="str">
        <f>+CONCATENATE(A58,"p")</f>
        <v>4611p</v>
      </c>
      <c r="B151" s="546" t="str">
        <f>+VLOOKUP(LEFT($A151,LEN(A151)-1)*1,[1]Master!$D$25:$G$223,4,FALSE)</f>
        <v>Repayment of Domestic Debt</v>
      </c>
      <c r="C151" s="547"/>
      <c r="D151" s="547"/>
      <c r="E151" s="547"/>
      <c r="F151" s="547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1.225318466458953E-2</v>
      </c>
    </row>
    <row r="152" spans="1:20">
      <c r="A152" s="139" t="str">
        <f>+CONCATENATE(A59,"p")</f>
        <v>4612p</v>
      </c>
      <c r="B152" s="540" t="str">
        <f>+VLOOKUP(LEFT($A152,LEN(A152)-1)*1,[1]Master!$D$25:$G$223,4,FALSE)</f>
        <v>Repayment of Foreign Debt</v>
      </c>
      <c r="C152" s="541"/>
      <c r="D152" s="541"/>
      <c r="E152" s="541"/>
      <c r="F152" s="54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3.1814937024972852E-2</v>
      </c>
    </row>
    <row r="153" spans="1:20" ht="13.5" thickBot="1">
      <c r="A153" s="139" t="str">
        <f>+CONCATENATE(A53,"p")</f>
        <v>4630p</v>
      </c>
      <c r="B153" s="552" t="str">
        <f>+VLOOKUP(LEFT($A153,LEN(A153)-1)*1,[1]Master!$D$25:$G$223,4,FALSE)</f>
        <v>Repayments of Arrears</v>
      </c>
      <c r="C153" s="553"/>
      <c r="D153" s="553"/>
      <c r="E153" s="553"/>
      <c r="F153" s="55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7.9583861587121767E-3</v>
      </c>
    </row>
    <row r="154" spans="1:20" ht="13.5" thickBot="1">
      <c r="A154" s="139" t="str">
        <f t="shared" ref="A154:A159" si="30">+CONCATENATE(A60,"p")</f>
        <v>1002p</v>
      </c>
      <c r="B154" s="544" t="str">
        <f>+VLOOKUP(LEFT($A154,LEN(A154)-1)*1,[1]Master!$D$25:$G$223,4,FALSE)</f>
        <v>Financing needs</v>
      </c>
      <c r="C154" s="545"/>
      <c r="D154" s="545"/>
      <c r="E154" s="545"/>
      <c r="F154" s="54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-0.10734516247644055</v>
      </c>
    </row>
    <row r="155" spans="1:20" ht="13.5" thickBot="1">
      <c r="A155" s="139" t="str">
        <f t="shared" si="30"/>
        <v>1003p</v>
      </c>
      <c r="B155" s="532" t="str">
        <f>+VLOOKUP(LEFT($A155,LEN(A155)-1)*1,[1]Master!$D$25:$G$223,4,FALSE)</f>
        <v>Financing</v>
      </c>
      <c r="C155" s="533"/>
      <c r="D155" s="533"/>
      <c r="E155" s="533"/>
      <c r="F155" s="533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0.10734516247644055</v>
      </c>
    </row>
    <row r="156" spans="1:20">
      <c r="A156" s="139" t="str">
        <f t="shared" si="30"/>
        <v>7511p</v>
      </c>
      <c r="B156" s="546" t="str">
        <f>+VLOOKUP(LEFT($A156,LEN(A156)-1)*1,[1]Master!$D$25:$G$223,4,FALSE)</f>
        <v>Domestic Loans and Borrowings</v>
      </c>
      <c r="C156" s="547"/>
      <c r="D156" s="547"/>
      <c r="E156" s="547"/>
      <c r="F156" s="547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2.3603833262521828E-2</v>
      </c>
    </row>
    <row r="157" spans="1:20">
      <c r="A157" s="139" t="str">
        <f t="shared" si="30"/>
        <v>7512p</v>
      </c>
      <c r="B157" s="540" t="str">
        <f>+VLOOKUP(LEFT($A157,LEN(A157)-1)*1,[1]Master!$D$25:$G$223,4,FALSE)</f>
        <v>Foreign Loans and Borrowings</v>
      </c>
      <c r="C157" s="541"/>
      <c r="D157" s="541"/>
      <c r="E157" s="541"/>
      <c r="F157" s="54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8.3598598790272843E-2</v>
      </c>
    </row>
    <row r="158" spans="1:20">
      <c r="A158" s="139" t="str">
        <f t="shared" si="30"/>
        <v>72p</v>
      </c>
      <c r="B158" s="540" t="str">
        <f>+VLOOKUP(LEFT($A158,LEN(A158)-1)*1,[1]Master!$D$25:$G$223,4,FALSE)</f>
        <v>Revenues from Selling Assets</v>
      </c>
      <c r="C158" s="541"/>
      <c r="D158" s="541"/>
      <c r="E158" s="541"/>
      <c r="F158" s="54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1.4273042364585436E-4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498" t="str">
        <f>+Master!G249</f>
        <v>Ostvarenje budžeta</v>
      </c>
      <c r="C7" s="479"/>
      <c r="D7" s="479"/>
      <c r="E7" s="479"/>
      <c r="F7" s="479"/>
      <c r="G7" s="487">
        <v>2016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1" t="str">
        <f>+Master!G246</f>
        <v>BDP</v>
      </c>
      <c r="T7" s="262">
        <v>3773000000</v>
      </c>
    </row>
    <row r="8" spans="1:20" ht="16.5" customHeight="1">
      <c r="A8" s="170"/>
      <c r="B8" s="480"/>
      <c r="C8" s="481"/>
      <c r="D8" s="481"/>
      <c r="E8" s="481"/>
      <c r="F8" s="482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87" t="str">
        <f>+Master!G243</f>
        <v>Jan - Maj</v>
      </c>
      <c r="T8" s="491"/>
    </row>
    <row r="9" spans="1:20" ht="13.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2016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6" t="str">
        <f>+S7</f>
        <v>BDP</v>
      </c>
      <c r="T101" s="117">
        <f>+T7</f>
        <v>3773000000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540" t="str">
        <f>+VLOOKUP(LEFT($A146,LEN(A146)-1)*1,Master!$D$25:$G$223,4,FALSE)</f>
        <v>Otplata garancija</v>
      </c>
      <c r="C146" s="541"/>
      <c r="D146" s="541"/>
      <c r="E146" s="541"/>
      <c r="F146" s="541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498" t="str">
        <f>+Master!G249</f>
        <v>Ostvarenje budžeta</v>
      </c>
      <c r="C7" s="479"/>
      <c r="D7" s="479"/>
      <c r="E7" s="479"/>
      <c r="F7" s="479"/>
      <c r="G7" s="487">
        <v>2015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1" t="str">
        <f>+Master!G246</f>
        <v>BDP</v>
      </c>
      <c r="T7" s="262">
        <v>3625000000</v>
      </c>
    </row>
    <row r="8" spans="1:20" ht="16.5" customHeight="1">
      <c r="A8" s="170"/>
      <c r="B8" s="480"/>
      <c r="C8" s="481"/>
      <c r="D8" s="481"/>
      <c r="E8" s="481"/>
      <c r="F8" s="482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87" t="s">
        <v>741</v>
      </c>
      <c r="T8" s="491"/>
    </row>
    <row r="9" spans="1:20" ht="13.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2015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6" t="str">
        <f>+S7</f>
        <v>BDP</v>
      </c>
      <c r="T101" s="117">
        <f>+T7</f>
        <v>3625000000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552" t="str">
        <f>+VLOOKUP(LEFT($A146,LEN(A146)-1)*1,Master!$D$25:$G$223,4,FALSE)</f>
        <v>Otplata garancija</v>
      </c>
      <c r="C146" s="553"/>
      <c r="D146" s="553"/>
      <c r="E146" s="553"/>
      <c r="F146" s="553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548" t="str">
        <f>+VLOOKUP(LEFT($A147,LEN(A147)-1)*1,Master!$D$25:$G$223,4,FALSE)</f>
        <v>Suficit / deficit</v>
      </c>
      <c r="C147" s="549"/>
      <c r="D147" s="549"/>
      <c r="E147" s="549"/>
      <c r="F147" s="549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550" t="str">
        <f>+VLOOKUP(LEFT($A148,LEN(A148)-1)*1,Master!$D$25:$G$223,4,FALSE)</f>
        <v>Primarni bilans</v>
      </c>
      <c r="C148" s="551"/>
      <c r="D148" s="551"/>
      <c r="E148" s="551"/>
      <c r="F148" s="551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542" t="str">
        <f>+VLOOKUP(LEFT($A149,LEN(A149)-1)*1,Master!$D$25:$G$223,4,FALSE)</f>
        <v>Otplata dugova</v>
      </c>
      <c r="C149" s="543"/>
      <c r="D149" s="543"/>
      <c r="E149" s="543"/>
      <c r="F149" s="543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546" t="str">
        <f>+VLOOKUP(LEFT($A150,LEN(A150)-1)*1,Master!$D$25:$G$223,4,FALSE)</f>
        <v>Otplata hartija od vrijednosti i kredita rezidentima</v>
      </c>
      <c r="C150" s="547"/>
      <c r="D150" s="547"/>
      <c r="E150" s="547"/>
      <c r="F150" s="547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540" t="str">
        <f>+VLOOKUP(LEFT($A151,LEN(A151)-1)*1,Master!$D$25:$G$223,4,FALSE)</f>
        <v>Otplata hartija od vrijednosti i kredita nerezidentima</v>
      </c>
      <c r="C151" s="541"/>
      <c r="D151" s="541"/>
      <c r="E151" s="541"/>
      <c r="F151" s="54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552" t="str">
        <f>+VLOOKUP(LEFT($A152,LEN(A152)-1)*1,Master!$D$25:$G$223,4,FALSE)</f>
        <v>Otplata obaveza iz prethodnih godina</v>
      </c>
      <c r="C152" s="553"/>
      <c r="D152" s="553"/>
      <c r="E152" s="553"/>
      <c r="F152" s="55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544" t="str">
        <f>+VLOOKUP(LEFT($A153,LEN(A153)-1)*1,Master!$D$25:$G$223,4,FALSE)</f>
        <v>Nedostajuća sredstva</v>
      </c>
      <c r="C153" s="545"/>
      <c r="D153" s="545"/>
      <c r="E153" s="545"/>
      <c r="F153" s="54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532" t="str">
        <f>+VLOOKUP(LEFT($A154,LEN(A154)-1)*1,Master!$D$25:$G$223,4,FALSE)</f>
        <v>Finansiranje</v>
      </c>
      <c r="C154" s="533"/>
      <c r="D154" s="533"/>
      <c r="E154" s="533"/>
      <c r="F154" s="533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546" t="str">
        <f>+VLOOKUP(LEFT($A155,LEN(A155)-1)*1,Master!$D$25:$G$223,4,FALSE)</f>
        <v>Pozajmice i krediti od domaćih izvora</v>
      </c>
      <c r="C155" s="547"/>
      <c r="D155" s="547"/>
      <c r="E155" s="547"/>
      <c r="F155" s="547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540" t="str">
        <f>+VLOOKUP(LEFT($A156,LEN(A156)-1)*1,Master!$D$25:$G$223,4,FALSE)</f>
        <v>Pozajmice i krediti od inostranih izvora</v>
      </c>
      <c r="C156" s="541"/>
      <c r="D156" s="541"/>
      <c r="E156" s="541"/>
      <c r="F156" s="54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540" t="str">
        <f>+VLOOKUP(LEFT($A157,LEN(A157)-1)*1,Master!$D$25:$G$223,4,FALSE)</f>
        <v>Primici od prodaje imovine</v>
      </c>
      <c r="C157" s="541"/>
      <c r="D157" s="541"/>
      <c r="E157" s="541"/>
      <c r="F157" s="54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498" t="str">
        <f>+Master!G249</f>
        <v>Ostvarenje budžeta</v>
      </c>
      <c r="C7" s="479"/>
      <c r="D7" s="479"/>
      <c r="E7" s="479"/>
      <c r="F7" s="479"/>
      <c r="G7" s="487">
        <v>2014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1" t="str">
        <f>+Master!G246</f>
        <v>BDP</v>
      </c>
      <c r="T7" s="262">
        <v>3457880000</v>
      </c>
    </row>
    <row r="8" spans="1:20" ht="16.5" customHeight="1">
      <c r="A8" s="170"/>
      <c r="B8" s="480"/>
      <c r="C8" s="481"/>
      <c r="D8" s="481"/>
      <c r="E8" s="481"/>
      <c r="F8" s="482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87" t="s">
        <v>706</v>
      </c>
      <c r="T8" s="491"/>
    </row>
    <row r="9" spans="1:20" ht="13.5" thickBot="1">
      <c r="A9" s="170"/>
      <c r="B9" s="483"/>
      <c r="C9" s="484"/>
      <c r="D9" s="484"/>
      <c r="E9" s="484"/>
      <c r="F9" s="485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54" t="str">
        <f>+VLOOKUP($A55,Master!$D$25:$G$223,4,FALSE)</f>
        <v>Suficit / deficit</v>
      </c>
      <c r="C55" s="555"/>
      <c r="D55" s="555"/>
      <c r="E55" s="555"/>
      <c r="F55" s="555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2014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6" t="str">
        <f>+S7</f>
        <v>BDP</v>
      </c>
      <c r="T101" s="117">
        <v>3393200615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11" si="16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515" t="e">
        <f>+VLOOKUP(LEFT($A112,LEN(A112)-1)*1,Master!$D$25:$G$223,4,FALSE)</f>
        <v>#REF!</v>
      </c>
      <c r="C112" s="516"/>
      <c r="D112" s="516"/>
      <c r="E112" s="516"/>
      <c r="F112" s="516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552" t="str">
        <f>+VLOOKUP(LEFT($A147,LEN(A147)-1)*1,Master!$D$25:$G$223,4,FALSE)</f>
        <v>Otplata garancija</v>
      </c>
      <c r="C147" s="553"/>
      <c r="D147" s="553"/>
      <c r="E147" s="553"/>
      <c r="F147" s="553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10"/>
      <c r="V7" s="361"/>
      <c r="W7" s="116" t="str">
        <f>+Master!G246</f>
        <v>BDP</v>
      </c>
      <c r="X7" s="117">
        <v>3327000000</v>
      </c>
    </row>
    <row r="8" spans="1:24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09" t="s">
        <v>707</v>
      </c>
      <c r="X8" s="510"/>
    </row>
    <row r="9" spans="1:24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552" t="str">
        <f>+VLOOKUP($A54,Master!$D$25:$G$223,4,FALSE)</f>
        <v>Otplata obaveza iz prethodnih godina</v>
      </c>
      <c r="C54" s="553"/>
      <c r="D54" s="553"/>
      <c r="E54" s="553"/>
      <c r="F54" s="55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552" t="str">
        <f>+VLOOKUP($A55,Master!$D$25:$G$225,4,FALSE)</f>
        <v>Neto povećanje obaveza</v>
      </c>
      <c r="C55" s="553"/>
      <c r="D55" s="553"/>
      <c r="E55" s="553"/>
      <c r="F55" s="55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548" t="str">
        <f>+VLOOKUP($A56,Master!$D$25:$G$223,4,FALSE)</f>
        <v>Suficit / deficit</v>
      </c>
      <c r="C56" s="549"/>
      <c r="D56" s="549"/>
      <c r="E56" s="549"/>
      <c r="F56" s="54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550" t="str">
        <f>+VLOOKUP($A57,Master!$D$25:$G$223,4,FALSE)</f>
        <v>Primarni bilans</v>
      </c>
      <c r="C57" s="551"/>
      <c r="D57" s="551"/>
      <c r="E57" s="551"/>
      <c r="F57" s="55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542" t="str">
        <f>+VLOOKUP($A58,Master!$D$25:$G$223,4,FALSE)</f>
        <v>Otplata dugova</v>
      </c>
      <c r="C58" s="543"/>
      <c r="D58" s="543"/>
      <c r="E58" s="543"/>
      <c r="F58" s="54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546" t="str">
        <f>+VLOOKUP($A59,Master!$D$25:$G$223,4,FALSE)</f>
        <v>Otplata hartija od vrijednosti i kredita rezidentima</v>
      </c>
      <c r="C59" s="547"/>
      <c r="D59" s="547"/>
      <c r="E59" s="547"/>
      <c r="F59" s="547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540" t="str">
        <f>+VLOOKUP($A60,Master!$D$25:$G$223,4,FALSE)</f>
        <v>Otplata hartija od vrijednosti i kredita nerezidentima</v>
      </c>
      <c r="C60" s="541"/>
      <c r="D60" s="541"/>
      <c r="E60" s="541"/>
      <c r="F60" s="54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544" t="str">
        <f>+VLOOKUP($A61,Master!$D$25:$G$223,4,FALSE)</f>
        <v>Nedostajuća sredstva</v>
      </c>
      <c r="C61" s="545"/>
      <c r="D61" s="545"/>
      <c r="E61" s="545"/>
      <c r="F61" s="54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532" t="str">
        <f>+VLOOKUP($A62,Master!$D$25:$G$223,4,FALSE)</f>
        <v>Finansiranje</v>
      </c>
      <c r="C62" s="533"/>
      <c r="D62" s="533"/>
      <c r="E62" s="533"/>
      <c r="F62" s="53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546" t="str">
        <f>+VLOOKUP($A63,Master!$D$25:$G$223,4,FALSE)</f>
        <v>Pozajmice i krediti od domaćih izvora</v>
      </c>
      <c r="C63" s="547"/>
      <c r="D63" s="547"/>
      <c r="E63" s="547"/>
      <c r="F63" s="547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540" t="str">
        <f>+VLOOKUP($A64,Master!$D$25:$G$223,4,FALSE)</f>
        <v>Pozajmice i krediti od inostranih izvora</v>
      </c>
      <c r="C64" s="541"/>
      <c r="D64" s="541"/>
      <c r="E64" s="541"/>
      <c r="F64" s="54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540" t="str">
        <f>+VLOOKUP($A65,Master!$D$25:$G$223,4,FALSE)</f>
        <v>Primici od prodaje imovine</v>
      </c>
      <c r="C65" s="541"/>
      <c r="D65" s="541"/>
      <c r="E65" s="541"/>
      <c r="F65" s="54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498" t="str">
        <f>+Master!G250</f>
        <v>Plan ostvarenja budžeta</v>
      </c>
      <c r="C102" s="479"/>
      <c r="D102" s="479"/>
      <c r="E102" s="479"/>
      <c r="F102" s="479"/>
      <c r="G102" s="487">
        <v>2013</v>
      </c>
      <c r="H102" s="488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91"/>
      <c r="V102" s="364"/>
      <c r="W102" s="261" t="str">
        <f>+W7</f>
        <v>BDP</v>
      </c>
      <c r="X102" s="262">
        <v>3393200615</v>
      </c>
    </row>
    <row r="103" spans="1:24" ht="15.75" customHeight="1">
      <c r="A103" s="170"/>
      <c r="B103" s="480"/>
      <c r="C103" s="481"/>
      <c r="D103" s="481"/>
      <c r="E103" s="481"/>
      <c r="F103" s="482"/>
      <c r="G103" s="171" t="str">
        <f t="shared" ref="G103:U103" si="20">+G8</f>
        <v>Januar</v>
      </c>
      <c r="H103" s="171" t="str">
        <f t="shared" si="20"/>
        <v>Februar</v>
      </c>
      <c r="I103" s="171" t="str">
        <f t="shared" si="20"/>
        <v>Mart</v>
      </c>
      <c r="J103" s="171"/>
      <c r="K103" s="171" t="str">
        <f t="shared" si="20"/>
        <v>April</v>
      </c>
      <c r="L103" s="171" t="str">
        <f t="shared" si="20"/>
        <v>Maj</v>
      </c>
      <c r="M103" s="171" t="str">
        <f t="shared" si="20"/>
        <v>Jun</v>
      </c>
      <c r="N103" s="171"/>
      <c r="O103" s="171" t="str">
        <f t="shared" si="20"/>
        <v>Jul</v>
      </c>
      <c r="P103" s="171" t="str">
        <f t="shared" si="20"/>
        <v>Avgust</v>
      </c>
      <c r="Q103" s="171" t="str">
        <f t="shared" si="20"/>
        <v>Septembar</v>
      </c>
      <c r="R103" s="171"/>
      <c r="S103" s="171" t="str">
        <f t="shared" si="20"/>
        <v>Oktobar</v>
      </c>
      <c r="T103" s="171" t="str">
        <f t="shared" si="20"/>
        <v>Novembar</v>
      </c>
      <c r="U103" s="171" t="str">
        <f t="shared" si="20"/>
        <v>Decembar</v>
      </c>
      <c r="V103" s="171"/>
      <c r="W103" s="487" t="str">
        <f>+Master!G244</f>
        <v>Jan - Dec</v>
      </c>
      <c r="X103" s="491">
        <f>+X8</f>
        <v>0</v>
      </c>
    </row>
    <row r="104" spans="1:24" ht="13.5" thickBot="1">
      <c r="A104" s="170"/>
      <c r="B104" s="483"/>
      <c r="C104" s="484"/>
      <c r="D104" s="484"/>
      <c r="E104" s="484"/>
      <c r="F104" s="485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BDP</v>
      </c>
    </row>
    <row r="105" spans="1:24" ht="13.5" thickBot="1">
      <c r="A105" s="298" t="str">
        <f t="shared" ref="A105:A148" si="21">+CONCATENATE(A10,"p")</f>
        <v>7p</v>
      </c>
      <c r="B105" s="446" t="str">
        <f>+VLOOKUP(LEFT($A105,LEN(A105)-1)*1,Master!$D$25:$G$223,4,FALSE)</f>
        <v>Prihodi budžeta</v>
      </c>
      <c r="C105" s="447"/>
      <c r="D105" s="447"/>
      <c r="E105" s="447"/>
      <c r="F105" s="447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48" t="str">
        <f>+VLOOKUP(LEFT($A106,LEN(A106)-1)*1,Master!$D$25:$G$223,4,FALSE)</f>
        <v>Porezi</v>
      </c>
      <c r="C106" s="449"/>
      <c r="D106" s="449"/>
      <c r="E106" s="449"/>
      <c r="F106" s="449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50" t="str">
        <f>+VLOOKUP(LEFT($A107,LEN(A107)-1)*1,Master!$D$25:$G$223,4,FALSE)</f>
        <v>Porez na dohodak fizičkih lica</v>
      </c>
      <c r="C107" s="451"/>
      <c r="D107" s="451"/>
      <c r="E107" s="451"/>
      <c r="F107" s="451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50" t="str">
        <f>+VLOOKUP(LEFT($A108,LEN(A108)-1)*1,Master!$D$25:$G$223,4,FALSE)</f>
        <v>Porez na dobit pravnih lica</v>
      </c>
      <c r="C108" s="451"/>
      <c r="D108" s="451"/>
      <c r="E108" s="451"/>
      <c r="F108" s="451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50" t="str">
        <f>+VLOOKUP(LEFT($A109,LEN(A109)-1)*1,Master!$D$25:$G$223,4,FALSE)</f>
        <v>Porez na promet nepokretnosti</v>
      </c>
      <c r="C109" s="451"/>
      <c r="D109" s="451"/>
      <c r="E109" s="451"/>
      <c r="F109" s="451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50" t="str">
        <f>+VLOOKUP(LEFT($A110,LEN(A110)-1)*1,Master!$D$25:$G$223,4,FALSE)</f>
        <v>Porez na dodatu vrijednost</v>
      </c>
      <c r="C110" s="451"/>
      <c r="D110" s="451"/>
      <c r="E110" s="451"/>
      <c r="F110" s="451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50" t="str">
        <f>+VLOOKUP(LEFT($A111,LEN(A111)-1)*1,Master!$D$25:$G$223,4,FALSE)</f>
        <v>Akcize</v>
      </c>
      <c r="C111" s="451"/>
      <c r="D111" s="451"/>
      <c r="E111" s="451"/>
      <c r="F111" s="451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50" t="str">
        <f>+VLOOKUP(LEFT($A112,LEN(A112)-1)*1,Master!$D$25:$G$223,4,FALSE)</f>
        <v>Porez na međunarodnu trgovinu i transakcije</v>
      </c>
      <c r="C112" s="451"/>
      <c r="D112" s="451"/>
      <c r="E112" s="451"/>
      <c r="F112" s="451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50" t="e">
        <f>+VLOOKUP(LEFT($A113,LEN(A113)-1)*1,Master!$D$25:$G$223,4,FALSE)</f>
        <v>#N/A</v>
      </c>
      <c r="C113" s="451"/>
      <c r="D113" s="451"/>
      <c r="E113" s="451"/>
      <c r="F113" s="451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50" t="str">
        <f>+VLOOKUP(LEFT($A114,LEN(A114)-1)*1,Master!$D$25:$G$223,4,FALSE)</f>
        <v>Ostali državni porezi</v>
      </c>
      <c r="C114" s="451"/>
      <c r="D114" s="451"/>
      <c r="E114" s="451"/>
      <c r="F114" s="451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54" t="str">
        <f>+VLOOKUP(LEFT($A115,LEN(A115)-1)*1,Master!$D$25:$G$223,4,FALSE)</f>
        <v>Doprinosi</v>
      </c>
      <c r="C115" s="455"/>
      <c r="D115" s="455"/>
      <c r="E115" s="455"/>
      <c r="F115" s="455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50" t="str">
        <f>+VLOOKUP(LEFT($A116,LEN(A116)-1)*1,Master!$D$25:$G$223,4,FALSE)</f>
        <v>Doprinosi za penzijsko i invalidsko osiguranje</v>
      </c>
      <c r="C116" s="451"/>
      <c r="D116" s="451"/>
      <c r="E116" s="451"/>
      <c r="F116" s="451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50" t="str">
        <f>+VLOOKUP(LEFT($A117,LEN(A117)-1)*1,Master!$D$25:$G$223,4,FALSE)</f>
        <v>Doprinosi za zdravstveno osiguranje</v>
      </c>
      <c r="C117" s="451"/>
      <c r="D117" s="451"/>
      <c r="E117" s="451"/>
      <c r="F117" s="451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50" t="str">
        <f>+VLOOKUP(LEFT($A118,LEN(A118)-1)*1,Master!$D$25:$G$223,4,FALSE)</f>
        <v>Doprinosi za osiguranje od nezaposlenosti</v>
      </c>
      <c r="C118" s="451"/>
      <c r="D118" s="451"/>
      <c r="E118" s="451"/>
      <c r="F118" s="451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50" t="str">
        <f>+VLOOKUP(LEFT($A119,LEN(A119)-1)*1,Master!$D$25:$G$223,4,FALSE)</f>
        <v>Ostali doprinosi</v>
      </c>
      <c r="C119" s="451"/>
      <c r="D119" s="451"/>
      <c r="E119" s="451"/>
      <c r="F119" s="451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52" t="str">
        <f>+VLOOKUP(LEFT($A120,LEN(A120)-1)*1,Master!$D$25:$G$223,4,FALSE)</f>
        <v>Takse</v>
      </c>
      <c r="C120" s="453"/>
      <c r="D120" s="453"/>
      <c r="E120" s="453"/>
      <c r="F120" s="453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52" t="str">
        <f>+VLOOKUP(LEFT($A121,LEN(A121)-1)*1,Master!$D$25:$G$223,4,FALSE)</f>
        <v>Naknade</v>
      </c>
      <c r="C121" s="453"/>
      <c r="D121" s="453"/>
      <c r="E121" s="453"/>
      <c r="F121" s="453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52" t="str">
        <f>+VLOOKUP(LEFT($A122,LEN(A122)-1)*1,Master!$D$25:$G$223,4,FALSE)</f>
        <v>Ostali prihodi</v>
      </c>
      <c r="C122" s="453"/>
      <c r="D122" s="453"/>
      <c r="E122" s="453"/>
      <c r="F122" s="453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52" t="str">
        <f>+VLOOKUP(LEFT($A123,LEN(A123)-1)*1,Master!$D$25:$G$223,4,FALSE)</f>
        <v>Primici od otplate kredita i sredstva prenesena iz prethodne godine</v>
      </c>
      <c r="C123" s="453"/>
      <c r="D123" s="453"/>
      <c r="E123" s="453"/>
      <c r="F123" s="453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56" t="str">
        <f>+VLOOKUP(LEFT($A124,LEN(A124)-1)*1,Master!$D$25:$G$223,4,FALSE)</f>
        <v>Donacije i transferi</v>
      </c>
      <c r="C124" s="457"/>
      <c r="D124" s="457"/>
      <c r="E124" s="457"/>
      <c r="F124" s="457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58" t="str">
        <f>+VLOOKUP(LEFT($A125,LEN(A125)-1)*1,Master!$D$25:$G$223,4,FALSE)</f>
        <v>Budžetski izdaci</v>
      </c>
      <c r="C125" s="459"/>
      <c r="D125" s="459"/>
      <c r="E125" s="459"/>
      <c r="F125" s="459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60" t="str">
        <f>+VLOOKUP(LEFT($A126,LEN(A126)-1)*1,Master!$D$25:$G$223,4,FALSE)</f>
        <v>Tekući izdaci</v>
      </c>
      <c r="C126" s="461"/>
      <c r="D126" s="461"/>
      <c r="E126" s="461"/>
      <c r="F126" s="461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62" t="str">
        <f>+VLOOKUP(LEFT($A127,LEN(A127)-1)*1,Master!$D$25:$G$223,4,FALSE)</f>
        <v>Tekući budžetski izdaci</v>
      </c>
      <c r="C127" s="463"/>
      <c r="D127" s="463"/>
      <c r="E127" s="463"/>
      <c r="F127" s="463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50" t="str">
        <f>+VLOOKUP(LEFT($A128,LEN(A128)-1)*1,Master!$D$25:$G$223,4,FALSE)</f>
        <v>Bruto zarade i doprinosi na teret poslodavca</v>
      </c>
      <c r="C128" s="451"/>
      <c r="D128" s="451"/>
      <c r="E128" s="451"/>
      <c r="F128" s="451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50" t="str">
        <f>+VLOOKUP(LEFT($A129,LEN(A129)-1)*1,Master!$D$25:$G$223,4,FALSE)</f>
        <v>Ostala lična primanja</v>
      </c>
      <c r="C129" s="451"/>
      <c r="D129" s="451"/>
      <c r="E129" s="451"/>
      <c r="F129" s="451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50" t="str">
        <f>+VLOOKUP(LEFT($A130,LEN(A130)-1)*1,Master!$D$25:$G$223,4,FALSE)</f>
        <v>Rashodi za materijal</v>
      </c>
      <c r="C130" s="451"/>
      <c r="D130" s="451"/>
      <c r="E130" s="451"/>
      <c r="F130" s="451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50" t="str">
        <f>+VLOOKUP(LEFT($A131,LEN(A131)-1)*1,Master!$D$25:$G$223,4,FALSE)</f>
        <v>Rashodi za usluge</v>
      </c>
      <c r="C131" s="451"/>
      <c r="D131" s="451"/>
      <c r="E131" s="451"/>
      <c r="F131" s="451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50" t="str">
        <f>+VLOOKUP(LEFT($A132,LEN(A132)-1)*1,Master!$D$25:$G$223,4,FALSE)</f>
        <v>Rashodi za tekuće održavanje</v>
      </c>
      <c r="C132" s="451"/>
      <c r="D132" s="451"/>
      <c r="E132" s="451"/>
      <c r="F132" s="451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50" t="str">
        <f>+VLOOKUP(LEFT($A133,LEN(A133)-1)*1,Master!$D$25:$G$223,4,FALSE)</f>
        <v>Kamate</v>
      </c>
      <c r="C133" s="451"/>
      <c r="D133" s="451"/>
      <c r="E133" s="451"/>
      <c r="F133" s="451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50" t="str">
        <f>+VLOOKUP(LEFT($A134,LEN(A134)-1)*1,Master!$D$25:$G$223,4,FALSE)</f>
        <v>Renta</v>
      </c>
      <c r="C134" s="451"/>
      <c r="D134" s="451"/>
      <c r="E134" s="451"/>
      <c r="F134" s="451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50" t="str">
        <f>+VLOOKUP(LEFT($A135,LEN(A135)-1)*1,Master!$D$25:$G$223,4,FALSE)</f>
        <v>Subvencije</v>
      </c>
      <c r="C135" s="451"/>
      <c r="D135" s="451"/>
      <c r="E135" s="451"/>
      <c r="F135" s="451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50" t="str">
        <f>+VLOOKUP(LEFT($A136,LEN(A136)-1)*1,Master!$D$25:$G$223,4,FALSE)</f>
        <v>Ostali izdaci</v>
      </c>
      <c r="C136" s="451"/>
      <c r="D136" s="451"/>
      <c r="E136" s="451"/>
      <c r="F136" s="451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50" t="str">
        <f>+VLOOKUP(LEFT($A137,LEN(A137)-1)*1,Master!$D$25:$G$223,4,FALSE)</f>
        <v>Kapitalni izdaci u tekućem budžetu</v>
      </c>
      <c r="C137" s="451"/>
      <c r="D137" s="451"/>
      <c r="E137" s="451"/>
      <c r="F137" s="451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66" t="str">
        <f>+VLOOKUP(LEFT($A138,LEN(A138)-1)*1,Master!$D$25:$G$223,4,FALSE)</f>
        <v>Transferi za socijalnu zaštitu</v>
      </c>
      <c r="C138" s="467"/>
      <c r="D138" s="467"/>
      <c r="E138" s="467"/>
      <c r="F138" s="467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50" t="str">
        <f>+VLOOKUP(LEFT($A139,LEN(A139)-1)*1,Master!$D$25:$G$223,4,FALSE)</f>
        <v>Prava iz oblasti socijalne zaštite</v>
      </c>
      <c r="C139" s="451"/>
      <c r="D139" s="451"/>
      <c r="E139" s="451"/>
      <c r="F139" s="451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50" t="str">
        <f>+VLOOKUP(LEFT($A140,LEN(A140)-1)*1,Master!$D$25:$G$223,4,FALSE)</f>
        <v>Sredstva za tehnološke viškove</v>
      </c>
      <c r="C140" s="451"/>
      <c r="D140" s="451"/>
      <c r="E140" s="451"/>
      <c r="F140" s="451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50" t="str">
        <f>+VLOOKUP(LEFT($A141,LEN(A141)-1)*1,Master!$D$25:$G$223,4,FALSE)</f>
        <v>Prava iz oblasti penzijskog i invalidskog osiguranja</v>
      </c>
      <c r="C141" s="451"/>
      <c r="D141" s="451"/>
      <c r="E141" s="451"/>
      <c r="F141" s="451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50" t="str">
        <f>+VLOOKUP(LEFT($A142,LEN(A142)-1)*1,Master!$D$25:$G$223,4,FALSE)</f>
        <v>Ostala prava iz oblasti zdravstvene zaštite</v>
      </c>
      <c r="C142" s="451"/>
      <c r="D142" s="451"/>
      <c r="E142" s="451"/>
      <c r="F142" s="451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50" t="str">
        <f>+VLOOKUP(LEFT($A143,LEN(A143)-1)*1,Master!$D$25:$G$223,4,FALSE)</f>
        <v>Ostala prava iz zdravstvenog osiguranja</v>
      </c>
      <c r="C143" s="451"/>
      <c r="D143" s="451"/>
      <c r="E143" s="451"/>
      <c r="F143" s="451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64" t="str">
        <f>+VLOOKUP(LEFT($A144,LEN(A144)-1)*1,Master!$D$25:$G$223,4,FALSE)</f>
        <v xml:space="preserve">Transferi institucijama, pojedincima, nevladinom i javnom sektoru </v>
      </c>
      <c r="C144" s="465"/>
      <c r="D144" s="465"/>
      <c r="E144" s="465"/>
      <c r="F144" s="465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64" t="str">
        <f>+VLOOKUP(LEFT($A145,LEN(A145)-1)*1,Master!$D$25:$G$223,4,FALSE)</f>
        <v>Kapitalni budžet</v>
      </c>
      <c r="C145" s="465"/>
      <c r="D145" s="465"/>
      <c r="E145" s="465"/>
      <c r="F145" s="465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68" t="str">
        <f>+VLOOKUP(LEFT($A146,LEN(A146)-1)*1,Master!$D$25:$G$223,4,FALSE)</f>
        <v>Pozajmice i krediti</v>
      </c>
      <c r="C146" s="469"/>
      <c r="D146" s="469"/>
      <c r="E146" s="469"/>
      <c r="F146" s="469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68" t="str">
        <f>+VLOOKUP(LEFT($A147,LEN(A147)-1)*1,Master!$D$25:$G$223,4,FALSE)</f>
        <v>Rezerve</v>
      </c>
      <c r="C147" s="469"/>
      <c r="D147" s="469"/>
      <c r="E147" s="469"/>
      <c r="F147" s="469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70" t="str">
        <f>+VLOOKUP(LEFT($A148,LEN(A148)-1)*1,Master!$D$25:$G$223,4,FALSE)</f>
        <v>Otplata garancija</v>
      </c>
      <c r="C148" s="471"/>
      <c r="D148" s="471"/>
      <c r="E148" s="471"/>
      <c r="F148" s="471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72" t="str">
        <f>+VLOOKUP(LEFT($A149,LEN(A149)-1)*1,Master!$D$25:$G$223,4,FALSE)</f>
        <v>Suficit / deficit</v>
      </c>
      <c r="C149" s="473"/>
      <c r="D149" s="473"/>
      <c r="E149" s="473"/>
      <c r="F149" s="473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74" t="str">
        <f>+VLOOKUP(LEFT($A150,LEN(A150)-1)*1,Master!$D$25:$G$223,4,FALSE)</f>
        <v>Primarni bilans</v>
      </c>
      <c r="C150" s="475"/>
      <c r="D150" s="475"/>
      <c r="E150" s="475"/>
      <c r="F150" s="475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66" t="str">
        <f>+VLOOKUP(LEFT($A151,LEN(A151)-1)*1,Master!$D$25:$G$223,4,FALSE)</f>
        <v>Otplata dugova</v>
      </c>
      <c r="C151" s="467"/>
      <c r="D151" s="467"/>
      <c r="E151" s="467"/>
      <c r="F151" s="467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92" t="str">
        <f>+VLOOKUP(LEFT($A152,LEN(A152)-1)*1,Master!$D$25:$G$223,4,FALSE)</f>
        <v>Otplata hartija od vrijednosti i kredita rezidentima</v>
      </c>
      <c r="C152" s="493"/>
      <c r="D152" s="493"/>
      <c r="E152" s="493"/>
      <c r="F152" s="493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68" t="str">
        <f>+VLOOKUP(LEFT($A153,LEN(A153)-1)*1,Master!$D$25:$G$223,4,FALSE)</f>
        <v>Otplata hartija od vrijednosti i kredita nerezidentima</v>
      </c>
      <c r="C153" s="469"/>
      <c r="D153" s="469"/>
      <c r="E153" s="469"/>
      <c r="F153" s="469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70" t="str">
        <f>+VLOOKUP(LEFT($A154,LEN(A154)-1)*1,Master!$D$25:$G$223,4,FALSE)</f>
        <v>Otplata obaveza iz prethodnih godina</v>
      </c>
      <c r="C154" s="471"/>
      <c r="D154" s="471"/>
      <c r="E154" s="471"/>
      <c r="F154" s="471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94" t="str">
        <f>+VLOOKUP(LEFT($A155,LEN(A155)-1)*1,Master!$D$25:$G$223,4,FALSE)</f>
        <v>Nedostajuća sredstva</v>
      </c>
      <c r="C155" s="495"/>
      <c r="D155" s="495"/>
      <c r="E155" s="495"/>
      <c r="F155" s="495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58" t="str">
        <f>+VLOOKUP(LEFT($A156,LEN(A156)-1)*1,Master!$D$25:$G$223,4,FALSE)</f>
        <v>Finansiranje</v>
      </c>
      <c r="C156" s="459"/>
      <c r="D156" s="459"/>
      <c r="E156" s="459"/>
      <c r="F156" s="459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92" t="str">
        <f>+VLOOKUP(LEFT($A157,LEN(A157)-1)*1,Master!$D$25:$G$223,4,FALSE)</f>
        <v>Pozajmice i krediti od domaćih izvora</v>
      </c>
      <c r="C157" s="493"/>
      <c r="D157" s="493"/>
      <c r="E157" s="493"/>
      <c r="F157" s="493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68" t="str">
        <f>+VLOOKUP(LEFT($A158,LEN(A158)-1)*1,Master!$D$25:$G$223,4,FALSE)</f>
        <v>Pozajmice i krediti od inostranih izvora</v>
      </c>
      <c r="C158" s="469"/>
      <c r="D158" s="469"/>
      <c r="E158" s="469"/>
      <c r="F158" s="469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68" t="str">
        <f>+VLOOKUP(LEFT($A159,LEN(A159)-1)*1,Master!$D$25:$G$223,4,FALSE)</f>
        <v>Primici od prodaje imovine</v>
      </c>
      <c r="C159" s="469"/>
      <c r="D159" s="469"/>
      <c r="E159" s="469"/>
      <c r="F159" s="469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Povećanje / smanjenje depozita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2018-07-31T09:40:27Z</dcterms:modified>
</cp:coreProperties>
</file>